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2405" firstSheet="1" activeTab="1"/>
  </bookViews>
  <sheets>
    <sheet name="lookup" sheetId="1" state="hidden" r:id="rId1"/>
    <sheet name="districts" sheetId="2" r:id="rId2"/>
  </sheets>
  <definedNames>
    <definedName name="_xlnm.Print_Area" localSheetId="1">'districts'!$A$1:$E$60</definedName>
  </definedNames>
  <calcPr fullCalcOnLoad="1"/>
</workbook>
</file>

<file path=xl/sharedStrings.xml><?xml version="1.0" encoding="utf-8"?>
<sst xmlns="http://schemas.openxmlformats.org/spreadsheetml/2006/main" count="118" uniqueCount="112">
  <si>
    <t>Resident population</t>
  </si>
  <si>
    <t>Residents in communal establishments</t>
  </si>
  <si>
    <t>White ethnicity</t>
  </si>
  <si>
    <t>Multiple ethnicity</t>
  </si>
  <si>
    <t>Asian or Asian British ethnicity</t>
  </si>
  <si>
    <t>Arab or other ethnicity</t>
  </si>
  <si>
    <t>Employees working full-time</t>
  </si>
  <si>
    <t>Employees working part-time</t>
  </si>
  <si>
    <t>Self employed</t>
  </si>
  <si>
    <t>Full-time students (economically active)</t>
  </si>
  <si>
    <t>Unemployed</t>
  </si>
  <si>
    <t>Persons aged 16 or over with no qualifications</t>
  </si>
  <si>
    <t>Number of households</t>
  </si>
  <si>
    <t>Tenure</t>
  </si>
  <si>
    <t>Amenities</t>
  </si>
  <si>
    <t>Household types</t>
  </si>
  <si>
    <t>Household language</t>
  </si>
  <si>
    <t>RESIDE</t>
  </si>
  <si>
    <t>CHILD</t>
  </si>
  <si>
    <t>WA</t>
  </si>
  <si>
    <t>PA</t>
  </si>
  <si>
    <t>COMM</t>
  </si>
  <si>
    <t>LLTI</t>
  </si>
  <si>
    <t>OSEA</t>
  </si>
  <si>
    <t>WHITE</t>
  </si>
  <si>
    <t>MULTI</t>
  </si>
  <si>
    <t>ASIAN</t>
  </si>
  <si>
    <t>BLACK</t>
  </si>
  <si>
    <t>ARAB</t>
  </si>
  <si>
    <t>LANG</t>
  </si>
  <si>
    <t>EA</t>
  </si>
  <si>
    <t>FT</t>
  </si>
  <si>
    <t>PT</t>
  </si>
  <si>
    <t>SE</t>
  </si>
  <si>
    <t>STUD</t>
  </si>
  <si>
    <t>UNEMP</t>
  </si>
  <si>
    <t>QUAL</t>
  </si>
  <si>
    <t>HH</t>
  </si>
  <si>
    <t>OWN</t>
  </si>
  <si>
    <t>LA</t>
  </si>
  <si>
    <t>SRL</t>
  </si>
  <si>
    <t>PRIV</t>
  </si>
  <si>
    <t>OTRENT</t>
  </si>
  <si>
    <t>CROWD</t>
  </si>
  <si>
    <t>HEAT</t>
  </si>
  <si>
    <t>NOCAR</t>
  </si>
  <si>
    <t>CARS</t>
  </si>
  <si>
    <t>LONEPEN</t>
  </si>
  <si>
    <t>OTLONE</t>
  </si>
  <si>
    <t>PENONLY</t>
  </si>
  <si>
    <t>LONEPAR</t>
  </si>
  <si>
    <t>DEPHH</t>
  </si>
  <si>
    <t>OTHH</t>
  </si>
  <si>
    <t>HHSPC</t>
  </si>
  <si>
    <t>DETACH</t>
  </si>
  <si>
    <t>SEMI</t>
  </si>
  <si>
    <t>TERRAC</t>
  </si>
  <si>
    <t>FLAT</t>
  </si>
  <si>
    <t>OTFLAT</t>
  </si>
  <si>
    <t>VACANT</t>
  </si>
  <si>
    <t>Black or Black British ethnicity</t>
  </si>
  <si>
    <t>Persons aged  0-15 years</t>
  </si>
  <si>
    <t>Persons aged 16-64 years</t>
  </si>
  <si>
    <t>Persons aged 65 years or more</t>
  </si>
  <si>
    <t>Persons with limiting long-term illness</t>
  </si>
  <si>
    <t>Born overseas</t>
  </si>
  <si>
    <t>No people in household has English as main language</t>
  </si>
  <si>
    <t>Owner occupied</t>
  </si>
  <si>
    <t>Rented from local authority</t>
  </si>
  <si>
    <t>Rented from other social registered landlord</t>
  </si>
  <si>
    <t>Privately rented</t>
  </si>
  <si>
    <t>Other</t>
  </si>
  <si>
    <t>Lacking central heating</t>
  </si>
  <si>
    <t>No car or van</t>
  </si>
  <si>
    <t>No.of cars available to household</t>
  </si>
  <si>
    <t>Lone pensioner</t>
  </si>
  <si>
    <t>Other lone householder</t>
  </si>
  <si>
    <t>Pensioner only (excluding lone pensioners)</t>
  </si>
  <si>
    <t>Lone parents with dependent children</t>
  </si>
  <si>
    <t>With dependent children (excluding lone parents)</t>
  </si>
  <si>
    <t>Other households</t>
  </si>
  <si>
    <t>Detached</t>
  </si>
  <si>
    <t>Semi-detached</t>
  </si>
  <si>
    <t>Terraced</t>
  </si>
  <si>
    <t>Flat (purpose built)</t>
  </si>
  <si>
    <t>Vacant dwelling or no permanent residents</t>
  </si>
  <si>
    <t>EMP1674</t>
  </si>
  <si>
    <t>Quick Reference Set of Key Variables</t>
  </si>
  <si>
    <t>England</t>
  </si>
  <si>
    <t>%</t>
  </si>
  <si>
    <t>number</t>
  </si>
  <si>
    <t>Birmingham</t>
  </si>
  <si>
    <t>ZONELABEL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</si>
  <si>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</si>
  <si>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</si>
  <si>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</si>
  <si>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</si>
  <si>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</si>
  <si>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</si>
  <si>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</si>
  <si>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</si>
  <si>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Persons aged 16-74 years</t>
  </si>
  <si>
    <t>-</t>
  </si>
  <si>
    <t>Overcrowded (ONS standard)</t>
  </si>
  <si>
    <t>Sutton Coldfield</t>
  </si>
  <si>
    <t>Yardley</t>
  </si>
  <si>
    <t>2011 Population Census - Birmingham Districts</t>
  </si>
  <si>
    <t>2011 Key Statistics</t>
  </si>
  <si>
    <t>use the drop down box to select District</t>
  </si>
  <si>
    <t xml:space="preserve">Economically active persons </t>
  </si>
  <si>
    <t>Total household spaces (housing stock)</t>
  </si>
  <si>
    <t>Other flats &amp; mobile homes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</si>
</sst>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3" fontId="4" fillId="0" borderId="8" xfId="0" applyNumberFormat="1" applyFont="1" applyBorder="1" applyAlignment="1" applyProtection="1">
      <alignment/>
      <protection locked="0"/>
    </xf>
    <xf numFmtId="164" fontId="4" fillId="0" borderId="2" xfId="0" applyNumberFormat="1" applyFont="1" applyBorder="1" applyAlignment="1" applyProtection="1">
      <alignment/>
      <protection locked="0"/>
    </xf>
    <xf numFmtId="1" fontId="4" fillId="0" borderId="2" xfId="0" applyNumberFormat="1" applyFont="1" applyBorder="1" applyAlignment="1" applyProtection="1">
      <alignment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3" fontId="4" fillId="0" borderId="17" xfId="0" applyNumberFormat="1" applyFont="1" applyBorder="1" applyAlignment="1" applyProtection="1">
      <alignment/>
      <protection locked="0"/>
    </xf>
    <xf numFmtId="164" fontId="4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9525</xdr:rowOff>
    </xdr:from>
    <xdr:to>
      <xdr:col>6</xdr:col>
      <xdr:colOff>9525</xdr:colOff>
      <xdr:row>3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42900"/>
          <a:ext cx="2114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S11"/>
  <sheetViews>
    <sheetView workbookViewId="0" topLeftCell="A1">
      <pane xSplit="1" ySplit="1" topLeftCell="A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8" sqref="AA8"/>
    </sheetView>
  </sheetViews>
  <sheetFormatPr defaultColWidth="9.140625" defaultRowHeight="12.75"/>
  <cols>
    <col min="1" max="1" width="21.140625" style="0" bestFit="1" customWidth="1"/>
  </cols>
  <sheetData>
    <row r="1" spans="1:45" ht="12.75">
      <c r="A1" t="s">
        <v>92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86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</row>
    <row r="2" spans="1:45" ht="12.75">
      <c r="A2" t="s">
        <v>93</v>
      </c>
      <c r="B2">
        <v>96568</v>
      </c>
      <c r="C2">
        <v>17685</v>
      </c>
      <c r="D2">
        <v>65553</v>
      </c>
      <c r="E2">
        <v>13330</v>
      </c>
      <c r="F2">
        <v>5808</v>
      </c>
      <c r="G2">
        <v>16709</v>
      </c>
      <c r="H2">
        <v>19054</v>
      </c>
      <c r="I2">
        <v>66314</v>
      </c>
      <c r="J2">
        <v>5015</v>
      </c>
      <c r="K2">
        <v>15799</v>
      </c>
      <c r="L2">
        <v>7424</v>
      </c>
      <c r="M2">
        <v>2016</v>
      </c>
      <c r="N2">
        <v>2385</v>
      </c>
      <c r="O2">
        <v>72392</v>
      </c>
      <c r="P2">
        <v>47232</v>
      </c>
      <c r="Q2">
        <v>25859</v>
      </c>
      <c r="R2">
        <v>7958</v>
      </c>
      <c r="S2">
        <v>5241</v>
      </c>
      <c r="T2">
        <v>3984</v>
      </c>
      <c r="U2">
        <v>4190</v>
      </c>
      <c r="V2">
        <v>17246</v>
      </c>
      <c r="W2">
        <v>39709</v>
      </c>
      <c r="X2">
        <v>20874</v>
      </c>
      <c r="Y2">
        <v>7180</v>
      </c>
      <c r="Z2">
        <v>2826</v>
      </c>
      <c r="AA2">
        <v>8026</v>
      </c>
      <c r="AB2">
        <v>803</v>
      </c>
      <c r="AC2">
        <v>4495</v>
      </c>
      <c r="AD2">
        <v>1512</v>
      </c>
      <c r="AE2">
        <v>13822</v>
      </c>
      <c r="AF2">
        <v>38305</v>
      </c>
      <c r="AG2">
        <v>4893</v>
      </c>
      <c r="AH2">
        <v>9517</v>
      </c>
      <c r="AI2">
        <v>2259</v>
      </c>
      <c r="AJ2">
        <v>3510</v>
      </c>
      <c r="AK2">
        <v>11928</v>
      </c>
      <c r="AL2">
        <v>7602</v>
      </c>
      <c r="AM2">
        <v>41206</v>
      </c>
      <c r="AN2">
        <v>5089</v>
      </c>
      <c r="AO2">
        <v>12775</v>
      </c>
      <c r="AP2">
        <v>10734</v>
      </c>
      <c r="AQ2">
        <v>10339</v>
      </c>
      <c r="AR2">
        <v>2269</v>
      </c>
      <c r="AS2">
        <v>1497</v>
      </c>
    </row>
    <row r="3" spans="1:45" ht="12.75">
      <c r="A3" t="s">
        <v>94</v>
      </c>
      <c r="B3">
        <v>97778</v>
      </c>
      <c r="C3">
        <v>21683</v>
      </c>
      <c r="D3">
        <v>62269</v>
      </c>
      <c r="E3">
        <v>13826</v>
      </c>
      <c r="F3">
        <v>1032</v>
      </c>
      <c r="G3">
        <v>21411</v>
      </c>
      <c r="H3">
        <v>14691</v>
      </c>
      <c r="I3">
        <v>71458</v>
      </c>
      <c r="J3">
        <v>5454</v>
      </c>
      <c r="K3">
        <v>10166</v>
      </c>
      <c r="L3">
        <v>9962</v>
      </c>
      <c r="M3">
        <v>738</v>
      </c>
      <c r="N3">
        <v>1742</v>
      </c>
      <c r="O3">
        <v>69179</v>
      </c>
      <c r="P3">
        <v>46262</v>
      </c>
      <c r="Q3">
        <v>25349</v>
      </c>
      <c r="R3">
        <v>9077</v>
      </c>
      <c r="S3">
        <v>4076</v>
      </c>
      <c r="T3">
        <v>2077</v>
      </c>
      <c r="U3">
        <v>5683</v>
      </c>
      <c r="V3">
        <v>25604</v>
      </c>
      <c r="W3">
        <v>41008</v>
      </c>
      <c r="X3">
        <v>21627</v>
      </c>
      <c r="Y3">
        <v>6972</v>
      </c>
      <c r="Z3">
        <v>4872</v>
      </c>
      <c r="AA3">
        <v>6854</v>
      </c>
      <c r="AB3">
        <v>683</v>
      </c>
      <c r="AC3">
        <v>3985</v>
      </c>
      <c r="AD3">
        <v>2049</v>
      </c>
      <c r="AE3">
        <v>16107</v>
      </c>
      <c r="AF3">
        <v>34121</v>
      </c>
      <c r="AG3">
        <v>5344</v>
      </c>
      <c r="AH3">
        <v>9033</v>
      </c>
      <c r="AI3">
        <v>2013</v>
      </c>
      <c r="AJ3">
        <v>4986</v>
      </c>
      <c r="AK3">
        <v>11335</v>
      </c>
      <c r="AL3">
        <v>8297</v>
      </c>
      <c r="AM3">
        <v>42291</v>
      </c>
      <c r="AN3">
        <v>2875</v>
      </c>
      <c r="AO3">
        <v>15891</v>
      </c>
      <c r="AP3">
        <v>12936</v>
      </c>
      <c r="AQ3">
        <v>8373</v>
      </c>
      <c r="AR3">
        <v>2216</v>
      </c>
      <c r="AS3">
        <v>1283</v>
      </c>
    </row>
    <row r="4" spans="1:45" ht="12.75">
      <c r="A4" t="s">
        <v>95</v>
      </c>
      <c r="B4">
        <v>115904</v>
      </c>
      <c r="C4">
        <v>29534</v>
      </c>
      <c r="D4">
        <v>73639</v>
      </c>
      <c r="E4">
        <v>12731</v>
      </c>
      <c r="F4">
        <v>788</v>
      </c>
      <c r="G4">
        <v>20909</v>
      </c>
      <c r="H4">
        <v>36851</v>
      </c>
      <c r="I4">
        <v>41178</v>
      </c>
      <c r="J4">
        <v>4453</v>
      </c>
      <c r="K4">
        <v>57382</v>
      </c>
      <c r="L4">
        <v>7059</v>
      </c>
      <c r="M4">
        <v>5832</v>
      </c>
      <c r="N4">
        <v>4655</v>
      </c>
      <c r="O4">
        <v>80135</v>
      </c>
      <c r="P4">
        <v>49068</v>
      </c>
      <c r="Q4">
        <v>23567</v>
      </c>
      <c r="R4">
        <v>9962</v>
      </c>
      <c r="S4">
        <v>6961</v>
      </c>
      <c r="T4">
        <v>2846</v>
      </c>
      <c r="U4">
        <v>5732</v>
      </c>
      <c r="V4">
        <v>23861</v>
      </c>
      <c r="W4">
        <v>39244</v>
      </c>
      <c r="X4">
        <v>23059</v>
      </c>
      <c r="Y4">
        <v>2872</v>
      </c>
      <c r="Z4">
        <v>4125</v>
      </c>
      <c r="AA4">
        <v>8483</v>
      </c>
      <c r="AB4">
        <v>705</v>
      </c>
      <c r="AC4">
        <v>5367</v>
      </c>
      <c r="AD4">
        <v>1645</v>
      </c>
      <c r="AE4">
        <v>13276</v>
      </c>
      <c r="AF4">
        <v>38022</v>
      </c>
      <c r="AG4">
        <v>3890</v>
      </c>
      <c r="AH4">
        <v>7729</v>
      </c>
      <c r="AI4">
        <v>1716</v>
      </c>
      <c r="AJ4">
        <v>3096</v>
      </c>
      <c r="AK4">
        <v>10996</v>
      </c>
      <c r="AL4">
        <v>11817</v>
      </c>
      <c r="AM4">
        <v>40813</v>
      </c>
      <c r="AN4">
        <v>4737</v>
      </c>
      <c r="AO4">
        <v>11825</v>
      </c>
      <c r="AP4">
        <v>14441</v>
      </c>
      <c r="AQ4">
        <v>6125</v>
      </c>
      <c r="AR4">
        <v>3685</v>
      </c>
      <c r="AS4">
        <v>1569</v>
      </c>
    </row>
    <row r="5" spans="1:45" ht="12.75">
      <c r="A5" t="s">
        <v>96</v>
      </c>
      <c r="B5">
        <v>121678</v>
      </c>
      <c r="C5">
        <v>37020</v>
      </c>
      <c r="D5">
        <v>71897</v>
      </c>
      <c r="E5">
        <v>12761</v>
      </c>
      <c r="F5">
        <v>535</v>
      </c>
      <c r="G5">
        <v>23093</v>
      </c>
      <c r="H5">
        <v>35047</v>
      </c>
      <c r="I5">
        <v>43397</v>
      </c>
      <c r="J5">
        <v>5050</v>
      </c>
      <c r="K5">
        <v>60626</v>
      </c>
      <c r="L5">
        <v>10211</v>
      </c>
      <c r="M5">
        <v>2394</v>
      </c>
      <c r="N5">
        <v>4517</v>
      </c>
      <c r="O5">
        <v>78086</v>
      </c>
      <c r="P5">
        <v>44547</v>
      </c>
      <c r="Q5">
        <v>18712</v>
      </c>
      <c r="R5">
        <v>10282</v>
      </c>
      <c r="S5">
        <v>5400</v>
      </c>
      <c r="T5">
        <v>2714</v>
      </c>
      <c r="U5">
        <v>7439</v>
      </c>
      <c r="V5">
        <v>33209</v>
      </c>
      <c r="W5">
        <v>39483</v>
      </c>
      <c r="X5">
        <v>21422</v>
      </c>
      <c r="Y5">
        <v>8271</v>
      </c>
      <c r="Z5">
        <v>2869</v>
      </c>
      <c r="AA5">
        <v>5991</v>
      </c>
      <c r="AB5">
        <v>930</v>
      </c>
      <c r="AC5">
        <v>5898</v>
      </c>
      <c r="AD5">
        <v>1690</v>
      </c>
      <c r="AE5">
        <v>15720</v>
      </c>
      <c r="AF5">
        <v>32345</v>
      </c>
      <c r="AG5">
        <v>4200</v>
      </c>
      <c r="AH5">
        <v>6405</v>
      </c>
      <c r="AI5">
        <v>1656</v>
      </c>
      <c r="AJ5">
        <v>4984</v>
      </c>
      <c r="AK5">
        <v>9314</v>
      </c>
      <c r="AL5">
        <v>12924</v>
      </c>
      <c r="AM5">
        <v>40742</v>
      </c>
      <c r="AN5">
        <v>3004</v>
      </c>
      <c r="AO5">
        <v>14088</v>
      </c>
      <c r="AP5">
        <v>16978</v>
      </c>
      <c r="AQ5">
        <v>5430</v>
      </c>
      <c r="AR5">
        <v>1242</v>
      </c>
      <c r="AS5">
        <v>1259</v>
      </c>
    </row>
    <row r="6" spans="1:45" ht="12.75">
      <c r="A6" t="s">
        <v>97</v>
      </c>
      <c r="B6">
        <v>126693</v>
      </c>
      <c r="C6">
        <v>29734</v>
      </c>
      <c r="D6">
        <v>88102</v>
      </c>
      <c r="E6">
        <v>8857</v>
      </c>
      <c r="F6">
        <v>7475</v>
      </c>
      <c r="G6">
        <v>19679</v>
      </c>
      <c r="H6">
        <v>51070</v>
      </c>
      <c r="I6">
        <v>34628</v>
      </c>
      <c r="J6">
        <v>7478</v>
      </c>
      <c r="K6">
        <v>51284</v>
      </c>
      <c r="L6">
        <v>28688</v>
      </c>
      <c r="M6">
        <v>4615</v>
      </c>
      <c r="N6">
        <v>8801</v>
      </c>
      <c r="O6">
        <v>92865</v>
      </c>
      <c r="P6">
        <v>55667</v>
      </c>
      <c r="Q6">
        <v>25187</v>
      </c>
      <c r="R6">
        <v>10079</v>
      </c>
      <c r="S6">
        <v>4796</v>
      </c>
      <c r="T6">
        <v>7117</v>
      </c>
      <c r="U6">
        <v>8488</v>
      </c>
      <c r="V6">
        <v>25495</v>
      </c>
      <c r="W6">
        <v>47748</v>
      </c>
      <c r="X6">
        <v>14230</v>
      </c>
      <c r="Y6">
        <v>10738</v>
      </c>
      <c r="Z6">
        <v>7497</v>
      </c>
      <c r="AA6">
        <v>14149</v>
      </c>
      <c r="AB6">
        <v>1134</v>
      </c>
      <c r="AC6">
        <v>13563</v>
      </c>
      <c r="AD6">
        <v>2210</v>
      </c>
      <c r="AE6">
        <v>25912</v>
      </c>
      <c r="AF6">
        <v>27367</v>
      </c>
      <c r="AG6">
        <v>3331</v>
      </c>
      <c r="AH6">
        <v>14893</v>
      </c>
      <c r="AI6">
        <v>744</v>
      </c>
      <c r="AJ6">
        <v>5554</v>
      </c>
      <c r="AK6">
        <v>13145</v>
      </c>
      <c r="AL6">
        <v>10081</v>
      </c>
      <c r="AM6">
        <v>50072</v>
      </c>
      <c r="AN6">
        <v>2627</v>
      </c>
      <c r="AO6">
        <v>6343</v>
      </c>
      <c r="AP6">
        <v>14023</v>
      </c>
      <c r="AQ6">
        <v>24710</v>
      </c>
      <c r="AR6">
        <v>2369</v>
      </c>
      <c r="AS6">
        <v>2324</v>
      </c>
    </row>
    <row r="7" spans="1:45" ht="12.75">
      <c r="A7" t="s">
        <v>98</v>
      </c>
      <c r="B7">
        <v>101422</v>
      </c>
      <c r="C7">
        <v>22067</v>
      </c>
      <c r="D7">
        <v>64000</v>
      </c>
      <c r="E7">
        <v>15355</v>
      </c>
      <c r="F7">
        <v>591</v>
      </c>
      <c r="G7">
        <v>21102</v>
      </c>
      <c r="H7">
        <v>8610</v>
      </c>
      <c r="I7">
        <v>87064</v>
      </c>
      <c r="J7">
        <v>4751</v>
      </c>
      <c r="K7">
        <v>4265</v>
      </c>
      <c r="L7">
        <v>4490</v>
      </c>
      <c r="M7">
        <v>852</v>
      </c>
      <c r="N7">
        <v>774</v>
      </c>
      <c r="O7">
        <v>71953</v>
      </c>
      <c r="P7">
        <v>48707</v>
      </c>
      <c r="Q7">
        <v>27521</v>
      </c>
      <c r="R7">
        <v>9916</v>
      </c>
      <c r="S7">
        <v>4264</v>
      </c>
      <c r="T7">
        <v>1928</v>
      </c>
      <c r="U7">
        <v>5078</v>
      </c>
      <c r="V7">
        <v>23809</v>
      </c>
      <c r="W7">
        <v>43207</v>
      </c>
      <c r="X7">
        <v>25136</v>
      </c>
      <c r="Y7">
        <v>9728</v>
      </c>
      <c r="Z7">
        <v>3271</v>
      </c>
      <c r="AA7">
        <v>4431</v>
      </c>
      <c r="AB7">
        <v>641</v>
      </c>
      <c r="AC7">
        <v>3522</v>
      </c>
      <c r="AD7">
        <v>1432</v>
      </c>
      <c r="AE7">
        <v>14803</v>
      </c>
      <c r="AF7">
        <v>40788</v>
      </c>
      <c r="AG7">
        <v>5575</v>
      </c>
      <c r="AH7">
        <v>8431</v>
      </c>
      <c r="AI7">
        <v>2774</v>
      </c>
      <c r="AJ7">
        <v>5109</v>
      </c>
      <c r="AK7">
        <v>12520</v>
      </c>
      <c r="AL7">
        <v>8798</v>
      </c>
      <c r="AM7">
        <v>44274</v>
      </c>
      <c r="AN7">
        <v>3720</v>
      </c>
      <c r="AO7">
        <v>18871</v>
      </c>
      <c r="AP7">
        <v>12485</v>
      </c>
      <c r="AQ7">
        <v>8058</v>
      </c>
      <c r="AR7">
        <v>1140</v>
      </c>
      <c r="AS7">
        <v>1067</v>
      </c>
    </row>
    <row r="8" spans="1:45" ht="12.75">
      <c r="A8" t="s">
        <v>99</v>
      </c>
      <c r="B8">
        <v>107090</v>
      </c>
      <c r="C8">
        <v>25175</v>
      </c>
      <c r="D8">
        <v>68769</v>
      </c>
      <c r="E8">
        <v>13146</v>
      </c>
      <c r="F8">
        <v>1557</v>
      </c>
      <c r="G8">
        <v>19064</v>
      </c>
      <c r="H8">
        <v>31918</v>
      </c>
      <c r="I8">
        <v>42486</v>
      </c>
      <c r="J8">
        <v>4406</v>
      </c>
      <c r="K8">
        <v>41599</v>
      </c>
      <c r="L8">
        <v>16321</v>
      </c>
      <c r="M8">
        <v>2278</v>
      </c>
      <c r="N8">
        <v>3939</v>
      </c>
      <c r="O8">
        <v>75624</v>
      </c>
      <c r="P8">
        <v>49735</v>
      </c>
      <c r="Q8">
        <v>24806</v>
      </c>
      <c r="R8">
        <v>9898</v>
      </c>
      <c r="S8">
        <v>5334</v>
      </c>
      <c r="T8">
        <v>3789</v>
      </c>
      <c r="U8">
        <v>5908</v>
      </c>
      <c r="V8">
        <v>23749</v>
      </c>
      <c r="W8">
        <v>37878</v>
      </c>
      <c r="X8">
        <v>23617</v>
      </c>
      <c r="Y8">
        <v>2464</v>
      </c>
      <c r="Z8">
        <v>4265</v>
      </c>
      <c r="AA8">
        <v>6917</v>
      </c>
      <c r="AB8">
        <v>615</v>
      </c>
      <c r="AC8">
        <v>4464</v>
      </c>
      <c r="AD8">
        <v>1611</v>
      </c>
      <c r="AE8">
        <v>13040</v>
      </c>
      <c r="AF8">
        <v>36494</v>
      </c>
      <c r="AG8">
        <v>4140</v>
      </c>
      <c r="AH8">
        <v>6498</v>
      </c>
      <c r="AI8">
        <v>1994</v>
      </c>
      <c r="AJ8">
        <v>4048</v>
      </c>
      <c r="AK8">
        <v>10738</v>
      </c>
      <c r="AL8">
        <v>10460</v>
      </c>
      <c r="AM8">
        <v>39269</v>
      </c>
      <c r="AN8">
        <v>3510</v>
      </c>
      <c r="AO8">
        <v>17626</v>
      </c>
      <c r="AP8">
        <v>12018</v>
      </c>
      <c r="AQ8">
        <v>4345</v>
      </c>
      <c r="AR8">
        <v>1770</v>
      </c>
      <c r="AS8">
        <v>1391</v>
      </c>
    </row>
    <row r="9" spans="1:45" ht="12.75">
      <c r="A9" t="s">
        <v>100</v>
      </c>
      <c r="B9">
        <v>104067</v>
      </c>
      <c r="C9">
        <v>18840</v>
      </c>
      <c r="D9">
        <v>70923</v>
      </c>
      <c r="E9">
        <v>14304</v>
      </c>
      <c r="F9">
        <v>2560</v>
      </c>
      <c r="G9">
        <v>18651</v>
      </c>
      <c r="H9">
        <v>14915</v>
      </c>
      <c r="I9">
        <v>80723</v>
      </c>
      <c r="J9">
        <v>4559</v>
      </c>
      <c r="K9">
        <v>12897</v>
      </c>
      <c r="L9">
        <v>4673</v>
      </c>
      <c r="M9">
        <v>1215</v>
      </c>
      <c r="N9">
        <v>1381</v>
      </c>
      <c r="O9">
        <v>78098</v>
      </c>
      <c r="P9">
        <v>48875</v>
      </c>
      <c r="Q9">
        <v>26102</v>
      </c>
      <c r="R9">
        <v>9080</v>
      </c>
      <c r="S9">
        <v>4687</v>
      </c>
      <c r="T9">
        <v>4988</v>
      </c>
      <c r="U9">
        <v>4018</v>
      </c>
      <c r="V9">
        <v>19379</v>
      </c>
      <c r="W9">
        <v>41125</v>
      </c>
      <c r="X9">
        <v>23859</v>
      </c>
      <c r="Y9">
        <v>5940</v>
      </c>
      <c r="Z9">
        <v>3023</v>
      </c>
      <c r="AA9">
        <v>7712</v>
      </c>
      <c r="AB9">
        <v>591</v>
      </c>
      <c r="AC9">
        <v>3984</v>
      </c>
      <c r="AD9">
        <v>1647</v>
      </c>
      <c r="AE9">
        <v>13597</v>
      </c>
      <c r="AF9">
        <v>40388</v>
      </c>
      <c r="AG9">
        <v>5123</v>
      </c>
      <c r="AH9">
        <v>7777</v>
      </c>
      <c r="AI9">
        <v>2415</v>
      </c>
      <c r="AJ9">
        <v>3649</v>
      </c>
      <c r="AK9">
        <v>13937</v>
      </c>
      <c r="AL9">
        <v>8224</v>
      </c>
      <c r="AM9">
        <v>42605</v>
      </c>
      <c r="AN9">
        <v>3484</v>
      </c>
      <c r="AO9">
        <v>15950</v>
      </c>
      <c r="AP9">
        <v>14694</v>
      </c>
      <c r="AQ9">
        <v>6784</v>
      </c>
      <c r="AR9">
        <v>1693</v>
      </c>
      <c r="AS9">
        <v>1480</v>
      </c>
    </row>
    <row r="10" spans="1:45" ht="12.75">
      <c r="A10" t="s">
        <v>104</v>
      </c>
      <c r="B10">
        <v>95107</v>
      </c>
      <c r="C10">
        <v>17371</v>
      </c>
      <c r="D10">
        <v>58677</v>
      </c>
      <c r="E10">
        <v>19059</v>
      </c>
      <c r="F10">
        <v>562</v>
      </c>
      <c r="G10">
        <v>15993</v>
      </c>
      <c r="H10">
        <v>7052</v>
      </c>
      <c r="I10">
        <v>84328</v>
      </c>
      <c r="J10">
        <v>2068</v>
      </c>
      <c r="K10">
        <v>6336</v>
      </c>
      <c r="L10">
        <v>1893</v>
      </c>
      <c r="M10">
        <v>482</v>
      </c>
      <c r="N10">
        <v>470</v>
      </c>
      <c r="O10">
        <v>68137</v>
      </c>
      <c r="P10">
        <v>49251</v>
      </c>
      <c r="Q10">
        <v>28590</v>
      </c>
      <c r="R10">
        <v>9574</v>
      </c>
      <c r="S10">
        <v>7110</v>
      </c>
      <c r="T10">
        <v>1775</v>
      </c>
      <c r="U10">
        <v>2202</v>
      </c>
      <c r="V10">
        <v>14344</v>
      </c>
      <c r="W10">
        <v>39887</v>
      </c>
      <c r="X10">
        <v>31872</v>
      </c>
      <c r="Y10">
        <v>1907</v>
      </c>
      <c r="Z10">
        <v>1424</v>
      </c>
      <c r="AA10">
        <v>4284</v>
      </c>
      <c r="AB10">
        <v>400</v>
      </c>
      <c r="AC10">
        <v>1460</v>
      </c>
      <c r="AD10">
        <v>841</v>
      </c>
      <c r="AE10">
        <v>6386</v>
      </c>
      <c r="AF10">
        <v>56878</v>
      </c>
      <c r="AG10">
        <v>5732</v>
      </c>
      <c r="AH10">
        <v>5661</v>
      </c>
      <c r="AI10">
        <v>4436</v>
      </c>
      <c r="AJ10">
        <v>2130</v>
      </c>
      <c r="AK10">
        <v>12500</v>
      </c>
      <c r="AL10">
        <v>9428</v>
      </c>
      <c r="AM10">
        <v>41205</v>
      </c>
      <c r="AN10">
        <v>14836</v>
      </c>
      <c r="AO10">
        <v>14631</v>
      </c>
      <c r="AP10">
        <v>4038</v>
      </c>
      <c r="AQ10">
        <v>6759</v>
      </c>
      <c r="AR10">
        <v>941</v>
      </c>
      <c r="AS10">
        <v>1318</v>
      </c>
    </row>
    <row r="11" spans="1:45" ht="12.75">
      <c r="A11" t="s">
        <v>105</v>
      </c>
      <c r="B11">
        <v>106738</v>
      </c>
      <c r="C11">
        <v>25573</v>
      </c>
      <c r="D11">
        <v>66321</v>
      </c>
      <c r="E11">
        <v>14844</v>
      </c>
      <c r="F11">
        <v>771</v>
      </c>
      <c r="G11">
        <v>21290</v>
      </c>
      <c r="H11">
        <v>19105</v>
      </c>
      <c r="I11">
        <v>70060</v>
      </c>
      <c r="J11">
        <v>4371</v>
      </c>
      <c r="K11">
        <v>25286</v>
      </c>
      <c r="L11">
        <v>5639</v>
      </c>
      <c r="M11">
        <v>1382</v>
      </c>
      <c r="N11">
        <v>2220</v>
      </c>
      <c r="O11">
        <v>73783</v>
      </c>
      <c r="P11">
        <v>48877</v>
      </c>
      <c r="Q11">
        <v>25975</v>
      </c>
      <c r="R11">
        <v>10360</v>
      </c>
      <c r="S11">
        <v>4956</v>
      </c>
      <c r="T11">
        <v>2210</v>
      </c>
      <c r="U11">
        <v>5376</v>
      </c>
      <c r="V11">
        <v>27139</v>
      </c>
      <c r="W11">
        <v>41447</v>
      </c>
      <c r="X11">
        <v>24860</v>
      </c>
      <c r="Y11">
        <v>7386</v>
      </c>
      <c r="Z11">
        <v>1962</v>
      </c>
      <c r="AA11">
        <v>6558</v>
      </c>
      <c r="AB11">
        <v>681</v>
      </c>
      <c r="AC11">
        <v>4192</v>
      </c>
      <c r="AD11">
        <v>2185</v>
      </c>
      <c r="AE11">
        <v>14449</v>
      </c>
      <c r="AF11">
        <v>38265</v>
      </c>
      <c r="AG11">
        <v>5358</v>
      </c>
      <c r="AH11">
        <v>7670</v>
      </c>
      <c r="AI11">
        <v>2291</v>
      </c>
      <c r="AJ11">
        <v>4405</v>
      </c>
      <c r="AK11">
        <v>11457</v>
      </c>
      <c r="AL11">
        <v>10266</v>
      </c>
      <c r="AM11">
        <v>42618</v>
      </c>
      <c r="AN11">
        <v>2567</v>
      </c>
      <c r="AO11">
        <v>19412</v>
      </c>
      <c r="AP11">
        <v>12754</v>
      </c>
      <c r="AQ11">
        <v>5672</v>
      </c>
      <c r="AR11">
        <v>2213</v>
      </c>
      <c r="AS11">
        <v>1171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6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6.421875" style="0" customWidth="1"/>
    <col min="2" max="2" width="8.421875" style="0" customWidth="1"/>
    <col min="3" max="3" width="6.7109375" style="0" customWidth="1"/>
    <col min="4" max="4" width="10.28125" style="0" customWidth="1"/>
    <col min="5" max="5" width="11.140625" style="0" customWidth="1"/>
    <col min="6" max="6" width="31.8515625" style="36" bestFit="1" customWidth="1"/>
  </cols>
  <sheetData>
    <row r="1" spans="1:2" ht="12.75">
      <c r="A1" s="1" t="s">
        <v>106</v>
      </c>
      <c r="B1" s="1"/>
    </row>
    <row r="2" spans="1:6" ht="13.5" thickBot="1">
      <c r="A2" s="1" t="s">
        <v>87</v>
      </c>
      <c r="B2" s="1"/>
      <c r="F2" s="37" t="s">
        <v>108</v>
      </c>
    </row>
    <row r="3" spans="1:5" ht="30.75" customHeight="1" thickBot="1">
      <c r="A3" s="2" t="s">
        <v>107</v>
      </c>
      <c r="B3" s="40" t="s">
        <v>105</v>
      </c>
      <c r="C3" s="40"/>
      <c r="D3" s="3" t="s">
        <v>91</v>
      </c>
      <c r="E3" s="3" t="s">
        <v>88</v>
      </c>
    </row>
    <row r="4" spans="1:5" ht="12.75">
      <c r="A4" s="5"/>
      <c r="B4" s="10" t="s">
        <v>90</v>
      </c>
      <c r="C4" s="11" t="s">
        <v>89</v>
      </c>
      <c r="D4" s="16" t="s">
        <v>89</v>
      </c>
      <c r="E4" s="13" t="s">
        <v>89</v>
      </c>
    </row>
    <row r="5" spans="1:6" ht="12.75">
      <c r="A5" s="6"/>
      <c r="B5" s="12"/>
      <c r="C5" s="4"/>
      <c r="D5" s="17"/>
      <c r="E5" s="14"/>
      <c r="F5" s="38"/>
    </row>
    <row r="6" spans="1:6" ht="12.75">
      <c r="A6" s="7" t="s">
        <v>0</v>
      </c>
      <c r="B6" s="28">
        <f>VLOOKUP($B$3,lookup!$A$1:$AS$11,2,FALSE)</f>
        <v>106738</v>
      </c>
      <c r="C6" s="29">
        <f>B6/$B$6*100</f>
        <v>100</v>
      </c>
      <c r="D6" s="19">
        <v>100</v>
      </c>
      <c r="E6" s="15">
        <v>100</v>
      </c>
      <c r="F6" s="38"/>
    </row>
    <row r="7" spans="1:6" ht="12.75">
      <c r="A7" s="8" t="s">
        <v>61</v>
      </c>
      <c r="B7" s="28">
        <f>VLOOKUP($B$3,lookup!$A$1:$AS$11,3,FALSE)</f>
        <v>25573</v>
      </c>
      <c r="C7" s="29">
        <f aca="true" t="shared" si="0" ref="C7:C17">B7/$B$6*100</f>
        <v>23.958665142685827</v>
      </c>
      <c r="D7" s="18">
        <v>22.80258516651212</v>
      </c>
      <c r="E7" s="20">
        <v>18.906567920565685</v>
      </c>
      <c r="F7" s="38"/>
    </row>
    <row r="8" spans="1:6" ht="12.75">
      <c r="A8" s="8" t="s">
        <v>62</v>
      </c>
      <c r="B8" s="28">
        <f>VLOOKUP($B$3,lookup!$A$1:$AS$11,4,FALSE)</f>
        <v>66321</v>
      </c>
      <c r="C8" s="29">
        <f t="shared" si="0"/>
        <v>62.13438512994435</v>
      </c>
      <c r="D8" s="18">
        <v>64.31696713558145</v>
      </c>
      <c r="E8" s="20">
        <v>64.75665077656465</v>
      </c>
      <c r="F8" s="38"/>
    </row>
    <row r="9" spans="1:6" ht="12.75">
      <c r="A9" s="8" t="s">
        <v>63</v>
      </c>
      <c r="B9" s="28">
        <f>VLOOKUP($B$3,lookup!$A$1:$AS$11,5,FALSE)</f>
        <v>14844</v>
      </c>
      <c r="C9" s="29">
        <f t="shared" si="0"/>
        <v>13.906949727369822</v>
      </c>
      <c r="D9" s="18">
        <v>12.880447697906424</v>
      </c>
      <c r="E9" s="20">
        <v>16.33678130286965</v>
      </c>
      <c r="F9" s="38"/>
    </row>
    <row r="10" spans="1:6" ht="12.75">
      <c r="A10" s="8" t="s">
        <v>1</v>
      </c>
      <c r="B10" s="28">
        <f>VLOOKUP($B$3,lookup!$A$1:$AS$11,6,FALSE)</f>
        <v>771</v>
      </c>
      <c r="C10" s="29">
        <f t="shared" si="0"/>
        <v>0.7223294421855384</v>
      </c>
      <c r="D10" s="18">
        <v>2.0203253358433244</v>
      </c>
      <c r="E10" s="20">
        <v>1.796794700475677</v>
      </c>
      <c r="F10" s="38"/>
    </row>
    <row r="11" spans="1:6" ht="12.75">
      <c r="A11" s="8" t="s">
        <v>64</v>
      </c>
      <c r="B11" s="28">
        <f>VLOOKUP($B$3,lookup!$A$1:$AS$11,7,FALSE)</f>
        <v>21290</v>
      </c>
      <c r="C11" s="29">
        <f t="shared" si="0"/>
        <v>19.946036088365908</v>
      </c>
      <c r="D11" s="18">
        <v>18.442935757587055</v>
      </c>
      <c r="E11" s="20">
        <v>17.642242419404226</v>
      </c>
      <c r="F11" s="38"/>
    </row>
    <row r="12" spans="1:6" ht="12.75">
      <c r="A12" s="8" t="s">
        <v>65</v>
      </c>
      <c r="B12" s="28">
        <f>VLOOKUP($B$3,lookup!$A$1:$AS$11,8,FALSE)</f>
        <v>19105</v>
      </c>
      <c r="C12" s="29">
        <f t="shared" si="0"/>
        <v>17.898967565440614</v>
      </c>
      <c r="D12" s="18">
        <v>22.209040627373504</v>
      </c>
      <c r="E12" s="20">
        <v>13.840405734078798</v>
      </c>
      <c r="F12" s="38"/>
    </row>
    <row r="13" spans="1:6" ht="12.75">
      <c r="A13" s="8" t="s">
        <v>2</v>
      </c>
      <c r="B13" s="28">
        <f>VLOOKUP($B$3,lookup!$A$1:$AS$11,9,FALSE)</f>
        <v>70060</v>
      </c>
      <c r="C13" s="29">
        <f t="shared" si="0"/>
        <v>65.63735501883116</v>
      </c>
      <c r="D13" s="18">
        <v>57.931959983038915</v>
      </c>
      <c r="E13" s="20">
        <v>85.41604259949774</v>
      </c>
      <c r="F13" s="38"/>
    </row>
    <row r="14" spans="1:6" ht="12.75">
      <c r="A14" s="8" t="s">
        <v>3</v>
      </c>
      <c r="B14" s="28">
        <f>VLOOKUP($B$3,lookup!$A$1:$AS$11,10,FALSE)</f>
        <v>4371</v>
      </c>
      <c r="C14" s="29">
        <f t="shared" si="0"/>
        <v>4.095073919316458</v>
      </c>
      <c r="D14" s="18">
        <v>4.436440223848953</v>
      </c>
      <c r="E14" s="20">
        <v>2.2501862581126217</v>
      </c>
      <c r="F14" s="38"/>
    </row>
    <row r="15" spans="1:6" ht="12.75">
      <c r="A15" s="8" t="s">
        <v>4</v>
      </c>
      <c r="B15" s="28">
        <f>VLOOKUP($B$3,lookup!$A$1:$AS$11,11,FALSE)</f>
        <v>25286</v>
      </c>
      <c r="C15" s="29">
        <f t="shared" si="0"/>
        <v>23.689782457981227</v>
      </c>
      <c r="D15" s="18">
        <v>26.619573270459302</v>
      </c>
      <c r="E15" s="20">
        <v>7.8159046243773345</v>
      </c>
      <c r="F15" s="38"/>
    </row>
    <row r="16" spans="1:6" ht="12.75">
      <c r="A16" s="8" t="s">
        <v>60</v>
      </c>
      <c r="B16" s="28">
        <f>VLOOKUP($B$3,lookup!$A$1:$AS$11,12,FALSE)</f>
        <v>5639</v>
      </c>
      <c r="C16" s="29">
        <f t="shared" si="0"/>
        <v>5.283029474039236</v>
      </c>
      <c r="D16" s="18">
        <v>8.980052094739737</v>
      </c>
      <c r="E16" s="20">
        <v>3.4833587034715006</v>
      </c>
      <c r="F16" s="38"/>
    </row>
    <row r="17" spans="1:6" ht="12.75">
      <c r="A17" s="8" t="s">
        <v>5</v>
      </c>
      <c r="B17" s="28">
        <f>VLOOKUP($B$3,lookup!$A$1:$AS$11,13,FALSE)</f>
        <v>1382</v>
      </c>
      <c r="C17" s="29">
        <f t="shared" si="0"/>
        <v>1.294759129831925</v>
      </c>
      <c r="D17" s="18">
        <v>2.0319744279130885</v>
      </c>
      <c r="E17" s="20">
        <v>1.034507814540794</v>
      </c>
      <c r="F17" s="38"/>
    </row>
    <row r="18" spans="1:6" ht="12.75">
      <c r="A18" s="8"/>
      <c r="B18" s="28"/>
      <c r="C18" s="29"/>
      <c r="D18" s="18"/>
      <c r="E18" s="20"/>
      <c r="F18" s="38"/>
    </row>
    <row r="19" spans="1:6" ht="12.75">
      <c r="A19" s="7" t="s">
        <v>16</v>
      </c>
      <c r="B19" s="28"/>
      <c r="C19" s="29"/>
      <c r="D19" s="18"/>
      <c r="E19" s="20"/>
      <c r="F19" s="39"/>
    </row>
    <row r="20" spans="1:6" ht="12.75">
      <c r="A20" s="8" t="s">
        <v>66</v>
      </c>
      <c r="B20" s="28">
        <f>VLOOKUP($B$3,lookup!$A$1:$AS$11,14,FALSE)</f>
        <v>2220</v>
      </c>
      <c r="C20" s="29">
        <f>B20/B31*100</f>
        <v>5.356238087195695</v>
      </c>
      <c r="D20" s="18">
        <v>7.519185072650073</v>
      </c>
      <c r="E20" s="20">
        <v>4.443124911844828</v>
      </c>
      <c r="F20" s="39"/>
    </row>
    <row r="21" spans="1:6" ht="12.75">
      <c r="A21" s="8"/>
      <c r="B21" s="28"/>
      <c r="C21" s="29"/>
      <c r="D21" s="18"/>
      <c r="E21" s="15"/>
      <c r="F21" s="39"/>
    </row>
    <row r="22" spans="1:6" ht="12.75">
      <c r="A22" s="7" t="s">
        <v>101</v>
      </c>
      <c r="B22" s="28">
        <f>VLOOKUP($B$3,lookup!$A$1:$AS$11,15,FALSE)</f>
        <v>73783</v>
      </c>
      <c r="C22" s="30">
        <f>B22/$B$22*100</f>
        <v>100</v>
      </c>
      <c r="D22" s="19">
        <v>100</v>
      </c>
      <c r="E22" s="15">
        <v>100</v>
      </c>
      <c r="F22" s="39"/>
    </row>
    <row r="23" spans="1:6" ht="12.75">
      <c r="A23" s="8" t="s">
        <v>109</v>
      </c>
      <c r="B23" s="28">
        <f>VLOOKUP($B$3,lookup!$A$1:$AS$11,16,FALSE)</f>
        <v>48877</v>
      </c>
      <c r="C23" s="29">
        <f>B23/$B$22*100</f>
        <v>66.24425680712359</v>
      </c>
      <c r="D23" s="18">
        <v>64.21831182292188</v>
      </c>
      <c r="E23" s="20">
        <v>69.91299741619214</v>
      </c>
      <c r="F23" s="39"/>
    </row>
    <row r="24" spans="1:6" ht="12.75">
      <c r="A24" s="8" t="s">
        <v>6</v>
      </c>
      <c r="B24" s="28">
        <f>VLOOKUP($B$3,lookup!$A$1:$AS$11,17,FALSE)</f>
        <v>25975</v>
      </c>
      <c r="C24" s="29">
        <f>B24/$B$23*100</f>
        <v>53.14360537676207</v>
      </c>
      <c r="D24" s="18">
        <v>51.5479670067449</v>
      </c>
      <c r="E24" s="20">
        <v>55.242210114551185</v>
      </c>
      <c r="F24" s="39"/>
    </row>
    <row r="25" spans="1:6" ht="12.75">
      <c r="A25" s="8" t="s">
        <v>7</v>
      </c>
      <c r="B25" s="28">
        <f>VLOOKUP($B$3,lookup!$A$1:$AS$11,18,FALSE)</f>
        <v>10360</v>
      </c>
      <c r="C25" s="29">
        <f>B25/$B$23*100</f>
        <v>21.196063588190764</v>
      </c>
      <c r="D25" s="18">
        <v>19.70132378574457</v>
      </c>
      <c r="E25" s="20">
        <v>19.619768640363546</v>
      </c>
      <c r="F25" s="39"/>
    </row>
    <row r="26" spans="1:6" ht="12.75">
      <c r="A26" s="8" t="s">
        <v>8</v>
      </c>
      <c r="B26" s="28">
        <f>VLOOKUP($B$3,lookup!$A$1:$AS$11,19,FALSE)</f>
        <v>4956</v>
      </c>
      <c r="C26" s="29">
        <f>B26/$B$23*100</f>
        <v>10.13973852732369</v>
      </c>
      <c r="D26" s="18">
        <v>10.819895088494759</v>
      </c>
      <c r="E26" s="20">
        <v>13.955830111421294</v>
      </c>
      <c r="F26" s="38"/>
    </row>
    <row r="27" spans="1:6" ht="12.75">
      <c r="A27" s="8" t="s">
        <v>9</v>
      </c>
      <c r="B27" s="28">
        <f>VLOOKUP($B$3,lookup!$A$1:$AS$11,20,FALSE)</f>
        <v>2210</v>
      </c>
      <c r="C27" s="29">
        <f>B27/$B$23*100</f>
        <v>4.521554105202856</v>
      </c>
      <c r="D27" s="18">
        <v>6.846899252592575</v>
      </c>
      <c r="E27" s="20">
        <v>4.917839863497711</v>
      </c>
      <c r="F27" s="38"/>
    </row>
    <row r="28" spans="1:6" ht="12.75">
      <c r="A28" s="8" t="s">
        <v>10</v>
      </c>
      <c r="B28" s="28">
        <f>VLOOKUP($B$3,lookup!$A$1:$AS$11,21,FALSE)</f>
        <v>5376</v>
      </c>
      <c r="C28" s="29">
        <f>B28/$B$23*100</f>
        <v>10.999038402520613</v>
      </c>
      <c r="D28" s="18">
        <v>11.083914866423198</v>
      </c>
      <c r="E28" s="20">
        <v>6.264351270166273</v>
      </c>
      <c r="F28" s="38"/>
    </row>
    <row r="29" spans="1:6" ht="12.75">
      <c r="A29" s="8" t="s">
        <v>11</v>
      </c>
      <c r="B29" s="28">
        <f>VLOOKUP($B$3,lookup!$A$1:$AS$11,22,FALSE)</f>
        <v>27139</v>
      </c>
      <c r="C29" s="29">
        <f>B29/(B8+B9)*100</f>
        <v>33.436826218197496</v>
      </c>
      <c r="D29" s="18">
        <v>28.22856646180479</v>
      </c>
      <c r="E29" s="20">
        <v>22.463120167147324</v>
      </c>
      <c r="F29" s="38"/>
    </row>
    <row r="30" spans="1:6" ht="12.75">
      <c r="A30" s="6"/>
      <c r="B30" s="28"/>
      <c r="C30" s="29"/>
      <c r="D30" s="18"/>
      <c r="E30" s="15"/>
      <c r="F30" s="38"/>
    </row>
    <row r="31" spans="1:6" ht="12.75">
      <c r="A31" s="7" t="s">
        <v>12</v>
      </c>
      <c r="B31" s="28">
        <f>VLOOKUP($B$3,lookup!$A$1:$AS$11,23,FALSE)</f>
        <v>41447</v>
      </c>
      <c r="C31" s="31" t="s">
        <v>102</v>
      </c>
      <c r="D31" s="19">
        <v>100</v>
      </c>
      <c r="E31" s="27">
        <v>100</v>
      </c>
      <c r="F31" s="38"/>
    </row>
    <row r="32" spans="1:6" ht="12.75">
      <c r="A32" s="7"/>
      <c r="B32" s="28"/>
      <c r="C32" s="31"/>
      <c r="D32" s="18"/>
      <c r="E32" s="15"/>
      <c r="F32" s="38"/>
    </row>
    <row r="33" spans="1:6" ht="12.75">
      <c r="A33" s="7" t="s">
        <v>13</v>
      </c>
      <c r="B33" s="32"/>
      <c r="C33" s="29"/>
      <c r="D33" s="18"/>
      <c r="E33" s="15"/>
      <c r="F33" s="38"/>
    </row>
    <row r="34" spans="1:6" ht="12.75">
      <c r="A34" s="8" t="s">
        <v>67</v>
      </c>
      <c r="B34" s="28">
        <f>VLOOKUP($B$3,lookup!$A$1:$AS$11,24,FALSE)</f>
        <v>24860</v>
      </c>
      <c r="C34" s="29">
        <f>B34/$B$31*100</f>
        <v>59.9802156971554</v>
      </c>
      <c r="D34" s="18">
        <v>56.13240621713217</v>
      </c>
      <c r="E34" s="20">
        <v>64.12794275107953</v>
      </c>
      <c r="F34" s="38"/>
    </row>
    <row r="35" spans="1:6" ht="12.75">
      <c r="A35" s="8" t="s">
        <v>68</v>
      </c>
      <c r="B35" s="28">
        <f>VLOOKUP($B$3,lookup!$A$1:$AS$11,25,FALSE)</f>
        <v>7386</v>
      </c>
      <c r="C35" s="29">
        <f>B35/$B$31*100</f>
        <v>17.820348879291625</v>
      </c>
      <c r="D35" s="18">
        <v>15.44982665264306</v>
      </c>
      <c r="E35" s="20">
        <v>9.426384947212048</v>
      </c>
      <c r="F35" s="38"/>
    </row>
    <row r="36" spans="1:6" ht="12.75">
      <c r="A36" s="8" t="s">
        <v>69</v>
      </c>
      <c r="B36" s="28">
        <f>VLOOKUP($B$3,lookup!$A$1:$AS$11,26,FALSE)</f>
        <v>1962</v>
      </c>
      <c r="C36" s="29">
        <f>B36/$B$31*100</f>
        <v>4.733756363548628</v>
      </c>
      <c r="D36" s="18">
        <v>8.797378364691676</v>
      </c>
      <c r="E36" s="20">
        <v>8.266063458670498</v>
      </c>
      <c r="F36" s="38"/>
    </row>
    <row r="37" spans="1:6" ht="12.75">
      <c r="A37" s="8" t="s">
        <v>70</v>
      </c>
      <c r="B37" s="28">
        <f>VLOOKUP($B$3,lookup!$A$1:$AS$11,27,FALSE)</f>
        <v>6558</v>
      </c>
      <c r="C37" s="29">
        <f>B37/$B$31*100</f>
        <v>15.822616835959177</v>
      </c>
      <c r="D37" s="18">
        <v>17.871576876631217</v>
      </c>
      <c r="E37" s="20">
        <v>16.842052401065875</v>
      </c>
      <c r="F37" s="38"/>
    </row>
    <row r="38" spans="1:6" ht="12.75">
      <c r="A38" s="8" t="s">
        <v>71</v>
      </c>
      <c r="B38" s="28">
        <f>VLOOKUP($B$3,lookup!$A$1:$AS$11,28,FALSE)</f>
        <v>681</v>
      </c>
      <c r="C38" s="29">
        <f>B38/$B$31*100</f>
        <v>1.643062224045166</v>
      </c>
      <c r="D38" s="18">
        <v>1.7488118889018738</v>
      </c>
      <c r="E38" s="20">
        <v>1.3375564419720507</v>
      </c>
      <c r="F38" s="38"/>
    </row>
    <row r="39" spans="1:6" ht="12.75">
      <c r="A39" s="7" t="s">
        <v>14</v>
      </c>
      <c r="B39" s="28"/>
      <c r="C39" s="29"/>
      <c r="D39" s="18"/>
      <c r="E39" s="20"/>
      <c r="F39" s="38"/>
    </row>
    <row r="40" spans="1:6" ht="12.75">
      <c r="A40" s="7"/>
      <c r="B40" s="28"/>
      <c r="C40" s="29"/>
      <c r="D40" s="18"/>
      <c r="E40" s="20"/>
      <c r="F40" s="38"/>
    </row>
    <row r="41" spans="1:6" ht="12.75">
      <c r="A41" s="8" t="s">
        <v>103</v>
      </c>
      <c r="B41" s="28">
        <f>VLOOKUP($B$3,lookup!$A$1:$AS$11,29,FALSE)</f>
        <v>4192</v>
      </c>
      <c r="C41" s="29">
        <f>B41/$B$31*100</f>
        <v>10.114121649335296</v>
      </c>
      <c r="D41" s="18">
        <v>12.399692259748354</v>
      </c>
      <c r="E41" s="20">
        <v>8.741167712925787</v>
      </c>
      <c r="F41" s="38"/>
    </row>
    <row r="42" spans="1:6" ht="12.75">
      <c r="A42" s="8" t="s">
        <v>72</v>
      </c>
      <c r="B42" s="28">
        <f>VLOOKUP($B$3,lookup!$A$1:$AS$11,30,FALSE)</f>
        <v>2185</v>
      </c>
      <c r="C42" s="29">
        <f>B42/$B$31*100</f>
        <v>5.271792892127295</v>
      </c>
      <c r="D42" s="18">
        <v>4.095574773090258</v>
      </c>
      <c r="E42" s="20">
        <v>2.6947880305490983</v>
      </c>
      <c r="F42" s="38"/>
    </row>
    <row r="43" spans="1:6" ht="12.75">
      <c r="A43" s="8" t="s">
        <v>73</v>
      </c>
      <c r="B43" s="28">
        <f>VLOOKUP($B$3,lookup!$A$1:$AS$11,31,FALSE)</f>
        <v>14449</v>
      </c>
      <c r="C43" s="29">
        <f>B43/$B$31*100</f>
        <v>34.86138924409487</v>
      </c>
      <c r="D43" s="18">
        <v>35.81668030072845</v>
      </c>
      <c r="E43" s="20">
        <v>25.7950236790684</v>
      </c>
      <c r="F43" s="38"/>
    </row>
    <row r="44" spans="1:6" ht="12.75">
      <c r="A44" s="8" t="s">
        <v>74</v>
      </c>
      <c r="B44" s="28">
        <f>VLOOKUP($B$3,lookup!$A$1:$AS$11,32,FALSE)</f>
        <v>38265</v>
      </c>
      <c r="C44" s="31" t="s">
        <v>102</v>
      </c>
      <c r="D44" s="21" t="s">
        <v>102</v>
      </c>
      <c r="E44" s="22" t="s">
        <v>102</v>
      </c>
      <c r="F44" s="38"/>
    </row>
    <row r="45" spans="1:6" ht="12.75">
      <c r="A45" s="8"/>
      <c r="B45" s="28"/>
      <c r="C45" s="29"/>
      <c r="D45" s="18"/>
      <c r="E45" s="15"/>
      <c r="F45" s="38"/>
    </row>
    <row r="46" spans="1:6" ht="12.75">
      <c r="A46" s="7" t="s">
        <v>15</v>
      </c>
      <c r="B46" s="28"/>
      <c r="C46" s="29"/>
      <c r="D46" s="18"/>
      <c r="E46" s="15"/>
      <c r="F46" s="38"/>
    </row>
    <row r="47" spans="1:6" ht="12.75">
      <c r="A47" s="8" t="s">
        <v>75</v>
      </c>
      <c r="B47" s="28">
        <f>VLOOKUP($B$3,lookup!$A$1:$AS$11,33,FALSE)</f>
        <v>5358</v>
      </c>
      <c r="C47" s="29">
        <f aca="true" t="shared" si="1" ref="C47:C52">B47/$B$31*100</f>
        <v>12.927353005042585</v>
      </c>
      <c r="D47" s="18">
        <v>11.585543999065093</v>
      </c>
      <c r="E47" s="20">
        <v>12.353490183366384</v>
      </c>
      <c r="F47" s="38"/>
    </row>
    <row r="48" spans="1:6" ht="12.75">
      <c r="A48" s="8" t="s">
        <v>76</v>
      </c>
      <c r="B48" s="28">
        <f>VLOOKUP($B$3,lookup!$A$1:$AS$11,34,FALSE)</f>
        <v>7670</v>
      </c>
      <c r="C48" s="29">
        <f t="shared" si="1"/>
        <v>18.50556131927522</v>
      </c>
      <c r="D48" s="18">
        <v>20.357115032526977</v>
      </c>
      <c r="E48" s="20">
        <v>17.861719933239566</v>
      </c>
      <c r="F48" s="38"/>
    </row>
    <row r="49" spans="1:5" ht="12.75">
      <c r="A49" s="8" t="s">
        <v>77</v>
      </c>
      <c r="B49" s="28">
        <f>VLOOKUP($B$3,lookup!$A$1:$AS$11,35,FALSE)</f>
        <v>2291</v>
      </c>
      <c r="C49" s="29">
        <f t="shared" si="1"/>
        <v>5.527541197191594</v>
      </c>
      <c r="D49" s="18">
        <v>5.4287912430368905</v>
      </c>
      <c r="E49" s="20">
        <v>8.110570426056439</v>
      </c>
    </row>
    <row r="50" spans="1:5" ht="12.75">
      <c r="A50" s="8" t="s">
        <v>78</v>
      </c>
      <c r="B50" s="28">
        <f>VLOOKUP($B$3,lookup!$A$1:$AS$11,36,FALSE)</f>
        <v>4405</v>
      </c>
      <c r="C50" s="29">
        <f t="shared" si="1"/>
        <v>10.62803097932299</v>
      </c>
      <c r="D50" s="18">
        <v>10.096753145572826</v>
      </c>
      <c r="E50" s="20">
        <v>7.130620311459247</v>
      </c>
    </row>
    <row r="51" spans="1:5" ht="12.75">
      <c r="A51" s="8" t="s">
        <v>79</v>
      </c>
      <c r="B51" s="28">
        <f>VLOOKUP($B$3,lookup!$A$1:$AS$11,37,FALSE)</f>
        <v>11457</v>
      </c>
      <c r="C51" s="29">
        <f t="shared" si="1"/>
        <v>27.642531425676165</v>
      </c>
      <c r="D51" s="18">
        <v>28.6972653967512</v>
      </c>
      <c r="E51" s="20">
        <v>32.55835192523644</v>
      </c>
    </row>
    <row r="52" spans="1:5" ht="12.75">
      <c r="A52" s="8" t="s">
        <v>80</v>
      </c>
      <c r="B52" s="28">
        <f>VLOOKUP($B$3,lookup!$A$1:$AS$11,38,FALSE)</f>
        <v>10266</v>
      </c>
      <c r="C52" s="29">
        <f t="shared" si="1"/>
        <v>24.768982073491447</v>
      </c>
      <c r="D52" s="18">
        <v>23.834531183047016</v>
      </c>
      <c r="E52" s="20">
        <v>21.985247220641927</v>
      </c>
    </row>
    <row r="53" spans="1:5" ht="12.75">
      <c r="A53" s="8"/>
      <c r="B53" s="28"/>
      <c r="C53" s="33"/>
      <c r="D53" s="18"/>
      <c r="E53" s="15"/>
    </row>
    <row r="54" spans="1:5" ht="12.75">
      <c r="A54" s="7" t="s">
        <v>110</v>
      </c>
      <c r="B54" s="28">
        <f>VLOOKUP($B$3,lookup!$A$1:$AS$11,39,FALSE)</f>
        <v>42618</v>
      </c>
      <c r="C54" s="29">
        <f aca="true" t="shared" si="2" ref="C54:C60">B54/$B$54*100</f>
        <v>100</v>
      </c>
      <c r="D54" s="24">
        <v>100</v>
      </c>
      <c r="E54" s="15">
        <v>100</v>
      </c>
    </row>
    <row r="55" spans="1:5" ht="12.75">
      <c r="A55" s="8" t="s">
        <v>81</v>
      </c>
      <c r="B55" s="28">
        <f>VLOOKUP($B$3,lookup!$A$1:$AS$11,40,FALSE)</f>
        <v>2567</v>
      </c>
      <c r="C55" s="29">
        <f t="shared" si="2"/>
        <v>6.023276549814632</v>
      </c>
      <c r="D55" s="25">
        <v>10.926734024159305</v>
      </c>
      <c r="E55" s="20">
        <v>22.255382799334683</v>
      </c>
    </row>
    <row r="56" spans="1:5" ht="12.75">
      <c r="A56" s="8" t="s">
        <v>82</v>
      </c>
      <c r="B56" s="28">
        <f>VLOOKUP($B$3,lookup!$A$1:$AS$11,41,FALSE)</f>
        <v>19412</v>
      </c>
      <c r="C56" s="29">
        <f t="shared" si="2"/>
        <v>45.54882913323009</v>
      </c>
      <c r="D56" s="25">
        <v>34.67742504616615</v>
      </c>
      <c r="E56" s="20">
        <v>30.708059421898803</v>
      </c>
    </row>
    <row r="57" spans="1:5" ht="12.75">
      <c r="A57" s="8" t="s">
        <v>83</v>
      </c>
      <c r="B57" s="28">
        <f>VLOOKUP($B$3,lookup!$A$1:$AS$11,42,FALSE)</f>
        <v>12754</v>
      </c>
      <c r="C57" s="29">
        <f t="shared" si="2"/>
        <v>29.926322211272232</v>
      </c>
      <c r="D57" s="25">
        <v>29.428951175619567</v>
      </c>
      <c r="E57" s="20">
        <v>24.487698519928987</v>
      </c>
    </row>
    <row r="58" spans="1:5" ht="12.75">
      <c r="A58" s="8" t="s">
        <v>84</v>
      </c>
      <c r="B58" s="28">
        <f>VLOOKUP($B$3,lookup!$A$1:$AS$11,43,FALSE)</f>
        <v>5672</v>
      </c>
      <c r="C58" s="29">
        <f t="shared" si="2"/>
        <v>13.308930498850252</v>
      </c>
      <c r="D58" s="25">
        <v>20.370740657970572</v>
      </c>
      <c r="E58" s="20">
        <v>16.726413710200923</v>
      </c>
    </row>
    <row r="59" spans="1:5" ht="12.75">
      <c r="A59" s="8" t="s">
        <v>111</v>
      </c>
      <c r="B59" s="28">
        <f>VLOOKUP($B$3,lookup!$A$1:$AS$11,44,FALSE)</f>
        <v>2213</v>
      </c>
      <c r="C59" s="29">
        <f t="shared" si="2"/>
        <v>5.192641606832794</v>
      </c>
      <c r="D59" s="25">
        <v>4.596149096084404</v>
      </c>
      <c r="E59" s="20">
        <v>5.822445548636599</v>
      </c>
    </row>
    <row r="60" spans="1:5" ht="13.5" thickBot="1">
      <c r="A60" s="9" t="s">
        <v>85</v>
      </c>
      <c r="B60" s="34">
        <f>VLOOKUP($B$3,lookup!$A$1:$AS$11,45,FALSE)</f>
        <v>1171</v>
      </c>
      <c r="C60" s="35">
        <f t="shared" si="2"/>
        <v>2.747665305739359</v>
      </c>
      <c r="D60" s="26">
        <v>3.377833190228067</v>
      </c>
      <c r="E60" s="23">
        <v>4.2558794992053715</v>
      </c>
    </row>
  </sheetData>
  <sheetProtection sheet="1" objects="1" scenarios="1"/>
  <mergeCells count="1">
    <mergeCell ref="B3:C3"/>
  </mergeCells>
  <printOptions/>
  <pageMargins left="0.7480314960629921" right="0.7480314960629921" top="0.1968503937007874" bottom="0.1968503937007874" header="0.5118110236220472" footer="0.11811023622047245"/>
  <pageSetup horizontalDpi="600" verticalDpi="600" orientation="portrait" paperSize="9" r:id="rId2"/>
  <headerFooter alignWithMargins="0">
    <oddFooter>&amp;L&amp;7Planning &amp; Growth Strategy,
Planning &amp; Regeneration,
www.birmingham.gov.uk/census
population.census@birmingham.gov.uk
0121 303 4208&amp;R&amp;7Source: 2011 Census [Key Statistics], Crown Copyright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Birmingham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</dc:creator>
  <cp:keywords/>
  <dc:description/>
  <cp:lastModifiedBy>BCC</cp:lastModifiedBy>
  <cp:lastPrinted>2013-03-12T12:16:21Z</cp:lastPrinted>
  <dcterms:created xsi:type="dcterms:W3CDTF">2013-02-25T11:00:56Z</dcterms:created>
  <dcterms:modified xsi:type="dcterms:W3CDTF">2013-03-12T12:16:46Z</dcterms:modified>
  <cp:category/>
  <cp:version/>
  <cp:contentType/>
  <cp:contentStatus/>
</cp:coreProperties>
</file>