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birminghamcitycouncil-my.sharepoint.com/personal/shakera_trombley-miah_birmingham_gov_uk/Documents/Desktop/BAU/Birmingham City Council - 16912726/"/>
    </mc:Choice>
  </mc:AlternateContent>
  <xr:revisionPtr revIDLastSave="3140" documentId="13_ncr:1_{90A3E560-655F-4CF9-8D4A-6E0F62B8585E}" xr6:coauthVersionLast="47" xr6:coauthVersionMax="47" xr10:uidLastSave="{0118942A-CBDB-4069-B31F-2A6B6AE83CA1}"/>
  <workbookProtection workbookAlgorithmName="SHA-512" workbookHashValue="vcy0CZuUyIZd83WNeKPUGnoG6TaI7CcYqiq8h6FHoT4jeh6PO1g1V0smflKVy04gdDOZC/dF7lo3dErjTGbIfg==" workbookSaltValue="NTitYXAWZMvIykkapLW/Hw==" workbookSpinCount="100000" lockStructure="1"/>
  <bookViews>
    <workbookView xWindow="-108" yWindow="-108" windowWidth="23256" windowHeight="12456" tabRatio="832" firstSheet="1" activeTab="1" xr2:uid="{00000000-000D-0000-FFFF-FFFF00000000}"/>
  </bookViews>
  <sheets>
    <sheet name="Checklist" sheetId="25" state="hidden" r:id="rId1"/>
    <sheet name="CFR Return" sheetId="1" r:id="rId2"/>
    <sheet name="Accounting Test" sheetId="34" state="hidden" r:id="rId3"/>
    <sheet name="Journal1" sheetId="20" state="hidden" r:id="rId4"/>
    <sheet name="Revised Outturn - to copy" sheetId="10" state="hidden" r:id="rId5"/>
    <sheet name="Payments" sheetId="23" state="hidden" r:id="rId6"/>
    <sheet name="Cash Advances" sheetId="33" state="hidden" r:id="rId7"/>
    <sheet name="Journal2" sheetId="32" state="hidden" r:id="rId8"/>
    <sheet name="2. Accruals" sheetId="14" state="hidden" r:id="rId9"/>
    <sheet name="Accruals lookup" sheetId="22" state="hidden" r:id="rId10"/>
    <sheet name="Outturn" sheetId="12" state="hidden" r:id="rId11"/>
    <sheet name="%" sheetId="9" state="hidden" r:id="rId12"/>
    <sheet name="Budget after virements" sheetId="11" state="hidden" r:id="rId13"/>
    <sheet name="Lookup" sheetId="7" state="hidden" r:id="rId14"/>
    <sheet name="2024-25 Outturn" sheetId="13" state="hidden" r:id="rId15"/>
    <sheet name="3. School System Report" sheetId="26" state="hidden" r:id="rId16"/>
    <sheet name="Final CFR" sheetId="35" state="hidden" r:id="rId17"/>
    <sheet name="School Level" sheetId="36" state="hidden" r:id="rId18"/>
    <sheet name="Schools Finance" sheetId="37" state="hidden" r:id="rId19"/>
    <sheet name="4. Establishment" sheetId="3" state="hidden" r:id="rId20"/>
    <sheet name="Advertising &amp; Publicity" sheetId="4" state="hidden" r:id="rId21"/>
    <sheet name="5. Use of Resources" sheetId="29" state="hidden" r:id="rId22"/>
    <sheet name="CPIDs" sheetId="27" state="hidden" r:id="rId23"/>
    <sheet name="RELPTY (Related Parties)" sheetId="28" state="hidden" r:id="rId24"/>
    <sheet name="Journal workings" sheetId="30" state="hidden" r:id="rId25"/>
    <sheet name="Bank clearing" sheetId="5" state="hidden" r:id="rId26"/>
  </sheets>
  <externalReferences>
    <externalReference r:id="rId27"/>
  </externalReferences>
  <definedNames>
    <definedName name="_xlnm._FilterDatabase" localSheetId="14" hidden="1">'2024-25 Outturn'!$A$6:$DV$68</definedName>
    <definedName name="_xlnm._FilterDatabase" localSheetId="9" hidden="1">'Accruals lookup'!$A$4:$AU$191</definedName>
    <definedName name="_xlnm._FilterDatabase" localSheetId="6" hidden="1">'Cash Advances'!$A$4:$AA$204</definedName>
    <definedName name="_xlnm._FilterDatabase" localSheetId="22" hidden="1">CPIDs!$A$1:$J$1339</definedName>
    <definedName name="_xlnm._FilterDatabase" localSheetId="16" hidden="1">'Final CFR'!$A$6:$EA$192</definedName>
    <definedName name="_xlnm._FilterDatabase" localSheetId="3" hidden="1">Journal1!$A$7:$Q$82</definedName>
    <definedName name="_xlnm._FilterDatabase" localSheetId="7" hidden="1">Journal2!$A$8:$N$86</definedName>
    <definedName name="_xlnm._FilterDatabase" localSheetId="5" hidden="1">Payments!#REF!</definedName>
    <definedName name="_xlnm._FilterDatabase" localSheetId="23" hidden="1">'RELPTY (Related Parties)'!$A$1:$H$81</definedName>
    <definedName name="_xlnm._FilterDatabase" localSheetId="17" hidden="1">'School Level'!$A$7:$EA$193</definedName>
    <definedName name="aaa" localSheetId="21">#REF!</definedName>
    <definedName name="aaa" localSheetId="22">#REF!</definedName>
    <definedName name="aaa" localSheetId="5">#REF!</definedName>
    <definedName name="aaa" localSheetId="23">#REF!</definedName>
    <definedName name="aaa">#REF!</definedName>
    <definedName name="abcde" localSheetId="21">#REF!</definedName>
    <definedName name="abcde" localSheetId="22">#REF!</definedName>
    <definedName name="abcde" localSheetId="23">#REF!</definedName>
    <definedName name="abcde">#REF!</definedName>
    <definedName name="Accrual" localSheetId="15">#REF!</definedName>
    <definedName name="Accrual" localSheetId="16">#REF!</definedName>
    <definedName name="Accrual" localSheetId="17">#REF!</definedName>
    <definedName name="Accrual" localSheetId="18">#REF!</definedName>
    <definedName name="Accrual">Table1[Accrual]</definedName>
    <definedName name="Accrualsrevised" localSheetId="21">#REF!</definedName>
    <definedName name="Accrualsrevised" localSheetId="22">#REF!</definedName>
    <definedName name="Accrualsrevised" localSheetId="5">#REF!</definedName>
    <definedName name="Accrualsrevised" localSheetId="23">#REF!</definedName>
    <definedName name="Accrualsrevised">#REF!</definedName>
    <definedName name="Adjustment" localSheetId="21">#REF!</definedName>
    <definedName name="Adjustment" localSheetId="22">#REF!</definedName>
    <definedName name="Adjustment" localSheetId="5">#REF!</definedName>
    <definedName name="Adjustment" localSheetId="23">#REF!</definedName>
    <definedName name="Adjustment">#REF!</definedName>
    <definedName name="Adjustments_To_1415_SBS" localSheetId="21">#REF!</definedName>
    <definedName name="Adjustments_To_1415_SBS" localSheetId="22">#REF!</definedName>
    <definedName name="Adjustments_To_1415_SBS" localSheetId="5">#REF!</definedName>
    <definedName name="Adjustments_To_1415_SBS" localSheetId="23">#REF!</definedName>
    <definedName name="Adjustments_To_1415_SBS">#REF!</definedName>
    <definedName name="Adjustments_To_1516_SBS" localSheetId="21">#REF!</definedName>
    <definedName name="Adjustments_To_1516_SBS" localSheetId="22">#REF!</definedName>
    <definedName name="Adjustments_To_1516_SBS" localSheetId="5">#REF!</definedName>
    <definedName name="Adjustments_To_1516_SBS" localSheetId="23">#REF!</definedName>
    <definedName name="Adjustments_To_1516_SBS">#REF!</definedName>
    <definedName name="Adjustments_To_PY_SBS" localSheetId="21">#REF!</definedName>
    <definedName name="Adjustments_To_PY_SBS" localSheetId="22">#REF!</definedName>
    <definedName name="Adjustments_To_PY_SBS" localSheetId="5">#REF!</definedName>
    <definedName name="Adjustments_To_PY_SBS" localSheetId="23">#REF!</definedName>
    <definedName name="Adjustments_To_PY_SBS">#REF!</definedName>
    <definedName name="agrclient" localSheetId="21">#REF!</definedName>
    <definedName name="agrclient" localSheetId="22">#REF!</definedName>
    <definedName name="agrclient" localSheetId="23">#REF!</definedName>
    <definedName name="agrclient">#REF!</definedName>
    <definedName name="All_dist_taper" localSheetId="21">#REF!</definedName>
    <definedName name="All_dist_taper" localSheetId="22">#REF!</definedName>
    <definedName name="All_dist_taper" localSheetId="23">#REF!</definedName>
    <definedName name="All_dist_taper">#REF!</definedName>
    <definedName name="All_distance_threshold" localSheetId="21">#REF!</definedName>
    <definedName name="All_distance_threshold" localSheetId="22">#REF!</definedName>
    <definedName name="All_distance_threshold" localSheetId="5">#REF!</definedName>
    <definedName name="All_distance_threshold" localSheetId="23">#REF!</definedName>
    <definedName name="All_distance_threshold">#REF!</definedName>
    <definedName name="All_PupilNo_threshold" localSheetId="21">#REF!</definedName>
    <definedName name="All_PupilNo_threshold" localSheetId="22">#REF!</definedName>
    <definedName name="All_PupilNo_threshold" localSheetId="5">#REF!</definedName>
    <definedName name="All_PupilNo_threshold" localSheetId="23">#REF!</definedName>
    <definedName name="All_PupilNo_threshold">#REF!</definedName>
    <definedName name="Alt_Gains_Cap" localSheetId="21">#REF!</definedName>
    <definedName name="Alt_Gains_Cap" localSheetId="22">#REF!</definedName>
    <definedName name="Alt_Gains_Cap" localSheetId="5">#REF!</definedName>
    <definedName name="Alt_Gains_Cap" localSheetId="23">#REF!</definedName>
    <definedName name="Alt_Gains_Cap">#REF!</definedName>
    <definedName name="anteprevious_year" localSheetId="21">#REF!</definedName>
    <definedName name="anteprevious_year" localSheetId="22">#REF!</definedName>
    <definedName name="anteprevious_year" localSheetId="23">#REF!</definedName>
    <definedName name="anteprevious_year">#REF!</definedName>
    <definedName name="APRIL" localSheetId="21">#REF!</definedName>
    <definedName name="APRIL" localSheetId="22">#REF!</definedName>
    <definedName name="APRIL" localSheetId="5">#REF!</definedName>
    <definedName name="APRIL" localSheetId="23">#REF!</definedName>
    <definedName name="APRIL">#REF!</definedName>
    <definedName name="AUGUST" localSheetId="21">#REF!</definedName>
    <definedName name="AUGUST" localSheetId="22">#REF!</definedName>
    <definedName name="AUGUST" localSheetId="5">#REF!</definedName>
    <definedName name="AUGUST" localSheetId="23">#REF!</definedName>
    <definedName name="AUGUST">#REF!</definedName>
    <definedName name="AWPU_KS3_Rate" localSheetId="21">#REF!</definedName>
    <definedName name="AWPU_KS3_Rate" localSheetId="22">#REF!</definedName>
    <definedName name="AWPU_KS3_Rate" localSheetId="5">#REF!</definedName>
    <definedName name="AWPU_KS3_Rate" localSheetId="23">#REF!</definedName>
    <definedName name="AWPU_KS3_Rate">#REF!</definedName>
    <definedName name="AWPU_KS4_Rate" localSheetId="21">#REF!</definedName>
    <definedName name="AWPU_KS4_Rate" localSheetId="22">#REF!</definedName>
    <definedName name="AWPU_KS4_Rate" localSheetId="5">#REF!</definedName>
    <definedName name="AWPU_KS4_Rate" localSheetId="23">#REF!</definedName>
    <definedName name="AWPU_KS4_Rate">#REF!</definedName>
    <definedName name="AWPU_Pri_Rate" localSheetId="21">#REF!</definedName>
    <definedName name="AWPU_Pri_Rate" localSheetId="22">#REF!</definedName>
    <definedName name="AWPU_Pri_Rate" localSheetId="5">#REF!</definedName>
    <definedName name="AWPU_Pri_Rate" localSheetId="23">#REF!</definedName>
    <definedName name="AWPU_Pri_Rate">#REF!</definedName>
    <definedName name="AWPU_Primary_DD_rate" localSheetId="21">#REF!</definedName>
    <definedName name="AWPU_Primary_DD_rate" localSheetId="22">#REF!</definedName>
    <definedName name="AWPU_Primary_DD_rate" localSheetId="5">#REF!</definedName>
    <definedName name="AWPU_Primary_DD_rate" localSheetId="23">#REF!</definedName>
    <definedName name="AWPU_Primary_DD_rate">#REF!</definedName>
    <definedName name="AWPU_Sec_DD_rate" localSheetId="21">#REF!</definedName>
    <definedName name="AWPU_Sec_DD_rate" localSheetId="22">#REF!</definedName>
    <definedName name="AWPU_Sec_DD_rate" localSheetId="5">#REF!</definedName>
    <definedName name="AWPU_Sec_DD_rate" localSheetId="23">#REF!</definedName>
    <definedName name="AWPU_Sec_DD_rate">#REF!</definedName>
    <definedName name="BalanceSheet" localSheetId="21">#REF!</definedName>
    <definedName name="BalanceSheet" localSheetId="22">#REF!</definedName>
    <definedName name="BalanceSheet" localSheetId="5">#REF!</definedName>
    <definedName name="BalanceSheet" localSheetId="23">#REF!</definedName>
    <definedName name="BalanceSheet">#REF!</definedName>
    <definedName name="BANK" localSheetId="21">#REF!</definedName>
    <definedName name="BANK" localSheetId="22">#REF!</definedName>
    <definedName name="BANK" localSheetId="5">#REF!</definedName>
    <definedName name="BANK" localSheetId="23">#REF!</definedName>
    <definedName name="BANK">#REF!</definedName>
    <definedName name="BlockTransfersDSGSchoolsBlock" localSheetId="21">#REF!</definedName>
    <definedName name="BlockTransfersDSGSchoolsBlock" localSheetId="22">#REF!</definedName>
    <definedName name="BlockTransfersDSGSchoolsBlock" localSheetId="23">#REF!</definedName>
    <definedName name="BlockTransfersDSGSchoolsBlock">#REF!</definedName>
    <definedName name="BUDGET" localSheetId="21">#REF!</definedName>
    <definedName name="BUDGET" localSheetId="22">#REF!</definedName>
    <definedName name="BUDGET" localSheetId="5">#REF!</definedName>
    <definedName name="BUDGET" localSheetId="23">#REF!</definedName>
    <definedName name="BUDGET">#REF!</definedName>
    <definedName name="BUDGET94" localSheetId="21">#REF!</definedName>
    <definedName name="BUDGET94" localSheetId="22">#REF!</definedName>
    <definedName name="BUDGET94" localSheetId="5">#REF!</definedName>
    <definedName name="BUDGET94" localSheetId="23">#REF!</definedName>
    <definedName name="BUDGET94">#REF!</definedName>
    <definedName name="Capping_Scaling_YesNo" localSheetId="21">#REF!</definedName>
    <definedName name="Capping_Scaling_YesNo" localSheetId="22">#REF!</definedName>
    <definedName name="Capping_Scaling_YesNo" localSheetId="5">#REF!</definedName>
    <definedName name="Capping_Scaling_YesNo" localSheetId="23">#REF!</definedName>
    <definedName name="Capping_Scaling_YesNo">#REF!</definedName>
    <definedName name="Ceiling" localSheetId="21">#REF!</definedName>
    <definedName name="Ceiling" localSheetId="22">#REF!</definedName>
    <definedName name="Ceiling" localSheetId="5">#REF!</definedName>
    <definedName name="Ceiling" localSheetId="23">#REF!</definedName>
    <definedName name="Ceiling">#REF!</definedName>
    <definedName name="column" localSheetId="21">#REF!</definedName>
    <definedName name="column" localSheetId="22">#REF!</definedName>
    <definedName name="column" localSheetId="5">#REF!</definedName>
    <definedName name="column" localSheetId="23">#REF!</definedName>
    <definedName name="column">#REF!</definedName>
    <definedName name="CommentaryAdditionalFundingFromHN" localSheetId="21">#REF!</definedName>
    <definedName name="CommentaryAdditionalFundingFromHN" localSheetId="22">#REF!</definedName>
    <definedName name="CommentaryAdditionalFundingFromHN" localSheetId="23">#REF!</definedName>
    <definedName name="CommentaryAdditionalFundingFromHN">#REF!</definedName>
    <definedName name="CommentaryFallingRollsFund" localSheetId="21">#REF!</definedName>
    <definedName name="CommentaryFallingRollsFund" localSheetId="22">#REF!</definedName>
    <definedName name="CommentaryFallingRollsFund" localSheetId="23">#REF!</definedName>
    <definedName name="CommentaryFallingRollsFund">#REF!</definedName>
    <definedName name="CommentaryGrowth" localSheetId="21">#REF!</definedName>
    <definedName name="CommentaryGrowth" localSheetId="22">#REF!</definedName>
    <definedName name="CommentaryGrowth" localSheetId="23">#REF!</definedName>
    <definedName name="CommentaryGrowth">#REF!</definedName>
    <definedName name="CommentaryPFI" localSheetId="21">#REF!</definedName>
    <definedName name="CommentaryPFI" localSheetId="22">#REF!</definedName>
    <definedName name="CommentaryPFI" localSheetId="23">#REF!</definedName>
    <definedName name="CommentaryPFI">#REF!</definedName>
    <definedName name="CostCentre" localSheetId="21">#REF!</definedName>
    <definedName name="CostCentre" localSheetId="22">#REF!</definedName>
    <definedName name="CostCentre" localSheetId="5">#REF!</definedName>
    <definedName name="CostCentre" localSheetId="23">#REF!</definedName>
    <definedName name="CostCentre">#REF!</definedName>
    <definedName name="Creditors" localSheetId="16">#REF!</definedName>
    <definedName name="Creditors" localSheetId="17">#REF!</definedName>
    <definedName name="Creditors" localSheetId="18">#REF!</definedName>
    <definedName name="Creditors">Table2[Creditors]</definedName>
    <definedName name="current_year" localSheetId="21">#REF!</definedName>
    <definedName name="current_year" localSheetId="22">#REF!</definedName>
    <definedName name="current_year" localSheetId="23">#REF!</definedName>
    <definedName name="current_year">#REF!</definedName>
    <definedName name="current_year_full" localSheetId="21">#REF!</definedName>
    <definedName name="current_year_full" localSheetId="22">#REF!</definedName>
    <definedName name="current_year_full" localSheetId="23">#REF!</definedName>
    <definedName name="current_year_full">#REF!</definedName>
    <definedName name="CY_MFG_Exclusion_Totals" localSheetId="21">#REF!</definedName>
    <definedName name="CY_MFG_Exclusion_Totals" localSheetId="22">#REF!</definedName>
    <definedName name="CY_MFG_Exclusion_Totals" localSheetId="23">#REF!</definedName>
    <definedName name="CY_MFG_Exclusion_Totals">#REF!</definedName>
    <definedName name="Debtors" localSheetId="16">#REF!</definedName>
    <definedName name="Debtors" localSheetId="17">#REF!</definedName>
    <definedName name="Debtors" localSheetId="18">#REF!</definedName>
    <definedName name="Debtors">Table3[Debtors]</definedName>
    <definedName name="DECEMBER" localSheetId="21">#REF!</definedName>
    <definedName name="DECEMBER" localSheetId="22">#REF!</definedName>
    <definedName name="DECEMBER" localSheetId="5">#REF!</definedName>
    <definedName name="DECEMBER" localSheetId="23">#REF!</definedName>
    <definedName name="DECEMBER">#REF!</definedName>
    <definedName name="dsource" localSheetId="21">#REF!</definedName>
    <definedName name="dsource" localSheetId="22">#REF!</definedName>
    <definedName name="dsource" localSheetId="23">#REF!</definedName>
    <definedName name="dsource">#REF!</definedName>
    <definedName name="EAL_Pri" localSheetId="21">#REF!</definedName>
    <definedName name="EAL_Pri" localSheetId="22">#REF!</definedName>
    <definedName name="EAL_Pri" localSheetId="5">#REF!</definedName>
    <definedName name="EAL_Pri" localSheetId="23">#REF!</definedName>
    <definedName name="EAL_Pri">#REF!</definedName>
    <definedName name="EAL_Pri_DD_rate" localSheetId="21">#REF!</definedName>
    <definedName name="EAL_Pri_DD_rate" localSheetId="22">#REF!</definedName>
    <definedName name="EAL_Pri_DD_rate" localSheetId="5">#REF!</definedName>
    <definedName name="EAL_Pri_DD_rate" localSheetId="23">#REF!</definedName>
    <definedName name="EAL_Pri_DD_rate">#REF!</definedName>
    <definedName name="EAL_Pri_Option" localSheetId="21">#REF!</definedName>
    <definedName name="EAL_Pri_Option" localSheetId="22">#REF!</definedName>
    <definedName name="EAL_Pri_Option" localSheetId="5">#REF!</definedName>
    <definedName name="EAL_Pri_Option" localSheetId="23">#REF!</definedName>
    <definedName name="EAL_Pri_Option">#REF!</definedName>
    <definedName name="EAL_Sec" localSheetId="21">#REF!</definedName>
    <definedName name="EAL_Sec" localSheetId="22">#REF!</definedName>
    <definedName name="EAL_Sec" localSheetId="5">#REF!</definedName>
    <definedName name="EAL_Sec" localSheetId="23">#REF!</definedName>
    <definedName name="EAL_Sec">#REF!</definedName>
    <definedName name="EAL_Sec_DD_rate" localSheetId="21">#REF!</definedName>
    <definedName name="EAL_Sec_DD_rate" localSheetId="22">#REF!</definedName>
    <definedName name="EAL_Sec_DD_rate" localSheetId="5">#REF!</definedName>
    <definedName name="EAL_Sec_DD_rate" localSheetId="23">#REF!</definedName>
    <definedName name="EAL_Sec_DD_rate">#REF!</definedName>
    <definedName name="EAL_Sec_Option" localSheetId="21">#REF!</definedName>
    <definedName name="EAL_Sec_Option" localSheetId="22">#REF!</definedName>
    <definedName name="EAL_Sec_Option" localSheetId="5">#REF!</definedName>
    <definedName name="EAL_Sec_Option" localSheetId="23">#REF!</definedName>
    <definedName name="EAL_Sec_Option">#REF!</definedName>
    <definedName name="EarlyYears" localSheetId="21">#REF!</definedName>
    <definedName name="EarlyYears" localSheetId="22">#REF!</definedName>
    <definedName name="EarlyYears" localSheetId="5">#REF!</definedName>
    <definedName name="EarlyYears" localSheetId="23">#REF!</definedName>
    <definedName name="EarlyYears">#REF!</definedName>
    <definedName name="Ever6_Pri_DD_Rate" localSheetId="21">#REF!</definedName>
    <definedName name="Ever6_Pri_DD_Rate" localSheetId="22">#REF!</definedName>
    <definedName name="Ever6_Pri_DD_Rate" localSheetId="5">#REF!</definedName>
    <definedName name="Ever6_Pri_DD_Rate" localSheetId="23">#REF!</definedName>
    <definedName name="Ever6_Pri_DD_Rate">#REF!</definedName>
    <definedName name="Ever6_pri_rate" localSheetId="21">#REF!</definedName>
    <definedName name="Ever6_pri_rate" localSheetId="22">#REF!</definedName>
    <definedName name="Ever6_pri_rate" localSheetId="5">#REF!</definedName>
    <definedName name="Ever6_pri_rate" localSheetId="23">#REF!</definedName>
    <definedName name="Ever6_pri_rate">#REF!</definedName>
    <definedName name="Ever6_Sec_DD_Rate" localSheetId="21">#REF!</definedName>
    <definedName name="Ever6_Sec_DD_Rate" localSheetId="22">#REF!</definedName>
    <definedName name="Ever6_Sec_DD_Rate" localSheetId="5">#REF!</definedName>
    <definedName name="Ever6_Sec_DD_Rate" localSheetId="23">#REF!</definedName>
    <definedName name="Ever6_Sec_DD_Rate">#REF!</definedName>
    <definedName name="Ever6_sec_rate" localSheetId="21">#REF!</definedName>
    <definedName name="Ever6_sec_rate" localSheetId="22">#REF!</definedName>
    <definedName name="Ever6_sec_rate" localSheetId="5">#REF!</definedName>
    <definedName name="Ever6_sec_rate" localSheetId="23">#REF!</definedName>
    <definedName name="Ever6_sec_rate">#REF!</definedName>
    <definedName name="Exc_Cir1_Total" localSheetId="21">#REF!</definedName>
    <definedName name="Exc_Cir1_Total" localSheetId="22">#REF!</definedName>
    <definedName name="Exc_Cir1_Total" localSheetId="5">#REF!</definedName>
    <definedName name="Exc_Cir1_Total" localSheetId="23">#REF!</definedName>
    <definedName name="Exc_Cir1_Total">#REF!</definedName>
    <definedName name="Exc_Cir2_Total" localSheetId="21">#REF!</definedName>
    <definedName name="Exc_Cir2_Total" localSheetId="22">#REF!</definedName>
    <definedName name="Exc_Cir2_Total" localSheetId="5">#REF!</definedName>
    <definedName name="Exc_Cir2_Total" localSheetId="23">#REF!</definedName>
    <definedName name="Exc_Cir2_Total">#REF!</definedName>
    <definedName name="Exc_Cir3_Total" localSheetId="21">#REF!</definedName>
    <definedName name="Exc_Cir3_Total" localSheetId="22">#REF!</definedName>
    <definedName name="Exc_Cir3_Total" localSheetId="5">#REF!</definedName>
    <definedName name="Exc_Cir3_Total" localSheetId="23">#REF!</definedName>
    <definedName name="Exc_Cir3_Total">#REF!</definedName>
    <definedName name="Exc_Cir4_Total" localSheetId="21">#REF!</definedName>
    <definedName name="Exc_Cir4_Total" localSheetId="22">#REF!</definedName>
    <definedName name="Exc_Cir4_Total" localSheetId="5">#REF!</definedName>
    <definedName name="Exc_Cir4_Total" localSheetId="23">#REF!</definedName>
    <definedName name="Exc_Cir4_Total">#REF!</definedName>
    <definedName name="Exc_Cir5_Total" localSheetId="21">#REF!</definedName>
    <definedName name="Exc_Cir5_Total" localSheetId="22">#REF!</definedName>
    <definedName name="Exc_Cir5_Total" localSheetId="5">#REF!</definedName>
    <definedName name="Exc_Cir5_Total" localSheetId="23">#REF!</definedName>
    <definedName name="Exc_Cir5_Total">#REF!</definedName>
    <definedName name="Exc_Cir6_Total" localSheetId="21">#REF!</definedName>
    <definedName name="Exc_Cir6_Total" localSheetId="22">#REF!</definedName>
    <definedName name="Exc_Cir6_Total" localSheetId="5">#REF!</definedName>
    <definedName name="Exc_Cir6_Total" localSheetId="23">#REF!</definedName>
    <definedName name="Exc_Cir6_Total">#REF!</definedName>
    <definedName name="Exc_Cir7_Total" localSheetId="21">#REF!</definedName>
    <definedName name="Exc_Cir7_Total" localSheetId="22">#REF!</definedName>
    <definedName name="Exc_Cir7_Total" localSheetId="5">#REF!</definedName>
    <definedName name="Exc_Cir7_Total" localSheetId="23">#REF!</definedName>
    <definedName name="Exc_Cir7_Total">#REF!</definedName>
    <definedName name="Excel_BuiltIn__FilterDatabase_3">"['Maintained Schools'.$A$1:.$H$11636]"</definedName>
    <definedName name="Excel_BuiltIn__FilterDatabase_4">"[Academies.$A$1:.$H$6222]"</definedName>
    <definedName name="Excel_BuiltIn__FilterDatabase_5">"[NMSS.$A$1:.$H$56]"</definedName>
    <definedName name="FEBRUARY">#REF!</definedName>
    <definedName name="File_Name" localSheetId="21">#REF!</definedName>
    <definedName name="File_Name" localSheetId="22">#REF!</definedName>
    <definedName name="File_Name" localSheetId="5">#REF!</definedName>
    <definedName name="File_Name" localSheetId="23">#REF!</definedName>
    <definedName name="File_Name">#REF!</definedName>
    <definedName name="File_Type" localSheetId="21">#REF!</definedName>
    <definedName name="File_Type" localSheetId="22">#REF!</definedName>
    <definedName name="File_Type" localSheetId="5">#REF!</definedName>
    <definedName name="File_Type" localSheetId="23">#REF!</definedName>
    <definedName name="File_Type">#REF!</definedName>
    <definedName name="Fringe_multiplier" localSheetId="21">#REF!</definedName>
    <definedName name="Fringe_multiplier" localSheetId="22">#REF!</definedName>
    <definedName name="Fringe_multiplier" localSheetId="23">#REF!</definedName>
    <definedName name="Fringe_multiplier">#REF!</definedName>
    <definedName name="Fringe_Total" localSheetId="21">#REF!</definedName>
    <definedName name="Fringe_Total" localSheetId="22">#REF!</definedName>
    <definedName name="Fringe_Total" localSheetId="5">#REF!</definedName>
    <definedName name="Fringe_Total" localSheetId="23">#REF!</definedName>
    <definedName name="Fringe_Total">#REF!</definedName>
    <definedName name="FSM_Pri_DD_rate" localSheetId="21">#REF!</definedName>
    <definedName name="FSM_Pri_DD_rate" localSheetId="22">#REF!</definedName>
    <definedName name="FSM_Pri_DD_rate" localSheetId="5">#REF!</definedName>
    <definedName name="FSM_Pri_DD_rate" localSheetId="23">#REF!</definedName>
    <definedName name="FSM_Pri_DD_rate">#REF!</definedName>
    <definedName name="FSM_Pri_Option" localSheetId="21">#REF!</definedName>
    <definedName name="FSM_Pri_Option" localSheetId="22">#REF!</definedName>
    <definedName name="FSM_Pri_Option" localSheetId="5">#REF!</definedName>
    <definedName name="FSM_Pri_Option" localSheetId="23">#REF!</definedName>
    <definedName name="FSM_Pri_Option">#REF!</definedName>
    <definedName name="FSM_Pri_Rate" localSheetId="21">#REF!</definedName>
    <definedName name="FSM_Pri_Rate" localSheetId="22">#REF!</definedName>
    <definedName name="FSM_Pri_Rate" localSheetId="5">#REF!</definedName>
    <definedName name="FSM_Pri_Rate" localSheetId="23">#REF!</definedName>
    <definedName name="FSM_Pri_Rate">#REF!</definedName>
    <definedName name="FSM_Pri_Rate_2" localSheetId="21">#REF!</definedName>
    <definedName name="FSM_Pri_Rate_2" localSheetId="22">#REF!</definedName>
    <definedName name="FSM_Pri_Rate_2" localSheetId="5">#REF!</definedName>
    <definedName name="FSM_Pri_Rate_2" localSheetId="23">#REF!</definedName>
    <definedName name="FSM_Pri_Rate_2">#REF!</definedName>
    <definedName name="FSM_Sec_DD_rate" localSheetId="21">#REF!</definedName>
    <definedName name="FSM_Sec_DD_rate" localSheetId="22">#REF!</definedName>
    <definedName name="FSM_Sec_DD_rate" localSheetId="5">#REF!</definedName>
    <definedName name="FSM_Sec_DD_rate" localSheetId="23">#REF!</definedName>
    <definedName name="FSM_Sec_DD_rate">#REF!</definedName>
    <definedName name="FSM_Sec_Option" localSheetId="21">#REF!</definedName>
    <definedName name="FSM_Sec_Option" localSheetId="22">#REF!</definedName>
    <definedName name="FSM_Sec_Option" localSheetId="5">#REF!</definedName>
    <definedName name="FSM_Sec_Option" localSheetId="23">#REF!</definedName>
    <definedName name="FSM_Sec_Option">#REF!</definedName>
    <definedName name="FSM_Sec_Rate" localSheetId="21">#REF!</definedName>
    <definedName name="FSM_Sec_Rate" localSheetId="22">#REF!</definedName>
    <definedName name="FSM_Sec_Rate" localSheetId="5">#REF!</definedName>
    <definedName name="FSM_Sec_Rate" localSheetId="23">#REF!</definedName>
    <definedName name="FSM_Sec_Rate">#REF!</definedName>
    <definedName name="Funding_Floor" localSheetId="21">#REF!</definedName>
    <definedName name="Funding_Floor" localSheetId="22">#REF!</definedName>
    <definedName name="Funding_Floor" localSheetId="5">#REF!</definedName>
    <definedName name="Funding_Floor" localSheetId="23">#REF!</definedName>
    <definedName name="Funding_Floor">#REF!</definedName>
    <definedName name="Funding_Floor_Adjustment" localSheetId="21">#REF!</definedName>
    <definedName name="Funding_Floor_Adjustment" localSheetId="22">#REF!</definedName>
    <definedName name="Funding_Floor_Adjustment" localSheetId="5">#REF!</definedName>
    <definedName name="Funding_Floor_Adjustment" localSheetId="23">#REF!</definedName>
    <definedName name="Funding_Floor_Adjustment">#REF!</definedName>
    <definedName name="gfd" localSheetId="21">#REF!</definedName>
    <definedName name="gfd" localSheetId="22">#REF!</definedName>
    <definedName name="gfd" localSheetId="5">#REF!</definedName>
    <definedName name="gfd" localSheetId="23">#REF!</definedName>
    <definedName name="gfd">#REF!</definedName>
    <definedName name="glpage1" localSheetId="21">#REF!</definedName>
    <definedName name="glpage1" localSheetId="22">#REF!</definedName>
    <definedName name="glpage1" localSheetId="5">#REF!</definedName>
    <definedName name="glpage1" localSheetId="23">#REF!</definedName>
    <definedName name="glpage1">#REF!</definedName>
    <definedName name="glpage2" localSheetId="21">#REF!</definedName>
    <definedName name="glpage2" localSheetId="22">#REF!</definedName>
    <definedName name="glpage2" localSheetId="5">#REF!</definedName>
    <definedName name="glpage2" localSheetId="23">#REF!</definedName>
    <definedName name="glpage2">#REF!</definedName>
    <definedName name="glsum" localSheetId="21">#REF!</definedName>
    <definedName name="glsum" localSheetId="22">#REF!</definedName>
    <definedName name="glsum" localSheetId="5">#REF!</definedName>
    <definedName name="glsum" localSheetId="23">#REF!</definedName>
    <definedName name="glsum">#REF!</definedName>
    <definedName name="growthfunding" localSheetId="21">#REF!</definedName>
    <definedName name="growthfunding" localSheetId="22">#REF!</definedName>
    <definedName name="growthfunding" localSheetId="5">#REF!</definedName>
    <definedName name="growthfunding" localSheetId="23">#REF!</definedName>
    <definedName name="growthfunding">#REF!</definedName>
    <definedName name="IA_amalgamation" localSheetId="21">#REF!</definedName>
    <definedName name="IA_amalgamation" localSheetId="22">#REF!</definedName>
    <definedName name="IA_amalgamation" localSheetId="23">#REF!</definedName>
    <definedName name="IA_amalgamation">#REF!</definedName>
    <definedName name="IA_closed_preApril" localSheetId="21">#REF!</definedName>
    <definedName name="IA_closed_preApril" localSheetId="22">#REF!</definedName>
    <definedName name="IA_closed_preApril" localSheetId="23">#REF!</definedName>
    <definedName name="IA_closed_preApril">#REF!</definedName>
    <definedName name="IA_conversion" localSheetId="21">#REF!</definedName>
    <definedName name="IA_conversion" localSheetId="22">#REF!</definedName>
    <definedName name="IA_conversion" localSheetId="23">#REF!</definedName>
    <definedName name="IA_conversion">#REF!</definedName>
    <definedName name="IA_new_free_school" localSheetId="21">#REF!</definedName>
    <definedName name="IA_new_free_school" localSheetId="22">#REF!</definedName>
    <definedName name="IA_new_free_school" localSheetId="23">#REF!</definedName>
    <definedName name="IA_new_free_school">#REF!</definedName>
    <definedName name="IA_NOR_change" localSheetId="21">#REF!</definedName>
    <definedName name="IA_NOR_change" localSheetId="22">#REF!</definedName>
    <definedName name="IA_NOR_change" localSheetId="23">#REF!</definedName>
    <definedName name="IA_NOR_change">#REF!</definedName>
    <definedName name="IA_open_postApril" localSheetId="21">#REF!</definedName>
    <definedName name="IA_open_postApril" localSheetId="22">#REF!</definedName>
    <definedName name="IA_open_postApril" localSheetId="23">#REF!</definedName>
    <definedName name="IA_open_postApril">#REF!</definedName>
    <definedName name="IA_open_preApril" localSheetId="21">#REF!</definedName>
    <definedName name="IA_open_preApril" localSheetId="22">#REF!</definedName>
    <definedName name="IA_open_preApril" localSheetId="23">#REF!</definedName>
    <definedName name="IA_open_preApril">#REF!</definedName>
    <definedName name="IDACI_B1_Pri" localSheetId="21">#REF!</definedName>
    <definedName name="IDACI_B1_Pri" localSheetId="22">#REF!</definedName>
    <definedName name="IDACI_B1_Pri" localSheetId="5">#REF!</definedName>
    <definedName name="IDACI_B1_Pri" localSheetId="23">#REF!</definedName>
    <definedName name="IDACI_B1_Pri">#REF!</definedName>
    <definedName name="IDACI_B1_Pri_DD_rate" localSheetId="21">#REF!</definedName>
    <definedName name="IDACI_B1_Pri_DD_rate" localSheetId="22">#REF!</definedName>
    <definedName name="IDACI_B1_Pri_DD_rate" localSheetId="5">#REF!</definedName>
    <definedName name="IDACI_B1_Pri_DD_rate" localSheetId="23">#REF!</definedName>
    <definedName name="IDACI_B1_Pri_DD_rate">#REF!</definedName>
    <definedName name="IDACI_B1_Sec" localSheetId="21">#REF!</definedName>
    <definedName name="IDACI_B1_Sec" localSheetId="22">#REF!</definedName>
    <definedName name="IDACI_B1_Sec" localSheetId="5">#REF!</definedName>
    <definedName name="IDACI_B1_Sec" localSheetId="23">#REF!</definedName>
    <definedName name="IDACI_B1_Sec">#REF!</definedName>
    <definedName name="IDACI_B1_Sec_DD_rate" localSheetId="21">#REF!</definedName>
    <definedName name="IDACI_B1_Sec_DD_rate" localSheetId="22">#REF!</definedName>
    <definedName name="IDACI_B1_Sec_DD_rate" localSheetId="5">#REF!</definedName>
    <definedName name="IDACI_B1_Sec_DD_rate" localSheetId="23">#REF!</definedName>
    <definedName name="IDACI_B1_Sec_DD_rate">#REF!</definedName>
    <definedName name="IDACI_B2_Pri" localSheetId="21">#REF!</definedName>
    <definedName name="IDACI_B2_Pri" localSheetId="22">#REF!</definedName>
    <definedName name="IDACI_B2_Pri" localSheetId="5">#REF!</definedName>
    <definedName name="IDACI_B2_Pri" localSheetId="23">#REF!</definedName>
    <definedName name="IDACI_B2_Pri">#REF!</definedName>
    <definedName name="IDACI_B2_Pri_DD_rate" localSheetId="21">#REF!</definedName>
    <definedName name="IDACI_B2_Pri_DD_rate" localSheetId="22">#REF!</definedName>
    <definedName name="IDACI_B2_Pri_DD_rate" localSheetId="5">#REF!</definedName>
    <definedName name="IDACI_B2_Pri_DD_rate" localSheetId="23">#REF!</definedName>
    <definedName name="IDACI_B2_Pri_DD_rate">#REF!</definedName>
    <definedName name="IDACI_B2_Sec" localSheetId="21">#REF!</definedName>
    <definedName name="IDACI_B2_Sec" localSheetId="22">#REF!</definedName>
    <definedName name="IDACI_B2_Sec" localSheetId="5">#REF!</definedName>
    <definedName name="IDACI_B2_Sec" localSheetId="23">#REF!</definedName>
    <definedName name="IDACI_B2_Sec">#REF!</definedName>
    <definedName name="IDACI_B2_Sec_DD_rate" localSheetId="21">#REF!</definedName>
    <definedName name="IDACI_B2_Sec_DD_rate" localSheetId="22">#REF!</definedName>
    <definedName name="IDACI_B2_Sec_DD_rate" localSheetId="5">#REF!</definedName>
    <definedName name="IDACI_B2_Sec_DD_rate" localSheetId="23">#REF!</definedName>
    <definedName name="IDACI_B2_Sec_DD_rate">#REF!</definedName>
    <definedName name="IDACI_B3_Pri" localSheetId="21">#REF!</definedName>
    <definedName name="IDACI_B3_Pri" localSheetId="22">#REF!</definedName>
    <definedName name="IDACI_B3_Pri" localSheetId="5">#REF!</definedName>
    <definedName name="IDACI_B3_Pri" localSheetId="23">#REF!</definedName>
    <definedName name="IDACI_B3_Pri">#REF!</definedName>
    <definedName name="IDACI_B3_Pri_DD_rate" localSheetId="21">#REF!</definedName>
    <definedName name="IDACI_B3_Pri_DD_rate" localSheetId="22">#REF!</definedName>
    <definedName name="IDACI_B3_Pri_DD_rate" localSheetId="5">#REF!</definedName>
    <definedName name="IDACI_B3_Pri_DD_rate" localSheetId="23">#REF!</definedName>
    <definedName name="IDACI_B3_Pri_DD_rate">#REF!</definedName>
    <definedName name="IDACI_B3_Sec" localSheetId="21">#REF!</definedName>
    <definedName name="IDACI_B3_Sec" localSheetId="22">#REF!</definedName>
    <definedName name="IDACI_B3_Sec" localSheetId="5">#REF!</definedName>
    <definedName name="IDACI_B3_Sec" localSheetId="23">#REF!</definedName>
    <definedName name="IDACI_B3_Sec">#REF!</definedName>
    <definedName name="IDACI_B3_Sec_DD_rate" localSheetId="21">#REF!</definedName>
    <definedName name="IDACI_B3_Sec_DD_rate" localSheetId="22">#REF!</definedName>
    <definedName name="IDACI_B3_Sec_DD_rate" localSheetId="5">#REF!</definedName>
    <definedName name="IDACI_B3_Sec_DD_rate" localSheetId="23">#REF!</definedName>
    <definedName name="IDACI_B3_Sec_DD_rate">#REF!</definedName>
    <definedName name="IDACI_B4_Pri" localSheetId="21">#REF!</definedName>
    <definedName name="IDACI_B4_Pri" localSheetId="22">#REF!</definedName>
    <definedName name="IDACI_B4_Pri" localSheetId="5">#REF!</definedName>
    <definedName name="IDACI_B4_Pri" localSheetId="23">#REF!</definedName>
    <definedName name="IDACI_B4_Pri">#REF!</definedName>
    <definedName name="IDACI_B4_Pri_DD_rate" localSheetId="21">#REF!</definedName>
    <definedName name="IDACI_B4_Pri_DD_rate" localSheetId="22">#REF!</definedName>
    <definedName name="IDACI_B4_Pri_DD_rate" localSheetId="5">#REF!</definedName>
    <definedName name="IDACI_B4_Pri_DD_rate" localSheetId="23">#REF!</definedName>
    <definedName name="IDACI_B4_Pri_DD_rate">#REF!</definedName>
    <definedName name="IDACI_B4_Sec" localSheetId="21">#REF!</definedName>
    <definedName name="IDACI_B4_Sec" localSheetId="22">#REF!</definedName>
    <definedName name="IDACI_B4_Sec" localSheetId="5">#REF!</definedName>
    <definedName name="IDACI_B4_Sec" localSheetId="23">#REF!</definedName>
    <definedName name="IDACI_B4_Sec">#REF!</definedName>
    <definedName name="IDACI_B4_Sec_DD_rate" localSheetId="21">#REF!</definedName>
    <definedName name="IDACI_B4_Sec_DD_rate" localSheetId="22">#REF!</definedName>
    <definedName name="IDACI_B4_Sec_DD_rate" localSheetId="5">#REF!</definedName>
    <definedName name="IDACI_B4_Sec_DD_rate" localSheetId="23">#REF!</definedName>
    <definedName name="IDACI_B4_Sec_DD_rate">#REF!</definedName>
    <definedName name="IDACI_B5_Pri" localSheetId="21">#REF!</definedName>
    <definedName name="IDACI_B5_Pri" localSheetId="22">#REF!</definedName>
    <definedName name="IDACI_B5_Pri" localSheetId="5">#REF!</definedName>
    <definedName name="IDACI_B5_Pri" localSheetId="23">#REF!</definedName>
    <definedName name="IDACI_B5_Pri">#REF!</definedName>
    <definedName name="IDACI_B5_Pri_DD_rate" localSheetId="21">#REF!</definedName>
    <definedName name="IDACI_B5_Pri_DD_rate" localSheetId="22">#REF!</definedName>
    <definedName name="IDACI_B5_Pri_DD_rate" localSheetId="5">#REF!</definedName>
    <definedName name="IDACI_B5_Pri_DD_rate" localSheetId="23">#REF!</definedName>
    <definedName name="IDACI_B5_Pri_DD_rate">#REF!</definedName>
    <definedName name="IDACI_B5_Sec" localSheetId="21">#REF!</definedName>
    <definedName name="IDACI_B5_Sec" localSheetId="22">#REF!</definedName>
    <definedName name="IDACI_B5_Sec" localSheetId="5">#REF!</definedName>
    <definedName name="IDACI_B5_Sec" localSheetId="23">#REF!</definedName>
    <definedName name="IDACI_B5_Sec">#REF!</definedName>
    <definedName name="IDACI_B5_Sec_DD_rate" localSheetId="21">#REF!</definedName>
    <definedName name="IDACI_B5_Sec_DD_rate" localSheetId="22">#REF!</definedName>
    <definedName name="IDACI_B5_Sec_DD_rate" localSheetId="5">#REF!</definedName>
    <definedName name="IDACI_B5_Sec_DD_rate" localSheetId="23">#REF!</definedName>
    <definedName name="IDACI_B5_Sec_DD_rate">#REF!</definedName>
    <definedName name="IDACI_B6_Pri" localSheetId="21">#REF!</definedName>
    <definedName name="IDACI_B6_Pri" localSheetId="22">#REF!</definedName>
    <definedName name="IDACI_B6_Pri" localSheetId="5">#REF!</definedName>
    <definedName name="IDACI_B6_Pri" localSheetId="23">#REF!</definedName>
    <definedName name="IDACI_B6_Pri">#REF!</definedName>
    <definedName name="IDACI_B6_Pri_DD_rate" localSheetId="21">#REF!</definedName>
    <definedName name="IDACI_B6_Pri_DD_rate" localSheetId="22">#REF!</definedName>
    <definedName name="IDACI_B6_Pri_DD_rate" localSheetId="5">#REF!</definedName>
    <definedName name="IDACI_B6_Pri_DD_rate" localSheetId="23">#REF!</definedName>
    <definedName name="IDACI_B6_Pri_DD_rate">#REF!</definedName>
    <definedName name="IDACI_B6_Sec" localSheetId="21">#REF!</definedName>
    <definedName name="IDACI_B6_Sec" localSheetId="22">#REF!</definedName>
    <definedName name="IDACI_B6_Sec" localSheetId="5">#REF!</definedName>
    <definedName name="IDACI_B6_Sec" localSheetId="23">#REF!</definedName>
    <definedName name="IDACI_B6_Sec">#REF!</definedName>
    <definedName name="IDACI_B6_Sec_DD_rate" localSheetId="21">#REF!</definedName>
    <definedName name="IDACI_B6_Sec_DD_rate" localSheetId="22">#REF!</definedName>
    <definedName name="IDACI_B6_Sec_DD_rate" localSheetId="5">#REF!</definedName>
    <definedName name="IDACI_B6_Sec_DD_rate" localSheetId="23">#REF!</definedName>
    <definedName name="IDACI_B6_Sec_DD_rate">#REF!</definedName>
    <definedName name="INCOME" localSheetId="21">#REF!</definedName>
    <definedName name="INCOME" localSheetId="22">#REF!</definedName>
    <definedName name="INCOME" localSheetId="5">#REF!</definedName>
    <definedName name="INCOME" localSheetId="23">#REF!</definedName>
    <definedName name="INCOME">#REF!</definedName>
    <definedName name="Income_in_advance" localSheetId="16">#REF!</definedName>
    <definedName name="Income_in_advance" localSheetId="17">#REF!</definedName>
    <definedName name="Income_in_advance" localSheetId="18">#REF!</definedName>
    <definedName name="Income_in_advance">Table6[Income in advance]</definedName>
    <definedName name="INCOME94" localSheetId="21">#REF!</definedName>
    <definedName name="INCOME94" localSheetId="22">#REF!</definedName>
    <definedName name="INCOME94" localSheetId="5">#REF!</definedName>
    <definedName name="INCOME94" localSheetId="23">#REF!</definedName>
    <definedName name="INCOME94">#REF!</definedName>
    <definedName name="JANUARY" localSheetId="21">#REF!</definedName>
    <definedName name="JANUARY" localSheetId="22">#REF!</definedName>
    <definedName name="JANUARY" localSheetId="5">#REF!</definedName>
    <definedName name="JANUARY" localSheetId="23">#REF!</definedName>
    <definedName name="JANUARY">#REF!</definedName>
    <definedName name="JULY" localSheetId="21">#REF!</definedName>
    <definedName name="JULY" localSheetId="22">#REF!</definedName>
    <definedName name="JULY" localSheetId="5">#REF!</definedName>
    <definedName name="JULY" localSheetId="23">#REF!</definedName>
    <definedName name="JULY">#REF!</definedName>
    <definedName name="JUNE" localSheetId="21">#REF!</definedName>
    <definedName name="JUNE" localSheetId="22">#REF!</definedName>
    <definedName name="JUNE" localSheetId="5">#REF!</definedName>
    <definedName name="JUNE" localSheetId="23">#REF!</definedName>
    <definedName name="JUNE">#REF!</definedName>
    <definedName name="LA_Code" localSheetId="21">#REF!</definedName>
    <definedName name="LA_Code" localSheetId="22">#REF!</definedName>
    <definedName name="LA_Code" localSheetId="23">#REF!</definedName>
    <definedName name="LA_Code">#REF!</definedName>
    <definedName name="LA_Name" localSheetId="21">#REF!</definedName>
    <definedName name="LA_Name" localSheetId="22">#REF!</definedName>
    <definedName name="LA_Name" localSheetId="23">#REF!</definedName>
    <definedName name="LA_Name">#REF!</definedName>
    <definedName name="LAC_Pri_DD_rate" localSheetId="21">#REF!</definedName>
    <definedName name="LAC_Pri_DD_rate" localSheetId="22">#REF!</definedName>
    <definedName name="LAC_Pri_DD_rate" localSheetId="5">#REF!</definedName>
    <definedName name="LAC_Pri_DD_rate" localSheetId="23">#REF!</definedName>
    <definedName name="LAC_Pri_DD_rate">#REF!</definedName>
    <definedName name="LAC_Rate" localSheetId="21">#REF!</definedName>
    <definedName name="LAC_Rate" localSheetId="22">#REF!</definedName>
    <definedName name="LAC_Rate" localSheetId="5">#REF!</definedName>
    <definedName name="LAC_Rate" localSheetId="23">#REF!</definedName>
    <definedName name="LAC_Rate">#REF!</definedName>
    <definedName name="LAC_Sec_DD_rate" localSheetId="21">#REF!</definedName>
    <definedName name="LAC_Sec_DD_rate" localSheetId="22">#REF!</definedName>
    <definedName name="LAC_Sec_DD_rate" localSheetId="5">#REF!</definedName>
    <definedName name="LAC_Sec_DD_rate" localSheetId="23">#REF!</definedName>
    <definedName name="LAC_Sec_DD_rate">#REF!</definedName>
    <definedName name="LCHI_Pri" localSheetId="21">#REF!</definedName>
    <definedName name="LCHI_Pri" localSheetId="22">#REF!</definedName>
    <definedName name="LCHI_Pri" localSheetId="5">#REF!</definedName>
    <definedName name="LCHI_Pri" localSheetId="23">#REF!</definedName>
    <definedName name="LCHI_Pri">#REF!</definedName>
    <definedName name="LCHI_Pri_DD_rate" localSheetId="21">#REF!</definedName>
    <definedName name="LCHI_Pri_DD_rate" localSheetId="22">#REF!</definedName>
    <definedName name="LCHI_Pri_DD_rate" localSheetId="5">#REF!</definedName>
    <definedName name="LCHI_Pri_DD_rate" localSheetId="23">#REF!</definedName>
    <definedName name="LCHI_Pri_DD_rate">#REF!</definedName>
    <definedName name="LCHI_Pri_Option" localSheetId="21">#REF!</definedName>
    <definedName name="LCHI_Pri_Option" localSheetId="22">#REF!</definedName>
    <definedName name="LCHI_Pri_Option" localSheetId="5">#REF!</definedName>
    <definedName name="LCHI_Pri_Option" localSheetId="23">#REF!</definedName>
    <definedName name="LCHI_Pri_Option">#REF!</definedName>
    <definedName name="LCHI_Sec" localSheetId="21">#REF!</definedName>
    <definedName name="LCHI_Sec" localSheetId="22">#REF!</definedName>
    <definedName name="LCHI_Sec" localSheetId="5">#REF!</definedName>
    <definedName name="LCHI_Sec" localSheetId="23">#REF!</definedName>
    <definedName name="LCHI_Sec">#REF!</definedName>
    <definedName name="LCHI_Sec_DD_rate" localSheetId="21">#REF!</definedName>
    <definedName name="LCHI_Sec_DD_rate" localSheetId="22">#REF!</definedName>
    <definedName name="LCHI_Sec_DD_rate" localSheetId="5">#REF!</definedName>
    <definedName name="LCHI_Sec_DD_rate" localSheetId="23">#REF!</definedName>
    <definedName name="LCHI_Sec_DD_rate">#REF!</definedName>
    <definedName name="Lump_sum_Pri_DD_rate" localSheetId="21">#REF!</definedName>
    <definedName name="Lump_sum_Pri_DD_rate" localSheetId="22">#REF!</definedName>
    <definedName name="Lump_sum_Pri_DD_rate" localSheetId="5">#REF!</definedName>
    <definedName name="Lump_sum_Pri_DD_rate" localSheetId="23">#REF!</definedName>
    <definedName name="Lump_sum_Pri_DD_rate">#REF!</definedName>
    <definedName name="Lump_sum_Sec_DD_rate" localSheetId="21">#REF!</definedName>
    <definedName name="Lump_sum_Sec_DD_rate" localSheetId="22">#REF!</definedName>
    <definedName name="Lump_sum_Sec_DD_rate" localSheetId="5">#REF!</definedName>
    <definedName name="Lump_sum_Sec_DD_rate" localSheetId="23">#REF!</definedName>
    <definedName name="Lump_sum_Sec_DD_rate">#REF!</definedName>
    <definedName name="Lump_Sum_total" localSheetId="21">#REF!</definedName>
    <definedName name="Lump_Sum_total" localSheetId="22">#REF!</definedName>
    <definedName name="Lump_Sum_total" localSheetId="5">#REF!</definedName>
    <definedName name="Lump_Sum_total" localSheetId="23">#REF!</definedName>
    <definedName name="Lump_Sum_total">#REF!</definedName>
    <definedName name="MARCH" localSheetId="21">#REF!</definedName>
    <definedName name="MARCH" localSheetId="22">#REF!</definedName>
    <definedName name="MARCH" localSheetId="5">#REF!</definedName>
    <definedName name="MARCH" localSheetId="23">#REF!</definedName>
    <definedName name="MARCH">#REF!</definedName>
    <definedName name="MAY" localSheetId="21">#REF!</definedName>
    <definedName name="MAY" localSheetId="22">#REF!</definedName>
    <definedName name="MAY" localSheetId="5">#REF!</definedName>
    <definedName name="MAY" localSheetId="23">#REF!</definedName>
    <definedName name="MAY">#REF!</definedName>
    <definedName name="MFG_Rate" localSheetId="21">#REF!</definedName>
    <definedName name="MFG_Rate" localSheetId="22">#REF!</definedName>
    <definedName name="MFG_Rate" localSheetId="5">#REF!</definedName>
    <definedName name="MFG_Rate" localSheetId="23">#REF!</definedName>
    <definedName name="MFG_Rate">#REF!</definedName>
    <definedName name="MFG_Total" localSheetId="21">#REF!</definedName>
    <definedName name="MFG_Total" localSheetId="22">#REF!</definedName>
    <definedName name="MFG_Total" localSheetId="5">#REF!</definedName>
    <definedName name="MFG_Total" localSheetId="23">#REF!</definedName>
    <definedName name="MFG_Total">#REF!</definedName>
    <definedName name="Mid_dist_taper" localSheetId="21">#REF!</definedName>
    <definedName name="Mid_dist_taper" localSheetId="22">#REF!</definedName>
    <definedName name="Mid_dist_taper" localSheetId="23">#REF!</definedName>
    <definedName name="Mid_dist_taper">#REF!</definedName>
    <definedName name="Mid_distance_threshold" localSheetId="21">#REF!</definedName>
    <definedName name="Mid_distance_threshold" localSheetId="22">#REF!</definedName>
    <definedName name="Mid_distance_threshold" localSheetId="5">#REF!</definedName>
    <definedName name="Mid_distance_threshold" localSheetId="23">#REF!</definedName>
    <definedName name="Mid_distance_threshold">#REF!</definedName>
    <definedName name="Mid_PupilNo_threshold" localSheetId="21">#REF!</definedName>
    <definedName name="Mid_PupilNo_threshold" localSheetId="22">#REF!</definedName>
    <definedName name="Mid_PupilNo_threshold" localSheetId="5">#REF!</definedName>
    <definedName name="Mid_PupilNo_threshold" localSheetId="23">#REF!</definedName>
    <definedName name="Mid_PupilNo_threshold">#REF!</definedName>
    <definedName name="min_pupil_rate_KS3" localSheetId="21">#REF!</definedName>
    <definedName name="min_pupil_rate_KS3" localSheetId="22">#REF!</definedName>
    <definedName name="min_pupil_rate_KS3" localSheetId="5">#REF!</definedName>
    <definedName name="min_pupil_rate_KS3" localSheetId="23">#REF!</definedName>
    <definedName name="min_pupil_rate_KS3">#REF!</definedName>
    <definedName name="min_pupil_rate_KS4" localSheetId="21">#REF!</definedName>
    <definedName name="min_pupil_rate_KS4" localSheetId="22">#REF!</definedName>
    <definedName name="min_pupil_rate_KS4" localSheetId="5">#REF!</definedName>
    <definedName name="min_pupil_rate_KS4" localSheetId="23">#REF!</definedName>
    <definedName name="min_pupil_rate_KS4">#REF!</definedName>
    <definedName name="min_pupil_rate_pri" localSheetId="21">#REF!</definedName>
    <definedName name="min_pupil_rate_pri" localSheetId="22">#REF!</definedName>
    <definedName name="min_pupil_rate_pri" localSheetId="5">#REF!</definedName>
    <definedName name="min_pupil_rate_pri" localSheetId="23">#REF!</definedName>
    <definedName name="min_pupil_rate_pri">#REF!</definedName>
    <definedName name="min_pupil_rate_sec" localSheetId="21">#REF!</definedName>
    <definedName name="min_pupil_rate_sec" localSheetId="22">#REF!</definedName>
    <definedName name="min_pupil_rate_sec" localSheetId="5">#REF!</definedName>
    <definedName name="min_pupil_rate_sec" localSheetId="23">#REF!</definedName>
    <definedName name="min_pupil_rate_sec">#REF!</definedName>
    <definedName name="Mobility_Pri" localSheetId="21">#REF!</definedName>
    <definedName name="Mobility_Pri" localSheetId="22">#REF!</definedName>
    <definedName name="Mobility_Pri" localSheetId="5">#REF!</definedName>
    <definedName name="Mobility_Pri" localSheetId="23">#REF!</definedName>
    <definedName name="Mobility_Pri">#REF!</definedName>
    <definedName name="Mobility_Pri_DD_Rate" localSheetId="21">#REF!</definedName>
    <definedName name="Mobility_Pri_DD_Rate" localSheetId="22">#REF!</definedName>
    <definedName name="Mobility_Pri_DD_Rate" localSheetId="5">#REF!</definedName>
    <definedName name="Mobility_Pri_DD_Rate" localSheetId="23">#REF!</definedName>
    <definedName name="Mobility_Pri_DD_Rate">#REF!</definedName>
    <definedName name="Mobility_Sec" localSheetId="21">#REF!</definedName>
    <definedName name="Mobility_Sec" localSheetId="22">#REF!</definedName>
    <definedName name="Mobility_Sec" localSheetId="5">#REF!</definedName>
    <definedName name="Mobility_Sec" localSheetId="23">#REF!</definedName>
    <definedName name="Mobility_Sec">#REF!</definedName>
    <definedName name="Mobility_Sec_DD_Rate" localSheetId="21">#REF!</definedName>
    <definedName name="Mobility_Sec_DD_Rate" localSheetId="22">#REF!</definedName>
    <definedName name="Mobility_Sec_DD_Rate" localSheetId="5">#REF!</definedName>
    <definedName name="Mobility_Sec_DD_Rate" localSheetId="23">#REF!</definedName>
    <definedName name="Mobility_Sec_DD_Rate">#REF!</definedName>
    <definedName name="mppf_pri" localSheetId="21">#REF!</definedName>
    <definedName name="mppf_pri" localSheetId="22">#REF!</definedName>
    <definedName name="mppf_pri" localSheetId="5">#REF!</definedName>
    <definedName name="mppf_pri" localSheetId="23">#REF!</definedName>
    <definedName name="mppf_pri">#REF!</definedName>
    <definedName name="mppf_sec" localSheetId="21">#REF!</definedName>
    <definedName name="mppf_sec" localSheetId="22">#REF!</definedName>
    <definedName name="mppf_sec" localSheetId="5">#REF!</definedName>
    <definedName name="mppf_sec" localSheetId="23">#REF!</definedName>
    <definedName name="mppf_sec">#REF!</definedName>
    <definedName name="Notional_SEN_AWPU_KS3" localSheetId="21">#REF!</definedName>
    <definedName name="Notional_SEN_AWPU_KS3" localSheetId="22">#REF!</definedName>
    <definedName name="Notional_SEN_AWPU_KS3" localSheetId="5">#REF!</definedName>
    <definedName name="Notional_SEN_AWPU_KS3" localSheetId="23">#REF!</definedName>
    <definedName name="Notional_SEN_AWPU_KS3">#REF!</definedName>
    <definedName name="Notional_SEN_AWPU_KS4" localSheetId="21">#REF!</definedName>
    <definedName name="Notional_SEN_AWPU_KS4" localSheetId="22">#REF!</definedName>
    <definedName name="Notional_SEN_AWPU_KS4" localSheetId="5">#REF!</definedName>
    <definedName name="Notional_SEN_AWPU_KS4" localSheetId="23">#REF!</definedName>
    <definedName name="Notional_SEN_AWPU_KS4">#REF!</definedName>
    <definedName name="Notional_SEN_AWPU_Pri" localSheetId="21">#REF!</definedName>
    <definedName name="Notional_SEN_AWPU_Pri" localSheetId="22">#REF!</definedName>
    <definedName name="Notional_SEN_AWPU_Pri" localSheetId="5">#REF!</definedName>
    <definedName name="Notional_SEN_AWPU_Pri" localSheetId="23">#REF!</definedName>
    <definedName name="Notional_SEN_AWPU_Pri">#REF!</definedName>
    <definedName name="Notional_SEN_EAL_Pri" localSheetId="21">#REF!</definedName>
    <definedName name="Notional_SEN_EAL_Pri" localSheetId="22">#REF!</definedName>
    <definedName name="Notional_SEN_EAL_Pri" localSheetId="5">#REF!</definedName>
    <definedName name="Notional_SEN_EAL_Pri" localSheetId="23">#REF!</definedName>
    <definedName name="Notional_SEN_EAL_Pri">#REF!</definedName>
    <definedName name="Notional_SEN_EAL_Sec" localSheetId="21">#REF!</definedName>
    <definedName name="Notional_SEN_EAL_Sec" localSheetId="22">#REF!</definedName>
    <definedName name="Notional_SEN_EAL_Sec" localSheetId="5">#REF!</definedName>
    <definedName name="Notional_SEN_EAL_Sec" localSheetId="23">#REF!</definedName>
    <definedName name="Notional_SEN_EAL_Sec">#REF!</definedName>
    <definedName name="Notional_SEN_Ever6_Pri" localSheetId="21">#REF!</definedName>
    <definedName name="Notional_SEN_Ever6_Pri" localSheetId="22">#REF!</definedName>
    <definedName name="Notional_SEN_Ever6_Pri" localSheetId="5">#REF!</definedName>
    <definedName name="Notional_SEN_Ever6_Pri" localSheetId="23">#REF!</definedName>
    <definedName name="Notional_SEN_Ever6_Pri">#REF!</definedName>
    <definedName name="Notional_SEN_Ever6_Sec" localSheetId="21">#REF!</definedName>
    <definedName name="Notional_SEN_Ever6_Sec" localSheetId="22">#REF!</definedName>
    <definedName name="Notional_SEN_Ever6_Sec" localSheetId="5">#REF!</definedName>
    <definedName name="Notional_SEN_Ever6_Sec" localSheetId="23">#REF!</definedName>
    <definedName name="Notional_SEN_Ever6_Sec">#REF!</definedName>
    <definedName name="Notional_SEN_ExCir2" localSheetId="21">#REF!</definedName>
    <definedName name="Notional_SEN_ExCir2" localSheetId="22">#REF!</definedName>
    <definedName name="Notional_SEN_ExCir2" localSheetId="5">#REF!</definedName>
    <definedName name="Notional_SEN_ExCir2" localSheetId="23">#REF!</definedName>
    <definedName name="Notional_SEN_ExCir2">#REF!</definedName>
    <definedName name="Notional_SEN_ExCir3" localSheetId="21">#REF!</definedName>
    <definedName name="Notional_SEN_ExCir3" localSheetId="22">#REF!</definedName>
    <definedName name="Notional_SEN_ExCir3" localSheetId="5">#REF!</definedName>
    <definedName name="Notional_SEN_ExCir3" localSheetId="23">#REF!</definedName>
    <definedName name="Notional_SEN_ExCir3">#REF!</definedName>
    <definedName name="Notional_SEN_ExCir4" localSheetId="21">#REF!</definedName>
    <definedName name="Notional_SEN_ExCir4" localSheetId="22">#REF!</definedName>
    <definedName name="Notional_SEN_ExCir4" localSheetId="5">#REF!</definedName>
    <definedName name="Notional_SEN_ExCir4" localSheetId="23">#REF!</definedName>
    <definedName name="Notional_SEN_ExCir4">#REF!</definedName>
    <definedName name="Notional_SEN_ExCir5" localSheetId="21">#REF!</definedName>
    <definedName name="Notional_SEN_ExCir5" localSheetId="22">#REF!</definedName>
    <definedName name="Notional_SEN_ExCir5" localSheetId="5">#REF!</definedName>
    <definedName name="Notional_SEN_ExCir5" localSheetId="23">#REF!</definedName>
    <definedName name="Notional_SEN_ExCir5">#REF!</definedName>
    <definedName name="Notional_SEN_ExCir6" localSheetId="21">#REF!</definedName>
    <definedName name="Notional_SEN_ExCir6" localSheetId="22">#REF!</definedName>
    <definedName name="Notional_SEN_ExCir6" localSheetId="5">#REF!</definedName>
    <definedName name="Notional_SEN_ExCir6" localSheetId="23">#REF!</definedName>
    <definedName name="Notional_SEN_ExCir6">#REF!</definedName>
    <definedName name="Notional_SEN_ExCir7" localSheetId="21">#REF!</definedName>
    <definedName name="Notional_SEN_ExCir7" localSheetId="22">#REF!</definedName>
    <definedName name="Notional_SEN_ExCir7" localSheetId="5">#REF!</definedName>
    <definedName name="Notional_SEN_ExCir7" localSheetId="23">#REF!</definedName>
    <definedName name="Notional_SEN_ExCir7">#REF!</definedName>
    <definedName name="Notional_SEN_FF" localSheetId="21">#REF!</definedName>
    <definedName name="Notional_SEN_FF" localSheetId="22">#REF!</definedName>
    <definedName name="Notional_SEN_FF" localSheetId="5">#REF!</definedName>
    <definedName name="Notional_SEN_FF" localSheetId="23">#REF!</definedName>
    <definedName name="Notional_SEN_FF">#REF!</definedName>
    <definedName name="Notional_SEN_FSM_Pri" localSheetId="21">#REF!</definedName>
    <definedName name="Notional_SEN_FSM_Pri" localSheetId="22">#REF!</definedName>
    <definedName name="Notional_SEN_FSM_Pri" localSheetId="5">#REF!</definedName>
    <definedName name="Notional_SEN_FSM_Pri" localSheetId="23">#REF!</definedName>
    <definedName name="Notional_SEN_FSM_Pri">#REF!</definedName>
    <definedName name="Notional_SEN_FSM_Sec" localSheetId="21">#REF!</definedName>
    <definedName name="Notional_SEN_FSM_Sec" localSheetId="22">#REF!</definedName>
    <definedName name="Notional_SEN_FSM_Sec" localSheetId="5">#REF!</definedName>
    <definedName name="Notional_SEN_FSM_Sec" localSheetId="23">#REF!</definedName>
    <definedName name="Notional_SEN_FSM_Sec">#REF!</definedName>
    <definedName name="Notional_SEN_IDACI_B1_Pri" localSheetId="21">#REF!</definedName>
    <definedName name="Notional_SEN_IDACI_B1_Pri" localSheetId="22">#REF!</definedName>
    <definedName name="Notional_SEN_IDACI_B1_Pri" localSheetId="5">#REF!</definedName>
    <definedName name="Notional_SEN_IDACI_B1_Pri" localSheetId="23">#REF!</definedName>
    <definedName name="Notional_SEN_IDACI_B1_Pri">#REF!</definedName>
    <definedName name="Notional_SEN_IDACI_B1_Sec" localSheetId="21">#REF!</definedName>
    <definedName name="Notional_SEN_IDACI_B1_Sec" localSheetId="22">#REF!</definedName>
    <definedName name="Notional_SEN_IDACI_B1_Sec" localSheetId="5">#REF!</definedName>
    <definedName name="Notional_SEN_IDACI_B1_Sec" localSheetId="23">#REF!</definedName>
    <definedName name="Notional_SEN_IDACI_B1_Sec">#REF!</definedName>
    <definedName name="Notional_SEN_IDACI_B2_Pri" localSheetId="21">#REF!</definedName>
    <definedName name="Notional_SEN_IDACI_B2_Pri" localSheetId="22">#REF!</definedName>
    <definedName name="Notional_SEN_IDACI_B2_Pri" localSheetId="5">#REF!</definedName>
    <definedName name="Notional_SEN_IDACI_B2_Pri" localSheetId="23">#REF!</definedName>
    <definedName name="Notional_SEN_IDACI_B2_Pri">#REF!</definedName>
    <definedName name="Notional_SEN_IDACI_B2_Sec" localSheetId="21">#REF!</definedName>
    <definedName name="Notional_SEN_IDACI_B2_Sec" localSheetId="22">#REF!</definedName>
    <definedName name="Notional_SEN_IDACI_B2_Sec" localSheetId="5">#REF!</definedName>
    <definedName name="Notional_SEN_IDACI_B2_Sec" localSheetId="23">#REF!</definedName>
    <definedName name="Notional_SEN_IDACI_B2_Sec">#REF!</definedName>
    <definedName name="Notional_SEN_IDACI_B3_Pri" localSheetId="21">#REF!</definedName>
    <definedName name="Notional_SEN_IDACI_B3_Pri" localSheetId="22">#REF!</definedName>
    <definedName name="Notional_SEN_IDACI_B3_Pri" localSheetId="5">#REF!</definedName>
    <definedName name="Notional_SEN_IDACI_B3_Pri" localSheetId="23">#REF!</definedName>
    <definedName name="Notional_SEN_IDACI_B3_Pri">#REF!</definedName>
    <definedName name="Notional_SEN_IDACI_B3_Sec" localSheetId="21">#REF!</definedName>
    <definedName name="Notional_SEN_IDACI_B3_Sec" localSheetId="22">#REF!</definedName>
    <definedName name="Notional_SEN_IDACI_B3_Sec" localSheetId="5">#REF!</definedName>
    <definedName name="Notional_SEN_IDACI_B3_Sec" localSheetId="23">#REF!</definedName>
    <definedName name="Notional_SEN_IDACI_B3_Sec">#REF!</definedName>
    <definedName name="Notional_SEN_IDACI_B4_Pri" localSheetId="21">#REF!</definedName>
    <definedName name="Notional_SEN_IDACI_B4_Pri" localSheetId="22">#REF!</definedName>
    <definedName name="Notional_SEN_IDACI_B4_Pri" localSheetId="5">#REF!</definedName>
    <definedName name="Notional_SEN_IDACI_B4_Pri" localSheetId="23">#REF!</definedName>
    <definedName name="Notional_SEN_IDACI_B4_Pri">#REF!</definedName>
    <definedName name="Notional_SEN_IDACI_B4_Sec" localSheetId="21">#REF!</definedName>
    <definedName name="Notional_SEN_IDACI_B4_Sec" localSheetId="22">#REF!</definedName>
    <definedName name="Notional_SEN_IDACI_B4_Sec" localSheetId="5">#REF!</definedName>
    <definedName name="Notional_SEN_IDACI_B4_Sec" localSheetId="23">#REF!</definedName>
    <definedName name="Notional_SEN_IDACI_B4_Sec">#REF!</definedName>
    <definedName name="Notional_SEN_IDACI_B5_Pri" localSheetId="21">#REF!</definedName>
    <definedName name="Notional_SEN_IDACI_B5_Pri" localSheetId="22">#REF!</definedName>
    <definedName name="Notional_SEN_IDACI_B5_Pri" localSheetId="5">#REF!</definedName>
    <definedName name="Notional_SEN_IDACI_B5_Pri" localSheetId="23">#REF!</definedName>
    <definedName name="Notional_SEN_IDACI_B5_Pri">#REF!</definedName>
    <definedName name="Notional_SEN_IDACI_B5_Sec" localSheetId="21">#REF!</definedName>
    <definedName name="Notional_SEN_IDACI_B5_Sec" localSheetId="22">#REF!</definedName>
    <definedName name="Notional_SEN_IDACI_B5_Sec" localSheetId="5">#REF!</definedName>
    <definedName name="Notional_SEN_IDACI_B5_Sec" localSheetId="23">#REF!</definedName>
    <definedName name="Notional_SEN_IDACI_B5_Sec">#REF!</definedName>
    <definedName name="Notional_SEN_IDACI_B6_Pri" localSheetId="21">#REF!</definedName>
    <definedName name="Notional_SEN_IDACI_B6_Pri" localSheetId="22">#REF!</definedName>
    <definedName name="Notional_SEN_IDACI_B6_Pri" localSheetId="5">#REF!</definedName>
    <definedName name="Notional_SEN_IDACI_B6_Pri" localSheetId="23">#REF!</definedName>
    <definedName name="Notional_SEN_IDACI_B6_Pri">#REF!</definedName>
    <definedName name="Notional_SEN_IDACI_B6_Sec" localSheetId="21">#REF!</definedName>
    <definedName name="Notional_SEN_IDACI_B6_Sec" localSheetId="22">#REF!</definedName>
    <definedName name="Notional_SEN_IDACI_B6_Sec" localSheetId="5">#REF!</definedName>
    <definedName name="Notional_SEN_IDACI_B6_Sec" localSheetId="23">#REF!</definedName>
    <definedName name="Notional_SEN_IDACI_B6_Sec">#REF!</definedName>
    <definedName name="Notional_SEN_LAC" localSheetId="21">#REF!</definedName>
    <definedName name="Notional_SEN_LAC" localSheetId="22">#REF!</definedName>
    <definedName name="Notional_SEN_LAC" localSheetId="5">#REF!</definedName>
    <definedName name="Notional_SEN_LAC" localSheetId="23">#REF!</definedName>
    <definedName name="Notional_SEN_LAC">#REF!</definedName>
    <definedName name="Notional_SEN_LCHI_Pri" localSheetId="21">#REF!</definedName>
    <definedName name="Notional_SEN_LCHI_Pri" localSheetId="22">#REF!</definedName>
    <definedName name="Notional_SEN_LCHI_Pri" localSheetId="5">#REF!</definedName>
    <definedName name="Notional_SEN_LCHI_Pri" localSheetId="23">#REF!</definedName>
    <definedName name="Notional_SEN_LCHI_Pri">#REF!</definedName>
    <definedName name="Notional_SEN_LCHI_Sec" localSheetId="21">#REF!</definedName>
    <definedName name="Notional_SEN_LCHI_Sec" localSheetId="22">#REF!</definedName>
    <definedName name="Notional_SEN_LCHI_Sec" localSheetId="5">#REF!</definedName>
    <definedName name="Notional_SEN_LCHI_Sec" localSheetId="23">#REF!</definedName>
    <definedName name="Notional_SEN_LCHI_Sec">#REF!</definedName>
    <definedName name="Notional_SEN_Lump_sum_Pri" localSheetId="21">#REF!</definedName>
    <definedName name="Notional_SEN_Lump_sum_Pri" localSheetId="22">#REF!</definedName>
    <definedName name="Notional_SEN_Lump_sum_Pri" localSheetId="5">#REF!</definedName>
    <definedName name="Notional_SEN_Lump_sum_Pri" localSheetId="23">#REF!</definedName>
    <definedName name="Notional_SEN_Lump_sum_Pri">#REF!</definedName>
    <definedName name="Notional_SEN_Lump_sum_Sec" localSheetId="21">#REF!</definedName>
    <definedName name="Notional_SEN_Lump_sum_Sec" localSheetId="22">#REF!</definedName>
    <definedName name="Notional_SEN_Lump_sum_Sec" localSheetId="5">#REF!</definedName>
    <definedName name="Notional_SEN_Lump_sum_Sec" localSheetId="23">#REF!</definedName>
    <definedName name="Notional_SEN_Lump_sum_Sec">#REF!</definedName>
    <definedName name="Notional_SEN_MFG" localSheetId="21">#REF!</definedName>
    <definedName name="Notional_SEN_MFG" localSheetId="22">#REF!</definedName>
    <definedName name="Notional_SEN_MFG" localSheetId="5">#REF!</definedName>
    <definedName name="Notional_SEN_MFG" localSheetId="23">#REF!</definedName>
    <definedName name="Notional_SEN_MFG">#REF!</definedName>
    <definedName name="Notional_SEN_Mobility_Pri" localSheetId="21">#REF!</definedName>
    <definedName name="Notional_SEN_Mobility_Pri" localSheetId="22">#REF!</definedName>
    <definedName name="Notional_SEN_Mobility_Pri" localSheetId="5">#REF!</definedName>
    <definedName name="Notional_SEN_Mobility_Pri" localSheetId="23">#REF!</definedName>
    <definedName name="Notional_SEN_Mobility_Pri">#REF!</definedName>
    <definedName name="Notional_SEN_Mobility_Sec" localSheetId="21">#REF!</definedName>
    <definedName name="Notional_SEN_Mobility_Sec" localSheetId="22">#REF!</definedName>
    <definedName name="Notional_SEN_Mobility_Sec" localSheetId="5">#REF!</definedName>
    <definedName name="Notional_SEN_Mobility_Sec" localSheetId="23">#REF!</definedName>
    <definedName name="Notional_SEN_Mobility_Sec">#REF!</definedName>
    <definedName name="Notional_SEN_MPPF" localSheetId="21">#REF!</definedName>
    <definedName name="Notional_SEN_MPPF" localSheetId="22">#REF!</definedName>
    <definedName name="Notional_SEN_MPPF" localSheetId="5">#REF!</definedName>
    <definedName name="Notional_SEN_MPPF" localSheetId="23">#REF!</definedName>
    <definedName name="Notional_SEN_MPPF">#REF!</definedName>
    <definedName name="Notional_SEN_PFI" localSheetId="21">#REF!</definedName>
    <definedName name="Notional_SEN_PFI" localSheetId="22">#REF!</definedName>
    <definedName name="Notional_SEN_PFI" localSheetId="5">#REF!</definedName>
    <definedName name="Notional_SEN_PFI" localSheetId="23">#REF!</definedName>
    <definedName name="Notional_SEN_PFI">#REF!</definedName>
    <definedName name="Notional_SEN_Rates" localSheetId="21">#REF!</definedName>
    <definedName name="Notional_SEN_Rates" localSheetId="22">#REF!</definedName>
    <definedName name="Notional_SEN_Rates" localSheetId="5">#REF!</definedName>
    <definedName name="Notional_SEN_Rates" localSheetId="23">#REF!</definedName>
    <definedName name="Notional_SEN_Rates">#REF!</definedName>
    <definedName name="Notional_SEN_SixthForm" localSheetId="21">#REF!</definedName>
    <definedName name="Notional_SEN_SixthForm" localSheetId="22">#REF!</definedName>
    <definedName name="Notional_SEN_SixthForm" localSheetId="5">#REF!</definedName>
    <definedName name="Notional_SEN_SixthForm" localSheetId="23">#REF!</definedName>
    <definedName name="Notional_SEN_SixthForm">#REF!</definedName>
    <definedName name="Notional_SEN_Sparsity_Pri" localSheetId="21">#REF!</definedName>
    <definedName name="Notional_SEN_Sparsity_Pri" localSheetId="22">#REF!</definedName>
    <definedName name="Notional_SEN_Sparsity_Pri" localSheetId="5">#REF!</definedName>
    <definedName name="Notional_SEN_Sparsity_Pri" localSheetId="23">#REF!</definedName>
    <definedName name="Notional_SEN_Sparsity_Pri">#REF!</definedName>
    <definedName name="Notional_SEN_Sparsity_Sec" localSheetId="21">#REF!</definedName>
    <definedName name="Notional_SEN_Sparsity_Sec" localSheetId="22">#REF!</definedName>
    <definedName name="Notional_SEN_Sparsity_Sec" localSheetId="5">#REF!</definedName>
    <definedName name="Notional_SEN_Sparsity_Sec" localSheetId="23">#REF!</definedName>
    <definedName name="Notional_SEN_Sparsity_Sec">#REF!</definedName>
    <definedName name="Notional_SEN_Split_sites" localSheetId="21">#REF!</definedName>
    <definedName name="Notional_SEN_Split_sites" localSheetId="22">#REF!</definedName>
    <definedName name="Notional_SEN_Split_sites" localSheetId="5">#REF!</definedName>
    <definedName name="Notional_SEN_Split_sites" localSheetId="23">#REF!</definedName>
    <definedName name="Notional_SEN_Split_sites">#REF!</definedName>
    <definedName name="NOVEMBER" localSheetId="21">#REF!</definedName>
    <definedName name="NOVEMBER" localSheetId="22">#REF!</definedName>
    <definedName name="NOVEMBER" localSheetId="5">#REF!</definedName>
    <definedName name="NOVEMBER" localSheetId="23">#REF!</definedName>
    <definedName name="NOVEMBER">#REF!</definedName>
    <definedName name="OCTOBER" localSheetId="21">#REF!</definedName>
    <definedName name="OCTOBER" localSheetId="22">#REF!</definedName>
    <definedName name="OCTOBER" localSheetId="5">#REF!</definedName>
    <definedName name="OCTOBER" localSheetId="23">#REF!</definedName>
    <definedName name="OCTOBER">#REF!</definedName>
    <definedName name="part" localSheetId="21">#REF!</definedName>
    <definedName name="part" localSheetId="22">#REF!</definedName>
    <definedName name="part" localSheetId="5">#REF!</definedName>
    <definedName name="part" localSheetId="23">#REF!</definedName>
    <definedName name="part">#REF!</definedName>
    <definedName name="Payment_in_advance" localSheetId="16">#REF!</definedName>
    <definedName name="Payment_in_advance" localSheetId="17">#REF!</definedName>
    <definedName name="Payment_in_advance" localSheetId="18">#REF!</definedName>
    <definedName name="Payment_in_advance">Table4[Payment in advance]</definedName>
    <definedName name="PFI_Total" localSheetId="21">#REF!</definedName>
    <definedName name="PFI_Total" localSheetId="22">#REF!</definedName>
    <definedName name="PFI_Total" localSheetId="5">#REF!</definedName>
    <definedName name="PFI_Total" localSheetId="23">#REF!</definedName>
    <definedName name="PFI_Total">#REF!</definedName>
    <definedName name="previous_year" localSheetId="21">#REF!</definedName>
    <definedName name="previous_year" localSheetId="22">#REF!</definedName>
    <definedName name="previous_year" localSheetId="23">#REF!</definedName>
    <definedName name="previous_year">#REF!</definedName>
    <definedName name="previous_year_full" localSheetId="21">#REF!</definedName>
    <definedName name="previous_year_full" localSheetId="22">#REF!</definedName>
    <definedName name="previous_year_full" localSheetId="23">#REF!</definedName>
    <definedName name="previous_year_full">#REF!</definedName>
    <definedName name="Pri_dist_taper" localSheetId="21">#REF!</definedName>
    <definedName name="Pri_dist_taper" localSheetId="22">#REF!</definedName>
    <definedName name="Pri_dist_taper" localSheetId="23">#REF!</definedName>
    <definedName name="Pri_dist_taper">#REF!</definedName>
    <definedName name="Pri_distance_threshold" localSheetId="21">#REF!</definedName>
    <definedName name="Pri_distance_threshold" localSheetId="22">#REF!</definedName>
    <definedName name="Pri_distance_threshold" localSheetId="5">#REF!</definedName>
    <definedName name="Pri_distance_threshold" localSheetId="23">#REF!</definedName>
    <definedName name="Pri_distance_threshold">#REF!</definedName>
    <definedName name="Pri_PupilNo_threshold" localSheetId="21">#REF!</definedName>
    <definedName name="Pri_PupilNo_threshold" localSheetId="22">#REF!</definedName>
    <definedName name="Pri_PupilNo_threshold" localSheetId="5">#REF!</definedName>
    <definedName name="Pri_PupilNo_threshold" localSheetId="23">#REF!</definedName>
    <definedName name="Pri_PupilNo_threshold">#REF!</definedName>
    <definedName name="Primary_Lump_sum" localSheetId="21">#REF!</definedName>
    <definedName name="Primary_Lump_sum" localSheetId="22">#REF!</definedName>
    <definedName name="Primary_Lump_sum" localSheetId="5">#REF!</definedName>
    <definedName name="Primary_Lump_sum" localSheetId="23">#REF!</definedName>
    <definedName name="Primary_Lump_sum">#REF!</definedName>
    <definedName name="ProformaAdditionalFundingFromHN" localSheetId="21">#REF!</definedName>
    <definedName name="ProformaAdditionalFundingFromHN" localSheetId="22">#REF!</definedName>
    <definedName name="ProformaAdditionalFundingFromHN" localSheetId="23">#REF!</definedName>
    <definedName name="ProformaAdditionalFundingFromHN">#REF!</definedName>
    <definedName name="ProformaExceptionalCircumstanceTotals" localSheetId="21">#REF!</definedName>
    <definedName name="ProformaExceptionalCircumstanceTotals" localSheetId="22">#REF!</definedName>
    <definedName name="ProformaExceptionalCircumstanceTotals" localSheetId="23">#REF!</definedName>
    <definedName name="ProformaExceptionalCircumstanceTotals">#REF!</definedName>
    <definedName name="ProformaFallingRollsFund" localSheetId="21">#REF!</definedName>
    <definedName name="ProformaFallingRollsFund" localSheetId="22">#REF!</definedName>
    <definedName name="ProformaFallingRollsFund" localSheetId="23">#REF!</definedName>
    <definedName name="ProformaFallingRollsFund">#REF!</definedName>
    <definedName name="ProformaGrowthFund" localSheetId="21">#REF!</definedName>
    <definedName name="ProformaGrowthFund" localSheetId="22">#REF!</definedName>
    <definedName name="ProformaGrowthFund" localSheetId="23">#REF!</definedName>
    <definedName name="ProformaGrowthFund">#REF!</definedName>
    <definedName name="ProformaHNThreshold" localSheetId="21">#REF!</definedName>
    <definedName name="ProformaHNThreshold" localSheetId="22">#REF!</definedName>
    <definedName name="ProformaHNThreshold" localSheetId="23">#REF!</definedName>
    <definedName name="ProformaHNThreshold">#REF!</definedName>
    <definedName name="PupilPremium" localSheetId="21">#REF!</definedName>
    <definedName name="PupilPremium" localSheetId="22">#REF!</definedName>
    <definedName name="PupilPremium" localSheetId="5">#REF!</definedName>
    <definedName name="PupilPremium" localSheetId="23">#REF!</definedName>
    <definedName name="PupilPremium">#REF!</definedName>
    <definedName name="PY_MFG_Exclusion_Totals" localSheetId="21">#REF!</definedName>
    <definedName name="PY_MFG_Exclusion_Totals" localSheetId="22">#REF!</definedName>
    <definedName name="PY_MFG_Exclusion_Totals" localSheetId="23">#REF!</definedName>
    <definedName name="PY_MFG_Exclusion_Totals">#REF!</definedName>
    <definedName name="Quarter" localSheetId="21">#REF!</definedName>
    <definedName name="Quarter" localSheetId="22">#REF!</definedName>
    <definedName name="Quarter" localSheetId="5">#REF!</definedName>
    <definedName name="Quarter" localSheetId="23">#REF!</definedName>
    <definedName name="Quarter">#REF!</definedName>
    <definedName name="Rates_Total" localSheetId="21">#REF!</definedName>
    <definedName name="Rates_Total" localSheetId="22">#REF!</definedName>
    <definedName name="Rates_Total" localSheetId="5">#REF!</definedName>
    <definedName name="Rates_Total" localSheetId="23">#REF!</definedName>
    <definedName name="Rates_Total">#REF!</definedName>
    <definedName name="Reasons_list" localSheetId="21">#REF!</definedName>
    <definedName name="Reasons_list" localSheetId="22">#REF!</definedName>
    <definedName name="Reasons_list" localSheetId="5">#REF!</definedName>
    <definedName name="Reasons_list" localSheetId="23">#REF!</definedName>
    <definedName name="Reasons_list">#REF!</definedName>
    <definedName name="Reception_Uplift_YesNo" localSheetId="21">#REF!</definedName>
    <definedName name="Reception_Uplift_YesNo" localSheetId="22">#REF!</definedName>
    <definedName name="Reception_Uplift_YesNo" localSheetId="5">#REF!</definedName>
    <definedName name="Reception_Uplift_YesNo" localSheetId="23">#REF!</definedName>
    <definedName name="Reception_Uplift_YesNo">#REF!</definedName>
    <definedName name="revbudg" localSheetId="21">#REF!</definedName>
    <definedName name="revbudg" localSheetId="22">#REF!</definedName>
    <definedName name="revbudg" localSheetId="5">#REF!</definedName>
    <definedName name="revbudg" localSheetId="23">#REF!</definedName>
    <definedName name="revbudg">#REF!</definedName>
    <definedName name="row" localSheetId="21">#REF!</definedName>
    <definedName name="row" localSheetId="22">#REF!</definedName>
    <definedName name="row" localSheetId="5">#REF!</definedName>
    <definedName name="row" localSheetId="23">#REF!</definedName>
    <definedName name="row">#REF!</definedName>
    <definedName name="Scaling_Factor" localSheetId="21">#REF!</definedName>
    <definedName name="Scaling_Factor" localSheetId="22">#REF!</definedName>
    <definedName name="Scaling_Factor" localSheetId="5">#REF!</definedName>
    <definedName name="Scaling_Factor" localSheetId="23">#REF!</definedName>
    <definedName name="Scaling_Factor">#REF!</definedName>
    <definedName name="School" localSheetId="21">#REF!</definedName>
    <definedName name="School" localSheetId="22">#REF!</definedName>
    <definedName name="School" localSheetId="5">#REF!</definedName>
    <definedName name="School" localSheetId="23">#REF!</definedName>
    <definedName name="School">#REF!</definedName>
    <definedName name="School_list" localSheetId="21">#REF!</definedName>
    <definedName name="School_list" localSheetId="22">#REF!</definedName>
    <definedName name="School_list" localSheetId="5">#REF!</definedName>
    <definedName name="School_list" localSheetId="23">#REF!</definedName>
    <definedName name="School_list">#REF!</definedName>
    <definedName name="School_Name" localSheetId="21">#REF!</definedName>
    <definedName name="School_Name" localSheetId="22">#REF!</definedName>
    <definedName name="School_Name" localSheetId="5">#REF!</definedName>
    <definedName name="School_Name" localSheetId="23">#REF!</definedName>
    <definedName name="School_Name">#REF!</definedName>
    <definedName name="Schools" localSheetId="21">#REF!</definedName>
    <definedName name="Schools" localSheetId="22">#REF!</definedName>
    <definedName name="Schools" localSheetId="5">#REF!</definedName>
    <definedName name="Schools" localSheetId="23">#REF!</definedName>
    <definedName name="Schools">#REF!</definedName>
    <definedName name="Schoolsreference2" localSheetId="21">#REF!</definedName>
    <definedName name="Schoolsreference2" localSheetId="22">#REF!</definedName>
    <definedName name="Schoolsreference2" localSheetId="5">#REF!</definedName>
    <definedName name="Schoolsreference2" localSheetId="23">#REF!</definedName>
    <definedName name="Schoolsreference2">#REF!</definedName>
    <definedName name="Sec_dist_taper" localSheetId="21">#REF!</definedName>
    <definedName name="Sec_dist_taper" localSheetId="22">#REF!</definedName>
    <definedName name="Sec_dist_taper" localSheetId="23">#REF!</definedName>
    <definedName name="Sec_dist_taper">#REF!</definedName>
    <definedName name="Sec_distance_threshold" localSheetId="21">#REF!</definedName>
    <definedName name="Sec_distance_threshold" localSheetId="22">#REF!</definedName>
    <definedName name="Sec_distance_threshold" localSheetId="5">#REF!</definedName>
    <definedName name="Sec_distance_threshold" localSheetId="23">#REF!</definedName>
    <definedName name="Sec_distance_threshold">#REF!</definedName>
    <definedName name="Sec_PupilNo_threshold" localSheetId="21">#REF!</definedName>
    <definedName name="Sec_PupilNo_threshold" localSheetId="22">#REF!</definedName>
    <definedName name="Sec_PupilNo_threshold" localSheetId="5">#REF!</definedName>
    <definedName name="Sec_PupilNo_threshold" localSheetId="23">#REF!</definedName>
    <definedName name="Sec_PupilNo_threshold">#REF!</definedName>
    <definedName name="Secondary_Lump_Sum" localSheetId="21">#REF!</definedName>
    <definedName name="Secondary_Lump_Sum" localSheetId="22">#REF!</definedName>
    <definedName name="Secondary_Lump_Sum" localSheetId="5">#REF!</definedName>
    <definedName name="Secondary_Lump_Sum" localSheetId="23">#REF!</definedName>
    <definedName name="Secondary_Lump_Sum">#REF!</definedName>
    <definedName name="SEPTEMBER" localSheetId="21">#REF!</definedName>
    <definedName name="SEPTEMBER" localSheetId="22">#REF!</definedName>
    <definedName name="SEPTEMBER" localSheetId="5">#REF!</definedName>
    <definedName name="SEPTEMBER" localSheetId="23">#REF!</definedName>
    <definedName name="SEPTEMBER">#REF!</definedName>
    <definedName name="Sheet_Name" localSheetId="21">#REF!</definedName>
    <definedName name="Sheet_Name" localSheetId="22">#REF!</definedName>
    <definedName name="Sheet_Name" localSheetId="5">#REF!</definedName>
    <definedName name="Sheet_Name" localSheetId="23">#REF!</definedName>
    <definedName name="Sheet_Name">#REF!</definedName>
    <definedName name="Sixth_Form_Total" localSheetId="21">#REF!</definedName>
    <definedName name="Sixth_Form_Total" localSheetId="22">#REF!</definedName>
    <definedName name="Sixth_Form_Total" localSheetId="5">#REF!</definedName>
    <definedName name="Sixth_Form_Total" localSheetId="23">#REF!</definedName>
    <definedName name="Sixth_Form_Total">#REF!</definedName>
    <definedName name="Sparsity_All_lump_sum" localSheetId="21">#REF!</definedName>
    <definedName name="Sparsity_All_lump_sum" localSheetId="22">#REF!</definedName>
    <definedName name="Sparsity_All_lump_sum" localSheetId="5">#REF!</definedName>
    <definedName name="Sparsity_All_lump_sum" localSheetId="23">#REF!</definedName>
    <definedName name="Sparsity_All_lump_sum">#REF!</definedName>
    <definedName name="Sparsity_Mid_lump_sum" localSheetId="21">#REF!</definedName>
    <definedName name="Sparsity_Mid_lump_sum" localSheetId="22">#REF!</definedName>
    <definedName name="Sparsity_Mid_lump_sum" localSheetId="5">#REF!</definedName>
    <definedName name="Sparsity_Mid_lump_sum" localSheetId="23">#REF!</definedName>
    <definedName name="Sparsity_Mid_lump_sum">#REF!</definedName>
    <definedName name="Sparsity_Pri_DD_percentage" localSheetId="21">#REF!</definedName>
    <definedName name="Sparsity_Pri_DD_percentage" localSheetId="22">#REF!</definedName>
    <definedName name="Sparsity_Pri_DD_percentage" localSheetId="5">#REF!</definedName>
    <definedName name="Sparsity_Pri_DD_percentage" localSheetId="23">#REF!</definedName>
    <definedName name="Sparsity_Pri_DD_percentage">#REF!</definedName>
    <definedName name="Sparsity_Pri_lump_sum" localSheetId="21">#REF!</definedName>
    <definedName name="Sparsity_Pri_lump_sum" localSheetId="22">#REF!</definedName>
    <definedName name="Sparsity_Pri_lump_sum" localSheetId="5">#REF!</definedName>
    <definedName name="Sparsity_Pri_lump_sum" localSheetId="23">#REF!</definedName>
    <definedName name="Sparsity_Pri_lump_sum">#REF!</definedName>
    <definedName name="Sparsity_Sec_DD_percentage" localSheetId="21">#REF!</definedName>
    <definedName name="Sparsity_Sec_DD_percentage" localSheetId="22">#REF!</definedName>
    <definedName name="Sparsity_Sec_DD_percentage" localSheetId="5">#REF!</definedName>
    <definedName name="Sparsity_Sec_DD_percentage" localSheetId="23">#REF!</definedName>
    <definedName name="Sparsity_Sec_DD_percentage">#REF!</definedName>
    <definedName name="Sparsity_Sec_lump_sum" localSheetId="21">#REF!</definedName>
    <definedName name="Sparsity_Sec_lump_sum" localSheetId="22">#REF!</definedName>
    <definedName name="Sparsity_Sec_lump_sum" localSheetId="5">#REF!</definedName>
    <definedName name="Sparsity_Sec_lump_sum" localSheetId="23">#REF!</definedName>
    <definedName name="Sparsity_Sec_lump_sum">#REF!</definedName>
    <definedName name="Sparsity_Total" localSheetId="21">#REF!</definedName>
    <definedName name="Sparsity_Total" localSheetId="22">#REF!</definedName>
    <definedName name="Sparsity_Total" localSheetId="5">#REF!</definedName>
    <definedName name="Sparsity_Total" localSheetId="23">#REF!</definedName>
    <definedName name="Sparsity_Total">#REF!</definedName>
    <definedName name="Split_sites_distance_rate" localSheetId="21">#REF!</definedName>
    <definedName name="Split_sites_distance_rate" localSheetId="22">#REF!</definedName>
    <definedName name="Split_sites_distance_rate" localSheetId="23">#REF!</definedName>
    <definedName name="Split_sites_distance_rate">#REF!</definedName>
    <definedName name="Split_sites_lump_sum" localSheetId="21">#REF!</definedName>
    <definedName name="Split_sites_lump_sum" localSheetId="22">#REF!</definedName>
    <definedName name="Split_sites_lump_sum" localSheetId="23">#REF!</definedName>
    <definedName name="Split_sites_lump_sum">#REF!</definedName>
    <definedName name="Split_Sites_Total" localSheetId="21">#REF!</definedName>
    <definedName name="Split_Sites_Total" localSheetId="22">#REF!</definedName>
    <definedName name="Split_Sites_Total" localSheetId="5">#REF!</definedName>
    <definedName name="Split_Sites_Total" localSheetId="23">#REF!</definedName>
    <definedName name="Split_Sites_Total">#REF!</definedName>
    <definedName name="table" localSheetId="21">#REF!</definedName>
    <definedName name="table" localSheetId="22">#REF!</definedName>
    <definedName name="table" localSheetId="5">#REF!</definedName>
    <definedName name="table" localSheetId="23">#REF!</definedName>
    <definedName name="table">#REF!</definedName>
    <definedName name="Tapered_all_lump_sum" localSheetId="21">#REF!</definedName>
    <definedName name="Tapered_all_lump_sum" localSheetId="22">#REF!</definedName>
    <definedName name="Tapered_all_lump_sum" localSheetId="5">#REF!</definedName>
    <definedName name="Tapered_all_lump_sum" localSheetId="23">#REF!</definedName>
    <definedName name="Tapered_all_lump_sum">#REF!</definedName>
    <definedName name="Tapered_mid_lump_sum" localSheetId="21">#REF!</definedName>
    <definedName name="Tapered_mid_lump_sum" localSheetId="22">#REF!</definedName>
    <definedName name="Tapered_mid_lump_sum" localSheetId="5">#REF!</definedName>
    <definedName name="Tapered_mid_lump_sum" localSheetId="23">#REF!</definedName>
    <definedName name="Tapered_mid_lump_sum">#REF!</definedName>
    <definedName name="Tapered_primary_lump_sum" localSheetId="21">#REF!</definedName>
    <definedName name="Tapered_primary_lump_sum" localSheetId="22">#REF!</definedName>
    <definedName name="Tapered_primary_lump_sum" localSheetId="5">#REF!</definedName>
    <definedName name="Tapered_primary_lump_sum" localSheetId="23">#REF!</definedName>
    <definedName name="Tapered_primary_lump_sum">#REF!</definedName>
    <definedName name="Tapered_secondary_lump_sum" localSheetId="21">#REF!</definedName>
    <definedName name="Tapered_secondary_lump_sum" localSheetId="22">#REF!</definedName>
    <definedName name="Tapered_secondary_lump_sum" localSheetId="5">#REF!</definedName>
    <definedName name="Tapered_secondary_lump_sum" localSheetId="23">#REF!</definedName>
    <definedName name="Tapered_secondary_lump_sum">#REF!</definedName>
    <definedName name="tm1\\_0_C">#REF!</definedName>
    <definedName name="tm1\\_0_H">"{ ""server"" : ""https://paw.oscar.hmt.gov.uk/"", ""cube"" : ""{ \""server\"" : \""oscar_prd\"", \""cube\"" : \""}ElementAttributes_cpid_wga\""}""}"</definedName>
    <definedName name="tm1\\_0_R">#REF!</definedName>
    <definedName name="tm1\\_0_S">#REF!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al_Notional_SEN" localSheetId="21">#REF!</definedName>
    <definedName name="Total_Notional_SEN" localSheetId="22">#REF!</definedName>
    <definedName name="Total_Notional_SEN" localSheetId="5">#REF!</definedName>
    <definedName name="Total_Notional_SEN" localSheetId="23">#REF!</definedName>
    <definedName name="Total_Notional_SEN">#REF!</definedName>
    <definedName name="Total_Primary_funding" localSheetId="21">#REF!</definedName>
    <definedName name="Total_Primary_funding" localSheetId="22">#REF!</definedName>
    <definedName name="Total_Primary_funding" localSheetId="5">#REF!</definedName>
    <definedName name="Total_Primary_funding" localSheetId="23">#REF!</definedName>
    <definedName name="Total_Primary_funding">#REF!</definedName>
    <definedName name="Total_Secondary_Funding" localSheetId="21">#REF!</definedName>
    <definedName name="Total_Secondary_Funding" localSheetId="22">#REF!</definedName>
    <definedName name="Total_Secondary_Funding" localSheetId="5">#REF!</definedName>
    <definedName name="Total_Secondary_Funding" localSheetId="23">#REF!</definedName>
    <definedName name="Total_Secondary_Funding">#REF!</definedName>
    <definedName name="ValidationList1" localSheetId="21">#REF!</definedName>
    <definedName name="ValidationList1" localSheetId="22">#REF!</definedName>
    <definedName name="ValidationList1" localSheetId="23">#REF!</definedName>
    <definedName name="ValidationList1">#REF!</definedName>
    <definedName name="ValidationList2" localSheetId="21">#REF!</definedName>
    <definedName name="ValidationList2" localSheetId="22">#REF!</definedName>
    <definedName name="ValidationList2" localSheetId="23">#REF!</definedName>
    <definedName name="ValidationList2">#REF!</definedName>
    <definedName name="WorkingBudget" localSheetId="21">#REF!</definedName>
    <definedName name="WorkingBudget" localSheetId="22">#REF!</definedName>
    <definedName name="WorkingBudget" localSheetId="5">#REF!</definedName>
    <definedName name="WorkingBudget" localSheetId="23">#REF!</definedName>
    <definedName name="WorkingBudget">#REF!</definedName>
    <definedName name="YesNo" localSheetId="21">#REF!</definedName>
    <definedName name="YesNo" localSheetId="22">#REF!</definedName>
    <definedName name="YesNo" localSheetId="23">#REF!</definedName>
    <definedName name="YesN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E8" i="35" l="1"/>
  <c r="EF8" i="35" s="1"/>
  <c r="EE9" i="35"/>
  <c r="EF9" i="35" s="1"/>
  <c r="EE10" i="35"/>
  <c r="EF10" i="35" s="1"/>
  <c r="EE11" i="35"/>
  <c r="EF11" i="35" s="1"/>
  <c r="EE12" i="35"/>
  <c r="EF12" i="35" s="1"/>
  <c r="EE13" i="35"/>
  <c r="EF13" i="35" s="1"/>
  <c r="EE14" i="35"/>
  <c r="EF14" i="35" s="1"/>
  <c r="EE15" i="35"/>
  <c r="EF15" i="35" s="1"/>
  <c r="EE16" i="35"/>
  <c r="EF16" i="35" s="1"/>
  <c r="EE17" i="35"/>
  <c r="EF17" i="35" s="1"/>
  <c r="EE18" i="35"/>
  <c r="EF18" i="35" s="1"/>
  <c r="EE19" i="35"/>
  <c r="EF19" i="35" s="1"/>
  <c r="EE20" i="35"/>
  <c r="EF20" i="35" s="1"/>
  <c r="EE21" i="35"/>
  <c r="EF21" i="35" s="1"/>
  <c r="EE22" i="35"/>
  <c r="EF22" i="35" s="1"/>
  <c r="EE23" i="35"/>
  <c r="EF23" i="35" s="1"/>
  <c r="EE24" i="35"/>
  <c r="EF24" i="35" s="1"/>
  <c r="EE25" i="35"/>
  <c r="EF25" i="35" s="1"/>
  <c r="EE26" i="35"/>
  <c r="EF26" i="35" s="1"/>
  <c r="EE27" i="35"/>
  <c r="EF27" i="35" s="1"/>
  <c r="EE28" i="35"/>
  <c r="EF28" i="35" s="1"/>
  <c r="EE29" i="35"/>
  <c r="EF29" i="35" s="1"/>
  <c r="EE30" i="35"/>
  <c r="EF30" i="35" s="1"/>
  <c r="EE31" i="35"/>
  <c r="EF31" i="35" s="1"/>
  <c r="EE32" i="35"/>
  <c r="EF32" i="35" s="1"/>
  <c r="EE33" i="35"/>
  <c r="EF33" i="35" s="1"/>
  <c r="EE34" i="35"/>
  <c r="EF34" i="35" s="1"/>
  <c r="EE35" i="35"/>
  <c r="EF35" i="35" s="1"/>
  <c r="EE36" i="35"/>
  <c r="EF36" i="35" s="1"/>
  <c r="EE37" i="35"/>
  <c r="EF37" i="35" s="1"/>
  <c r="EE38" i="35"/>
  <c r="EF38" i="35" s="1"/>
  <c r="EE39" i="35"/>
  <c r="EF39" i="35" s="1"/>
  <c r="EE40" i="35"/>
  <c r="EF40" i="35" s="1"/>
  <c r="EE41" i="35"/>
  <c r="EF41" i="35" s="1"/>
  <c r="EE42" i="35"/>
  <c r="EF42" i="35" s="1"/>
  <c r="EE43" i="35"/>
  <c r="EF43" i="35" s="1"/>
  <c r="EE44" i="35"/>
  <c r="EF44" i="35" s="1"/>
  <c r="EE45" i="35"/>
  <c r="EF45" i="35" s="1"/>
  <c r="EE46" i="35"/>
  <c r="EF46" i="35" s="1"/>
  <c r="EE47" i="35"/>
  <c r="EF47" i="35" s="1"/>
  <c r="EE48" i="35"/>
  <c r="EF48" i="35" s="1"/>
  <c r="EE49" i="35"/>
  <c r="EF49" i="35" s="1"/>
  <c r="EE50" i="35"/>
  <c r="EF50" i="35" s="1"/>
  <c r="EE51" i="35"/>
  <c r="EF51" i="35" s="1"/>
  <c r="EE52" i="35"/>
  <c r="EF52" i="35" s="1"/>
  <c r="EE53" i="35"/>
  <c r="EF53" i="35" s="1"/>
  <c r="EE54" i="35"/>
  <c r="EF54" i="35" s="1"/>
  <c r="EE55" i="35"/>
  <c r="EF55" i="35" s="1"/>
  <c r="EE56" i="35"/>
  <c r="EF56" i="35" s="1"/>
  <c r="EE57" i="35"/>
  <c r="EF57" i="35" s="1"/>
  <c r="EE58" i="35"/>
  <c r="EF58" i="35" s="1"/>
  <c r="EE59" i="35"/>
  <c r="EF59" i="35" s="1"/>
  <c r="EE60" i="35"/>
  <c r="EF60" i="35" s="1"/>
  <c r="EE61" i="35"/>
  <c r="EF61" i="35" s="1"/>
  <c r="EE62" i="35"/>
  <c r="EF62" i="35" s="1"/>
  <c r="EE63" i="35"/>
  <c r="EF63" i="35" s="1"/>
  <c r="EE64" i="35"/>
  <c r="EF64" i="35" s="1"/>
  <c r="EE65" i="35"/>
  <c r="EF65" i="35" s="1"/>
  <c r="EE66" i="35"/>
  <c r="EF66" i="35" s="1"/>
  <c r="EE67" i="35"/>
  <c r="EF67" i="35" s="1"/>
  <c r="EE68" i="35"/>
  <c r="EF68" i="35" s="1"/>
  <c r="EE69" i="35"/>
  <c r="EF69" i="35" s="1"/>
  <c r="EE70" i="35"/>
  <c r="EF70" i="35" s="1"/>
  <c r="EE71" i="35"/>
  <c r="EF71" i="35" s="1"/>
  <c r="EE72" i="35"/>
  <c r="EF72" i="35" s="1"/>
  <c r="EE73" i="35"/>
  <c r="EF73" i="35" s="1"/>
  <c r="EE74" i="35"/>
  <c r="EF74" i="35" s="1"/>
  <c r="EE75" i="35"/>
  <c r="EF75" i="35" s="1"/>
  <c r="EE76" i="35"/>
  <c r="EF76" i="35" s="1"/>
  <c r="EE77" i="35"/>
  <c r="EF77" i="35" s="1"/>
  <c r="EE78" i="35"/>
  <c r="EF78" i="35" s="1"/>
  <c r="EE79" i="35"/>
  <c r="EF79" i="35" s="1"/>
  <c r="EE80" i="35"/>
  <c r="EF80" i="35" s="1"/>
  <c r="EE81" i="35"/>
  <c r="EF81" i="35" s="1"/>
  <c r="EE82" i="35"/>
  <c r="EF82" i="35" s="1"/>
  <c r="EE83" i="35"/>
  <c r="EF83" i="35" s="1"/>
  <c r="EE84" i="35"/>
  <c r="EF84" i="35" s="1"/>
  <c r="EE85" i="35"/>
  <c r="EF85" i="35" s="1"/>
  <c r="EE86" i="35"/>
  <c r="EF86" i="35" s="1"/>
  <c r="EE87" i="35"/>
  <c r="EF87" i="35" s="1"/>
  <c r="EE88" i="35"/>
  <c r="EF88" i="35" s="1"/>
  <c r="EE89" i="35"/>
  <c r="EF89" i="35" s="1"/>
  <c r="EE90" i="35"/>
  <c r="EF90" i="35" s="1"/>
  <c r="EE91" i="35"/>
  <c r="EF91" i="35" s="1"/>
  <c r="EE92" i="35"/>
  <c r="EF92" i="35" s="1"/>
  <c r="EE93" i="35"/>
  <c r="EF93" i="35" s="1"/>
  <c r="EE94" i="35"/>
  <c r="EF94" i="35" s="1"/>
  <c r="EE95" i="35"/>
  <c r="EF95" i="35" s="1"/>
  <c r="EE96" i="35"/>
  <c r="EF96" i="35" s="1"/>
  <c r="EE97" i="35"/>
  <c r="EF97" i="35" s="1"/>
  <c r="EE98" i="35"/>
  <c r="EF98" i="35" s="1"/>
  <c r="EE99" i="35"/>
  <c r="EF99" i="35" s="1"/>
  <c r="EE100" i="35"/>
  <c r="EF100" i="35" s="1"/>
  <c r="EE101" i="35"/>
  <c r="EF101" i="35" s="1"/>
  <c r="EE102" i="35"/>
  <c r="EF102" i="35" s="1"/>
  <c r="EE103" i="35"/>
  <c r="EF103" i="35" s="1"/>
  <c r="EE104" i="35"/>
  <c r="EF104" i="35" s="1"/>
  <c r="EE105" i="35"/>
  <c r="EF105" i="35" s="1"/>
  <c r="EE106" i="35"/>
  <c r="EF106" i="35" s="1"/>
  <c r="EE107" i="35"/>
  <c r="EF107" i="35" s="1"/>
  <c r="EE108" i="35"/>
  <c r="EF108" i="35" s="1"/>
  <c r="EE109" i="35"/>
  <c r="EF109" i="35" s="1"/>
  <c r="EE110" i="35"/>
  <c r="EF110" i="35" s="1"/>
  <c r="EE111" i="35"/>
  <c r="EF111" i="35" s="1"/>
  <c r="EE112" i="35"/>
  <c r="EF112" i="35" s="1"/>
  <c r="EE113" i="35"/>
  <c r="EF113" i="35" s="1"/>
  <c r="EE114" i="35"/>
  <c r="EF114" i="35" s="1"/>
  <c r="EE115" i="35"/>
  <c r="EF115" i="35" s="1"/>
  <c r="EE116" i="35"/>
  <c r="EF116" i="35" s="1"/>
  <c r="EE117" i="35"/>
  <c r="EF117" i="35" s="1"/>
  <c r="EE118" i="35"/>
  <c r="EF118" i="35" s="1"/>
  <c r="EE119" i="35"/>
  <c r="EF119" i="35" s="1"/>
  <c r="EE120" i="35"/>
  <c r="EF120" i="35" s="1"/>
  <c r="EE121" i="35"/>
  <c r="EF121" i="35" s="1"/>
  <c r="EE122" i="35"/>
  <c r="EF122" i="35" s="1"/>
  <c r="EE123" i="35"/>
  <c r="EF123" i="35" s="1"/>
  <c r="EE124" i="35"/>
  <c r="EF124" i="35" s="1"/>
  <c r="EE125" i="35"/>
  <c r="EF125" i="35" s="1"/>
  <c r="EE126" i="35"/>
  <c r="EF126" i="35" s="1"/>
  <c r="EE127" i="35"/>
  <c r="EF127" i="35" s="1"/>
  <c r="EE128" i="35"/>
  <c r="EF128" i="35" s="1"/>
  <c r="EE129" i="35"/>
  <c r="EF129" i="35" s="1"/>
  <c r="EE130" i="35"/>
  <c r="EF130" i="35" s="1"/>
  <c r="EE131" i="35"/>
  <c r="EF131" i="35" s="1"/>
  <c r="EE132" i="35"/>
  <c r="EF132" i="35" s="1"/>
  <c r="EE133" i="35"/>
  <c r="EF133" i="35" s="1"/>
  <c r="EE134" i="35"/>
  <c r="EF134" i="35" s="1"/>
  <c r="EE135" i="35"/>
  <c r="EF135" i="35" s="1"/>
  <c r="EE136" i="35"/>
  <c r="EF136" i="35" s="1"/>
  <c r="EE137" i="35"/>
  <c r="EF137" i="35" s="1"/>
  <c r="EE138" i="35"/>
  <c r="EF138" i="35" s="1"/>
  <c r="EE139" i="35"/>
  <c r="EF139" i="35" s="1"/>
  <c r="EE140" i="35"/>
  <c r="EF140" i="35" s="1"/>
  <c r="EE141" i="35"/>
  <c r="EF141" i="35" s="1"/>
  <c r="EE142" i="35"/>
  <c r="EF142" i="35" s="1"/>
  <c r="EE143" i="35"/>
  <c r="EF143" i="35" s="1"/>
  <c r="EE144" i="35"/>
  <c r="EF144" i="35" s="1"/>
  <c r="EE145" i="35"/>
  <c r="EF145" i="35" s="1"/>
  <c r="EE146" i="35"/>
  <c r="EF146" i="35" s="1"/>
  <c r="EE147" i="35"/>
  <c r="EF147" i="35" s="1"/>
  <c r="EE148" i="35"/>
  <c r="EF148" i="35" s="1"/>
  <c r="EE149" i="35"/>
  <c r="EF149" i="35" s="1"/>
  <c r="EE150" i="35"/>
  <c r="EF150" i="35" s="1"/>
  <c r="EE151" i="35"/>
  <c r="EF151" i="35" s="1"/>
  <c r="EE152" i="35"/>
  <c r="EF152" i="35" s="1"/>
  <c r="EE153" i="35"/>
  <c r="EF153" i="35" s="1"/>
  <c r="EE154" i="35"/>
  <c r="EF154" i="35" s="1"/>
  <c r="EE155" i="35"/>
  <c r="EF155" i="35" s="1"/>
  <c r="EE156" i="35"/>
  <c r="EF156" i="35" s="1"/>
  <c r="EE157" i="35"/>
  <c r="EF157" i="35" s="1"/>
  <c r="EE158" i="35"/>
  <c r="EF158" i="35" s="1"/>
  <c r="EE159" i="35"/>
  <c r="EF159" i="35" s="1"/>
  <c r="EE160" i="35"/>
  <c r="EF160" i="35" s="1"/>
  <c r="EE161" i="35"/>
  <c r="EF161" i="35" s="1"/>
  <c r="EE162" i="35"/>
  <c r="EF162" i="35" s="1"/>
  <c r="EE163" i="35"/>
  <c r="EF163" i="35" s="1"/>
  <c r="EE164" i="35"/>
  <c r="EF164" i="35" s="1"/>
  <c r="EE165" i="35"/>
  <c r="EF165" i="35" s="1"/>
  <c r="EE166" i="35"/>
  <c r="EF166" i="35" s="1"/>
  <c r="EE167" i="35"/>
  <c r="EF167" i="35" s="1"/>
  <c r="EE168" i="35"/>
  <c r="EF168" i="35" s="1"/>
  <c r="EE169" i="35"/>
  <c r="EF169" i="35" s="1"/>
  <c r="EE170" i="35"/>
  <c r="EF170" i="35" s="1"/>
  <c r="EE171" i="35"/>
  <c r="EF171" i="35" s="1"/>
  <c r="EE172" i="35"/>
  <c r="EF172" i="35" s="1"/>
  <c r="EE173" i="35"/>
  <c r="EF173" i="35" s="1"/>
  <c r="EE174" i="35"/>
  <c r="EF174" i="35" s="1"/>
  <c r="EE175" i="35"/>
  <c r="EF175" i="35" s="1"/>
  <c r="EE176" i="35"/>
  <c r="EF176" i="35" s="1"/>
  <c r="EE177" i="35"/>
  <c r="EF177" i="35" s="1"/>
  <c r="EE178" i="35"/>
  <c r="EF178" i="35" s="1"/>
  <c r="EE179" i="35"/>
  <c r="EF179" i="35" s="1"/>
  <c r="EE180" i="35"/>
  <c r="EF180" i="35" s="1"/>
  <c r="EE181" i="35"/>
  <c r="EF181" i="35" s="1"/>
  <c r="EE182" i="35"/>
  <c r="EF182" i="35" s="1"/>
  <c r="EE183" i="35"/>
  <c r="EF183" i="35" s="1"/>
  <c r="EE184" i="35"/>
  <c r="EF184" i="35" s="1"/>
  <c r="EE185" i="35"/>
  <c r="EF185" i="35" s="1"/>
  <c r="EE186" i="35"/>
  <c r="EF186" i="35" s="1"/>
  <c r="EE187" i="35"/>
  <c r="EF187" i="35" s="1"/>
  <c r="EE188" i="35"/>
  <c r="EF188" i="35" s="1"/>
  <c r="EE189" i="35"/>
  <c r="EF189" i="35" s="1"/>
  <c r="EE190" i="35"/>
  <c r="EF190" i="35" s="1"/>
  <c r="EE191" i="35"/>
  <c r="EF191" i="35" s="1"/>
  <c r="EE192" i="35"/>
  <c r="EF192" i="35" s="1"/>
  <c r="EE7" i="35"/>
  <c r="EF7" i="35" s="1"/>
  <c r="BQ192" i="37" l="1"/>
  <c r="BJ192" i="37"/>
  <c r="X192" i="37"/>
  <c r="BQ191" i="37"/>
  <c r="BJ191" i="37"/>
  <c r="X191" i="37"/>
  <c r="BQ190" i="37"/>
  <c r="BJ190" i="37"/>
  <c r="BQ189" i="37"/>
  <c r="X189" i="37"/>
  <c r="BQ188" i="37"/>
  <c r="BJ188" i="37"/>
  <c r="X188" i="37"/>
  <c r="BQ187" i="37"/>
  <c r="BJ187" i="37"/>
  <c r="X187" i="37"/>
  <c r="BQ186" i="37"/>
  <c r="BJ186" i="37"/>
  <c r="BQ185" i="37"/>
  <c r="BJ185" i="37"/>
  <c r="X185" i="37"/>
  <c r="BQ184" i="37"/>
  <c r="BJ184" i="37"/>
  <c r="X184" i="37"/>
  <c r="BQ183" i="37"/>
  <c r="BJ183" i="37"/>
  <c r="X183" i="37"/>
  <c r="BQ182" i="37"/>
  <c r="BJ182" i="37"/>
  <c r="BQ181" i="37"/>
  <c r="BJ181" i="37"/>
  <c r="X181" i="37"/>
  <c r="BQ180" i="37"/>
  <c r="BJ180" i="37"/>
  <c r="X180" i="37"/>
  <c r="BQ179" i="37"/>
  <c r="BJ179" i="37"/>
  <c r="X179" i="37"/>
  <c r="BQ178" i="37"/>
  <c r="BJ178" i="37"/>
  <c r="X178" i="37"/>
  <c r="BQ177" i="37"/>
  <c r="BJ177" i="37"/>
  <c r="BQ176" i="37"/>
  <c r="BJ176" i="37"/>
  <c r="X176" i="37"/>
  <c r="BQ175" i="37"/>
  <c r="BJ175" i="37"/>
  <c r="X175" i="37"/>
  <c r="BQ174" i="37"/>
  <c r="BJ174" i="37"/>
  <c r="BQ173" i="37"/>
  <c r="BJ173" i="37"/>
  <c r="X173" i="37"/>
  <c r="BQ172" i="37"/>
  <c r="BJ172" i="37"/>
  <c r="X172" i="37"/>
  <c r="BQ171" i="37"/>
  <c r="BJ171" i="37"/>
  <c r="X171" i="37"/>
  <c r="BQ170" i="37"/>
  <c r="BJ170" i="37"/>
  <c r="X170" i="37"/>
  <c r="BQ169" i="37"/>
  <c r="BQ168" i="37"/>
  <c r="BJ168" i="37"/>
  <c r="X168" i="37"/>
  <c r="BQ167" i="37"/>
  <c r="BJ167" i="37"/>
  <c r="X167" i="37"/>
  <c r="BQ166" i="37"/>
  <c r="BJ166" i="37"/>
  <c r="BQ165" i="37"/>
  <c r="BQ164" i="37"/>
  <c r="BJ164" i="37"/>
  <c r="X164" i="37"/>
  <c r="BQ163" i="37"/>
  <c r="BJ163" i="37"/>
  <c r="X163" i="37"/>
  <c r="BQ162" i="37"/>
  <c r="BJ162" i="37"/>
  <c r="X162" i="37"/>
  <c r="BQ161" i="37"/>
  <c r="X161" i="37"/>
  <c r="BQ160" i="37"/>
  <c r="BJ160" i="37"/>
  <c r="X160" i="37"/>
  <c r="BQ159" i="37"/>
  <c r="BJ159" i="37"/>
  <c r="X159" i="37"/>
  <c r="BQ158" i="37"/>
  <c r="BJ158" i="37"/>
  <c r="BQ157" i="37"/>
  <c r="X157" i="37"/>
  <c r="BQ156" i="37"/>
  <c r="BJ156" i="37"/>
  <c r="X156" i="37"/>
  <c r="BQ155" i="37"/>
  <c r="BJ155" i="37"/>
  <c r="X155" i="37"/>
  <c r="BQ154" i="37"/>
  <c r="BJ154" i="37"/>
  <c r="X154" i="37"/>
  <c r="BQ153" i="37"/>
  <c r="X153" i="37"/>
  <c r="BQ152" i="37"/>
  <c r="X152" i="37"/>
  <c r="BQ151" i="37"/>
  <c r="BJ151" i="37"/>
  <c r="X151" i="37"/>
  <c r="BQ150" i="37"/>
  <c r="BJ150" i="37"/>
  <c r="BQ149" i="37"/>
  <c r="X149" i="37"/>
  <c r="BQ148" i="37"/>
  <c r="BJ148" i="37"/>
  <c r="X148" i="37"/>
  <c r="BQ147" i="37"/>
  <c r="BJ147" i="37"/>
  <c r="X147" i="37"/>
  <c r="BQ146" i="37"/>
  <c r="BJ146" i="37"/>
  <c r="X146" i="37"/>
  <c r="BQ145" i="37"/>
  <c r="BJ145" i="37"/>
  <c r="X145" i="37"/>
  <c r="BQ144" i="37"/>
  <c r="X144" i="37"/>
  <c r="BQ143" i="37"/>
  <c r="BJ143" i="37"/>
  <c r="X143" i="37"/>
  <c r="BQ142" i="37"/>
  <c r="BJ142" i="37"/>
  <c r="X142" i="37"/>
  <c r="BQ141" i="37"/>
  <c r="BJ141" i="37"/>
  <c r="BQ140" i="37"/>
  <c r="X140" i="37"/>
  <c r="BQ139" i="37"/>
  <c r="BJ139" i="37"/>
  <c r="X139" i="37"/>
  <c r="BQ138" i="37"/>
  <c r="BJ138" i="37"/>
  <c r="X138" i="37"/>
  <c r="BQ137" i="37"/>
  <c r="BJ137" i="37"/>
  <c r="X137" i="37"/>
  <c r="BQ136" i="37"/>
  <c r="X136" i="37"/>
  <c r="BQ135" i="37"/>
  <c r="BJ135" i="37"/>
  <c r="X135" i="37"/>
  <c r="BQ134" i="37"/>
  <c r="BJ134" i="37"/>
  <c r="X134" i="37"/>
  <c r="BQ133" i="37"/>
  <c r="BJ133" i="37"/>
  <c r="BQ132" i="37"/>
  <c r="BJ132" i="37"/>
  <c r="X132" i="37"/>
  <c r="BQ131" i="37"/>
  <c r="BJ131" i="37"/>
  <c r="X131" i="37"/>
  <c r="BQ130" i="37"/>
  <c r="BJ130" i="37"/>
  <c r="X130" i="37"/>
  <c r="BQ129" i="37"/>
  <c r="BJ129" i="37"/>
  <c r="BQ128" i="37"/>
  <c r="BJ128" i="37"/>
  <c r="X128" i="37"/>
  <c r="BQ127" i="37"/>
  <c r="BJ127" i="37"/>
  <c r="X127" i="37"/>
  <c r="BQ126" i="37"/>
  <c r="BJ126" i="37"/>
  <c r="BQ125" i="37"/>
  <c r="BQ124" i="37"/>
  <c r="BJ124" i="37"/>
  <c r="X124" i="37"/>
  <c r="BQ123" i="37"/>
  <c r="BJ123" i="37"/>
  <c r="X123" i="37"/>
  <c r="BQ122" i="37"/>
  <c r="BJ122" i="37"/>
  <c r="X122" i="37"/>
  <c r="BQ121" i="37"/>
  <c r="X121" i="37"/>
  <c r="BQ120" i="37"/>
  <c r="BJ120" i="37"/>
  <c r="X120" i="37"/>
  <c r="BQ119" i="37"/>
  <c r="BJ119" i="37"/>
  <c r="X119" i="37"/>
  <c r="BQ118" i="37"/>
  <c r="BJ118" i="37"/>
  <c r="BQ117" i="37"/>
  <c r="X117" i="37"/>
  <c r="BQ116" i="37"/>
  <c r="BJ116" i="37"/>
  <c r="X116" i="37"/>
  <c r="BQ115" i="37"/>
  <c r="BJ115" i="37"/>
  <c r="X115" i="37"/>
  <c r="BQ114" i="37"/>
  <c r="BJ114" i="37"/>
  <c r="X114" i="37"/>
  <c r="BQ113" i="37"/>
  <c r="BJ113" i="37"/>
  <c r="X113" i="37"/>
  <c r="BQ112" i="37"/>
  <c r="X112" i="37"/>
  <c r="BQ111" i="37"/>
  <c r="BJ111" i="37"/>
  <c r="X111" i="37"/>
  <c r="BQ110" i="37"/>
  <c r="BJ110" i="37"/>
  <c r="X110" i="37"/>
  <c r="BQ109" i="37"/>
  <c r="BJ109" i="37"/>
  <c r="X109" i="37"/>
  <c r="BQ108" i="37"/>
  <c r="X108" i="37"/>
  <c r="BQ107" i="37"/>
  <c r="BJ107" i="37"/>
  <c r="X107" i="37"/>
  <c r="BQ106" i="37"/>
  <c r="BJ106" i="37"/>
  <c r="X106" i="37"/>
  <c r="BQ105" i="37"/>
  <c r="BJ105" i="37"/>
  <c r="BQ104" i="37"/>
  <c r="X104" i="37"/>
  <c r="BQ103" i="37"/>
  <c r="BJ103" i="37"/>
  <c r="X103" i="37"/>
  <c r="BQ102" i="37"/>
  <c r="BJ102" i="37"/>
  <c r="X102" i="37"/>
  <c r="BQ101" i="37"/>
  <c r="BJ101" i="37"/>
  <c r="BQ100" i="37"/>
  <c r="BJ100" i="37"/>
  <c r="X100" i="37"/>
  <c r="BQ99" i="37"/>
  <c r="BJ99" i="37"/>
  <c r="X99" i="37"/>
  <c r="BQ98" i="37"/>
  <c r="BJ98" i="37"/>
  <c r="X98" i="37"/>
  <c r="BQ97" i="37"/>
  <c r="BQ96" i="37"/>
  <c r="BJ96" i="37"/>
  <c r="X96" i="37"/>
  <c r="BQ95" i="37"/>
  <c r="BJ95" i="37"/>
  <c r="X95" i="37"/>
  <c r="BQ94" i="37"/>
  <c r="BJ94" i="37"/>
  <c r="BQ93" i="37"/>
  <c r="BQ92" i="37"/>
  <c r="BJ92" i="37"/>
  <c r="BQ91" i="37"/>
  <c r="X91" i="37"/>
  <c r="BQ90" i="37"/>
  <c r="BJ90" i="37"/>
  <c r="X90" i="37"/>
  <c r="BQ89" i="37"/>
  <c r="BQ88" i="37"/>
  <c r="BJ88" i="37"/>
  <c r="BQ87" i="37"/>
  <c r="X87" i="37"/>
  <c r="BQ86" i="37"/>
  <c r="BJ86" i="37"/>
  <c r="X86" i="37"/>
  <c r="BQ85" i="37"/>
  <c r="BQ84" i="37"/>
  <c r="BQ83" i="37"/>
  <c r="X83" i="37"/>
  <c r="BQ82" i="37"/>
  <c r="BJ82" i="37"/>
  <c r="X82" i="37"/>
  <c r="BQ81" i="37"/>
  <c r="BQ80" i="37"/>
  <c r="BQ79" i="37"/>
  <c r="X79" i="37"/>
  <c r="BQ78" i="37"/>
  <c r="BJ78" i="37"/>
  <c r="X78" i="37"/>
  <c r="BQ77" i="37"/>
  <c r="BQ76" i="37"/>
  <c r="BQ75" i="37"/>
  <c r="X75" i="37"/>
  <c r="BQ74" i="37"/>
  <c r="BJ74" i="37"/>
  <c r="X74" i="37"/>
  <c r="BQ73" i="37"/>
  <c r="BQ72" i="37"/>
  <c r="BQ71" i="37"/>
  <c r="X71" i="37"/>
  <c r="BQ70" i="37"/>
  <c r="BJ70" i="37"/>
  <c r="X70" i="37"/>
  <c r="BQ69" i="37"/>
  <c r="BQ68" i="37"/>
  <c r="BQ67" i="37"/>
  <c r="BJ67" i="37"/>
  <c r="X67" i="37"/>
  <c r="BQ66" i="37"/>
  <c r="BJ66" i="37"/>
  <c r="X66" i="37"/>
  <c r="BQ65" i="37"/>
  <c r="BQ64" i="37"/>
  <c r="X64" i="37"/>
  <c r="BQ63" i="37"/>
  <c r="X63" i="37"/>
  <c r="BQ62" i="37"/>
  <c r="BJ62" i="37"/>
  <c r="X62" i="37"/>
  <c r="BQ61" i="37"/>
  <c r="BQ60" i="37"/>
  <c r="BJ60" i="37"/>
  <c r="X60" i="37"/>
  <c r="BQ59" i="37"/>
  <c r="X59" i="37"/>
  <c r="BQ58" i="37"/>
  <c r="BJ58" i="37"/>
  <c r="X58" i="37"/>
  <c r="BQ57" i="37"/>
  <c r="BQ56" i="37"/>
  <c r="BJ56" i="37"/>
  <c r="X56" i="37"/>
  <c r="BQ55" i="37"/>
  <c r="BJ55" i="37"/>
  <c r="X55" i="37"/>
  <c r="BQ54" i="37"/>
  <c r="BJ54" i="37"/>
  <c r="X54" i="37"/>
  <c r="BQ53" i="37"/>
  <c r="BQ52" i="37"/>
  <c r="X52" i="37"/>
  <c r="BQ51" i="37"/>
  <c r="X51" i="37"/>
  <c r="BQ50" i="37"/>
  <c r="BJ50" i="37"/>
  <c r="X50" i="37"/>
  <c r="BQ49" i="37"/>
  <c r="BJ49" i="37"/>
  <c r="BQ48" i="37"/>
  <c r="BJ48" i="37"/>
  <c r="X48" i="37"/>
  <c r="BQ47" i="37"/>
  <c r="BJ47" i="37"/>
  <c r="X47" i="37"/>
  <c r="BQ46" i="37"/>
  <c r="BJ46" i="37"/>
  <c r="X46" i="37"/>
  <c r="BQ45" i="37"/>
  <c r="BJ45" i="37"/>
  <c r="BQ44" i="37"/>
  <c r="X44" i="37"/>
  <c r="BQ43" i="37"/>
  <c r="BJ43" i="37"/>
  <c r="X43" i="37"/>
  <c r="BQ42" i="37"/>
  <c r="BJ42" i="37"/>
  <c r="X42" i="37"/>
  <c r="BQ41" i="37"/>
  <c r="X41" i="37"/>
  <c r="BQ40" i="37"/>
  <c r="X40" i="37"/>
  <c r="BQ39" i="37"/>
  <c r="X39" i="37"/>
  <c r="BQ38" i="37"/>
  <c r="BJ38" i="37"/>
  <c r="X38" i="37"/>
  <c r="BQ37" i="37"/>
  <c r="X37" i="37"/>
  <c r="BQ36" i="37"/>
  <c r="BJ36" i="37"/>
  <c r="X36" i="37"/>
  <c r="BQ35" i="37"/>
  <c r="X35" i="37"/>
  <c r="BQ34" i="37"/>
  <c r="BJ34" i="37"/>
  <c r="X34" i="37"/>
  <c r="BQ33" i="37"/>
  <c r="BJ33" i="37"/>
  <c r="X33" i="37"/>
  <c r="BQ32" i="37"/>
  <c r="BJ32" i="37"/>
  <c r="X32" i="37"/>
  <c r="BQ31" i="37"/>
  <c r="X31" i="37"/>
  <c r="BQ30" i="37"/>
  <c r="BJ30" i="37"/>
  <c r="X30" i="37"/>
  <c r="BQ29" i="37"/>
  <c r="X29" i="37"/>
  <c r="BQ28" i="37"/>
  <c r="BJ28" i="37"/>
  <c r="X28" i="37"/>
  <c r="BQ27" i="37"/>
  <c r="BJ27" i="37"/>
  <c r="X27" i="37"/>
  <c r="BQ26" i="37"/>
  <c r="BJ26" i="37"/>
  <c r="X26" i="37"/>
  <c r="BQ25" i="37"/>
  <c r="BJ25" i="37"/>
  <c r="X25" i="37"/>
  <c r="BQ24" i="37"/>
  <c r="BJ24" i="37"/>
  <c r="X24" i="37"/>
  <c r="BQ23" i="37"/>
  <c r="X23" i="37"/>
  <c r="BQ22" i="37"/>
  <c r="BJ22" i="37"/>
  <c r="X22" i="37"/>
  <c r="BQ21" i="37"/>
  <c r="BJ21" i="37"/>
  <c r="X21" i="37"/>
  <c r="BQ20" i="37"/>
  <c r="BJ20" i="37"/>
  <c r="X20" i="37"/>
  <c r="BQ19" i="37"/>
  <c r="BJ19" i="37"/>
  <c r="X19" i="37"/>
  <c r="BQ18" i="37"/>
  <c r="BJ18" i="37"/>
  <c r="X18" i="37"/>
  <c r="BQ17" i="37"/>
  <c r="BJ17" i="37"/>
  <c r="X17" i="37"/>
  <c r="BQ16" i="37"/>
  <c r="BJ16" i="37"/>
  <c r="X16" i="37"/>
  <c r="BQ15" i="37"/>
  <c r="BJ15" i="37"/>
  <c r="X15" i="37"/>
  <c r="BQ14" i="37"/>
  <c r="BJ14" i="37"/>
  <c r="X14" i="37"/>
  <c r="BQ13" i="37"/>
  <c r="BJ13" i="37"/>
  <c r="X13" i="37"/>
  <c r="BQ12" i="37"/>
  <c r="BJ12" i="37"/>
  <c r="X12" i="37"/>
  <c r="BQ11" i="37"/>
  <c r="BJ11" i="37"/>
  <c r="X11" i="37"/>
  <c r="BQ10" i="37"/>
  <c r="BJ10" i="37"/>
  <c r="X10" i="37"/>
  <c r="BQ9" i="37"/>
  <c r="BJ9" i="37"/>
  <c r="X9" i="37"/>
  <c r="BQ8" i="37"/>
  <c r="BJ8" i="37"/>
  <c r="X8" i="37"/>
  <c r="BQ7" i="37"/>
  <c r="BJ7" i="37"/>
  <c r="X7" i="37"/>
  <c r="CI193" i="36"/>
  <c r="CF193" i="36"/>
  <c r="BQ193" i="36"/>
  <c r="X193" i="36"/>
  <c r="H193" i="36"/>
  <c r="CI192" i="36"/>
  <c r="CF192" i="36"/>
  <c r="BQ192" i="36"/>
  <c r="BJ192" i="36"/>
  <c r="X192" i="36"/>
  <c r="H192" i="36"/>
  <c r="CI191" i="36"/>
  <c r="CF191" i="36"/>
  <c r="BZ191" i="36"/>
  <c r="BQ191" i="36"/>
  <c r="X191" i="36"/>
  <c r="H191" i="36"/>
  <c r="CI190" i="36"/>
  <c r="CF190" i="36"/>
  <c r="BQ190" i="36"/>
  <c r="H190" i="36"/>
  <c r="CI189" i="36"/>
  <c r="CF189" i="36"/>
  <c r="BZ189" i="36"/>
  <c r="BQ189" i="36"/>
  <c r="BJ189" i="36"/>
  <c r="X189" i="36"/>
  <c r="H189" i="36"/>
  <c r="CI188" i="36"/>
  <c r="CF188" i="36"/>
  <c r="BQ188" i="36"/>
  <c r="BJ188" i="36"/>
  <c r="X188" i="36"/>
  <c r="H188" i="36"/>
  <c r="CI187" i="36"/>
  <c r="CF187" i="36"/>
  <c r="BZ187" i="36"/>
  <c r="BQ187" i="36"/>
  <c r="X187" i="36"/>
  <c r="H187" i="36"/>
  <c r="CI186" i="36"/>
  <c r="CF186" i="36"/>
  <c r="BZ186" i="36"/>
  <c r="BQ186" i="36"/>
  <c r="H186" i="36"/>
  <c r="CI185" i="36"/>
  <c r="CF185" i="36"/>
  <c r="BZ185" i="36"/>
  <c r="BQ185" i="36"/>
  <c r="X185" i="36"/>
  <c r="H185" i="36"/>
  <c r="CI184" i="36"/>
  <c r="CF184" i="36"/>
  <c r="BZ184" i="36"/>
  <c r="BQ184" i="36"/>
  <c r="BJ184" i="36"/>
  <c r="X184" i="36"/>
  <c r="H184" i="36"/>
  <c r="CI183" i="36"/>
  <c r="CF183" i="36"/>
  <c r="BZ183" i="36"/>
  <c r="BQ183" i="36"/>
  <c r="X183" i="36"/>
  <c r="H183" i="36"/>
  <c r="CI182" i="36"/>
  <c r="CF182" i="36"/>
  <c r="BQ182" i="36"/>
  <c r="X182" i="36"/>
  <c r="H182" i="36"/>
  <c r="CI181" i="36"/>
  <c r="CF181" i="36"/>
  <c r="BZ181" i="36"/>
  <c r="BQ181" i="36"/>
  <c r="H181" i="36"/>
  <c r="CI180" i="36"/>
  <c r="CF180" i="36"/>
  <c r="BZ180" i="36"/>
  <c r="BQ180" i="36"/>
  <c r="BJ180" i="36"/>
  <c r="X180" i="36"/>
  <c r="H180" i="36"/>
  <c r="CI179" i="36"/>
  <c r="CF179" i="36"/>
  <c r="BZ179" i="36"/>
  <c r="BQ179" i="36"/>
  <c r="X179" i="36"/>
  <c r="H179" i="36"/>
  <c r="CI178" i="36"/>
  <c r="CF178" i="36"/>
  <c r="BQ178" i="36"/>
  <c r="H178" i="36"/>
  <c r="CI177" i="36"/>
  <c r="CF177" i="36"/>
  <c r="BZ177" i="36"/>
  <c r="BQ177" i="36"/>
  <c r="BJ177" i="36"/>
  <c r="X177" i="36"/>
  <c r="H177" i="36"/>
  <c r="CI176" i="36"/>
  <c r="CF176" i="36"/>
  <c r="BQ176" i="36"/>
  <c r="BJ176" i="36"/>
  <c r="X176" i="36"/>
  <c r="H176" i="36"/>
  <c r="CI175" i="36"/>
  <c r="CF175" i="36"/>
  <c r="BZ175" i="36"/>
  <c r="BQ175" i="36"/>
  <c r="X175" i="36"/>
  <c r="H175" i="36"/>
  <c r="CI174" i="36"/>
  <c r="CF174" i="36"/>
  <c r="BZ174" i="36"/>
  <c r="BQ174" i="36"/>
  <c r="BJ174" i="36"/>
  <c r="H174" i="36"/>
  <c r="CI173" i="36"/>
  <c r="CF173" i="36"/>
  <c r="BQ173" i="36"/>
  <c r="X173" i="36"/>
  <c r="H173" i="36"/>
  <c r="CI172" i="36"/>
  <c r="CF172" i="36"/>
  <c r="BZ172" i="36"/>
  <c r="BQ172" i="36"/>
  <c r="BJ172" i="36"/>
  <c r="X172" i="36"/>
  <c r="H172" i="36"/>
  <c r="CI171" i="36"/>
  <c r="CF171" i="36"/>
  <c r="BZ171" i="36"/>
  <c r="BQ171" i="36"/>
  <c r="BJ171" i="36"/>
  <c r="X171" i="36"/>
  <c r="H171" i="36"/>
  <c r="CI170" i="36"/>
  <c r="CF170" i="36"/>
  <c r="BQ170" i="36"/>
  <c r="BJ170" i="36"/>
  <c r="H170" i="36"/>
  <c r="CI169" i="36"/>
  <c r="CF169" i="36"/>
  <c r="BQ169" i="36"/>
  <c r="X169" i="36"/>
  <c r="H169" i="36"/>
  <c r="CI168" i="36"/>
  <c r="CF168" i="36"/>
  <c r="BQ168" i="36"/>
  <c r="BJ168" i="36"/>
  <c r="X168" i="36"/>
  <c r="H168" i="36"/>
  <c r="CI167" i="36"/>
  <c r="CF167" i="36"/>
  <c r="BZ167" i="36"/>
  <c r="BQ167" i="36"/>
  <c r="BJ167" i="36"/>
  <c r="X167" i="36"/>
  <c r="H167" i="36"/>
  <c r="CI166" i="36"/>
  <c r="CF166" i="36"/>
  <c r="BZ166" i="36"/>
  <c r="BQ166" i="36"/>
  <c r="BJ166" i="36"/>
  <c r="H166" i="36"/>
  <c r="CI165" i="36"/>
  <c r="CF165" i="36"/>
  <c r="BQ165" i="36"/>
  <c r="X165" i="36"/>
  <c r="H165" i="36"/>
  <c r="CI164" i="36"/>
  <c r="CF164" i="36"/>
  <c r="BQ164" i="36"/>
  <c r="BJ164" i="36"/>
  <c r="X164" i="36"/>
  <c r="H164" i="36"/>
  <c r="CI163" i="36"/>
  <c r="CF163" i="36"/>
  <c r="BZ163" i="36"/>
  <c r="BQ163" i="36"/>
  <c r="BJ163" i="36"/>
  <c r="X163" i="36"/>
  <c r="H163" i="36"/>
  <c r="CI162" i="36"/>
  <c r="CF162" i="36"/>
  <c r="BZ162" i="36"/>
  <c r="BQ162" i="36"/>
  <c r="BJ162" i="36"/>
  <c r="X162" i="36"/>
  <c r="H162" i="36"/>
  <c r="CI161" i="36"/>
  <c r="CF161" i="36"/>
  <c r="BQ161" i="36"/>
  <c r="X161" i="36"/>
  <c r="H161" i="36"/>
  <c r="CI160" i="36"/>
  <c r="CF160" i="36"/>
  <c r="BQ160" i="36"/>
  <c r="BJ160" i="36"/>
  <c r="X160" i="36"/>
  <c r="H160" i="36"/>
  <c r="CI159" i="36"/>
  <c r="CF159" i="36"/>
  <c r="BZ159" i="36"/>
  <c r="BQ159" i="36"/>
  <c r="BJ159" i="36"/>
  <c r="X159" i="36"/>
  <c r="H159" i="36"/>
  <c r="CI158" i="36"/>
  <c r="CF158" i="36"/>
  <c r="BQ158" i="36"/>
  <c r="BJ158" i="36"/>
  <c r="H158" i="36"/>
  <c r="CI157" i="36"/>
  <c r="CF157" i="36"/>
  <c r="BZ157" i="36"/>
  <c r="BQ157" i="36"/>
  <c r="BJ157" i="36"/>
  <c r="X157" i="36"/>
  <c r="H157" i="36"/>
  <c r="CI156" i="36"/>
  <c r="CF156" i="36"/>
  <c r="BQ156" i="36"/>
  <c r="BJ156" i="36"/>
  <c r="X156" i="36"/>
  <c r="H156" i="36"/>
  <c r="CI155" i="36"/>
  <c r="CF155" i="36"/>
  <c r="BZ155" i="36"/>
  <c r="BQ155" i="36"/>
  <c r="BJ155" i="36"/>
  <c r="X155" i="36"/>
  <c r="H155" i="36"/>
  <c r="CI154" i="36"/>
  <c r="CF154" i="36"/>
  <c r="BZ154" i="36"/>
  <c r="BQ154" i="36"/>
  <c r="BJ154" i="36"/>
  <c r="X154" i="36"/>
  <c r="H154" i="36"/>
  <c r="CI153" i="36"/>
  <c r="CF153" i="36"/>
  <c r="BQ153" i="36"/>
  <c r="X153" i="36"/>
  <c r="H153" i="36"/>
  <c r="CI152" i="36"/>
  <c r="CF152" i="36"/>
  <c r="BZ152" i="36"/>
  <c r="BQ152" i="36"/>
  <c r="BJ152" i="36"/>
  <c r="X152" i="36"/>
  <c r="H152" i="36"/>
  <c r="CI151" i="36"/>
  <c r="CF151" i="36"/>
  <c r="BZ151" i="36"/>
  <c r="BQ151" i="36"/>
  <c r="BJ151" i="36"/>
  <c r="X151" i="36"/>
  <c r="H151" i="36"/>
  <c r="CI150" i="36"/>
  <c r="CF150" i="36"/>
  <c r="BQ150" i="36"/>
  <c r="BJ150" i="36"/>
  <c r="X150" i="36"/>
  <c r="H150" i="36"/>
  <c r="CI149" i="36"/>
  <c r="CF149" i="36"/>
  <c r="BZ149" i="36"/>
  <c r="BQ149" i="36"/>
  <c r="X149" i="36"/>
  <c r="H149" i="36"/>
  <c r="CI148" i="36"/>
  <c r="CF148" i="36"/>
  <c r="BZ148" i="36"/>
  <c r="BQ148" i="36"/>
  <c r="BJ148" i="36"/>
  <c r="X148" i="36"/>
  <c r="H148" i="36"/>
  <c r="CI147" i="36"/>
  <c r="CF147" i="36"/>
  <c r="BZ147" i="36"/>
  <c r="BQ147" i="36"/>
  <c r="BJ147" i="36"/>
  <c r="X147" i="36"/>
  <c r="H147" i="36"/>
  <c r="CI146" i="36"/>
  <c r="CF146" i="36"/>
  <c r="BQ146" i="36"/>
  <c r="BJ146" i="36"/>
  <c r="H146" i="36"/>
  <c r="CI145" i="36"/>
  <c r="CF145" i="36"/>
  <c r="BZ145" i="36"/>
  <c r="BQ145" i="36"/>
  <c r="BJ145" i="36"/>
  <c r="X145" i="36"/>
  <c r="H145" i="36"/>
  <c r="CI144" i="36"/>
  <c r="CF144" i="36"/>
  <c r="BQ144" i="36"/>
  <c r="BJ144" i="36"/>
  <c r="X144" i="36"/>
  <c r="H144" i="36"/>
  <c r="CI143" i="36"/>
  <c r="CF143" i="36"/>
  <c r="BZ143" i="36"/>
  <c r="BQ143" i="36"/>
  <c r="BJ143" i="36"/>
  <c r="X143" i="36"/>
  <c r="H143" i="36"/>
  <c r="CI142" i="36"/>
  <c r="CF142" i="36"/>
  <c r="BZ142" i="36"/>
  <c r="BQ142" i="36"/>
  <c r="BJ142" i="36"/>
  <c r="H142" i="36"/>
  <c r="CI141" i="36"/>
  <c r="CF141" i="36"/>
  <c r="BQ141" i="36"/>
  <c r="X141" i="36"/>
  <c r="H141" i="36"/>
  <c r="CI140" i="36"/>
  <c r="CF140" i="36"/>
  <c r="BZ140" i="36"/>
  <c r="BQ140" i="36"/>
  <c r="BJ140" i="36"/>
  <c r="X140" i="36"/>
  <c r="H140" i="36"/>
  <c r="CI139" i="36"/>
  <c r="CF139" i="36"/>
  <c r="BZ139" i="36"/>
  <c r="BQ139" i="36"/>
  <c r="BJ139" i="36"/>
  <c r="X139" i="36"/>
  <c r="H139" i="36"/>
  <c r="CI138" i="36"/>
  <c r="CF138" i="36"/>
  <c r="BQ138" i="36"/>
  <c r="BJ138" i="36"/>
  <c r="H138" i="36"/>
  <c r="CI137" i="36"/>
  <c r="CF137" i="36"/>
  <c r="BQ137" i="36"/>
  <c r="X137" i="36"/>
  <c r="H137" i="36"/>
  <c r="CI136" i="36"/>
  <c r="CF136" i="36"/>
  <c r="BQ136" i="36"/>
  <c r="BJ136" i="36"/>
  <c r="X136" i="36"/>
  <c r="H136" i="36"/>
  <c r="CI135" i="36"/>
  <c r="CF135" i="36"/>
  <c r="BZ135" i="36"/>
  <c r="BQ135" i="36"/>
  <c r="BJ135" i="36"/>
  <c r="X135" i="36"/>
  <c r="H135" i="36"/>
  <c r="CI134" i="36"/>
  <c r="CF134" i="36"/>
  <c r="BZ134" i="36"/>
  <c r="BQ134" i="36"/>
  <c r="BJ134" i="36"/>
  <c r="H134" i="36"/>
  <c r="CI133" i="36"/>
  <c r="CF133" i="36"/>
  <c r="BQ133" i="36"/>
  <c r="X133" i="36"/>
  <c r="H133" i="36"/>
  <c r="CI132" i="36"/>
  <c r="CF132" i="36"/>
  <c r="BQ132" i="36"/>
  <c r="BJ132" i="36"/>
  <c r="X132" i="36"/>
  <c r="H132" i="36"/>
  <c r="CI131" i="36"/>
  <c r="CF131" i="36"/>
  <c r="BZ131" i="36"/>
  <c r="BQ131" i="36"/>
  <c r="BJ131" i="36"/>
  <c r="X131" i="36"/>
  <c r="H131" i="36"/>
  <c r="CI130" i="36"/>
  <c r="CF130" i="36"/>
  <c r="BZ130" i="36"/>
  <c r="BQ130" i="36"/>
  <c r="BJ130" i="36"/>
  <c r="X130" i="36"/>
  <c r="H130" i="36"/>
  <c r="CI129" i="36"/>
  <c r="CF129" i="36"/>
  <c r="BQ129" i="36"/>
  <c r="X129" i="36"/>
  <c r="H129" i="36"/>
  <c r="CI128" i="36"/>
  <c r="CF128" i="36"/>
  <c r="BQ128" i="36"/>
  <c r="X128" i="36"/>
  <c r="H128" i="36"/>
  <c r="CI127" i="36"/>
  <c r="CF127" i="36"/>
  <c r="BZ127" i="36"/>
  <c r="BQ127" i="36"/>
  <c r="H127" i="36"/>
  <c r="CI126" i="36"/>
  <c r="CF126" i="36"/>
  <c r="BQ126" i="36"/>
  <c r="BJ126" i="36"/>
  <c r="H126" i="36"/>
  <c r="CF125" i="36"/>
  <c r="X125" i="36"/>
  <c r="H125" i="36"/>
  <c r="CI124" i="36"/>
  <c r="CF124" i="36"/>
  <c r="BQ124" i="36"/>
  <c r="BJ124" i="36"/>
  <c r="X124" i="36"/>
  <c r="H124" i="36"/>
  <c r="CI123" i="36"/>
  <c r="CF123" i="36"/>
  <c r="BZ123" i="36"/>
  <c r="BQ123" i="36"/>
  <c r="X123" i="36"/>
  <c r="H123" i="36"/>
  <c r="CI122" i="36"/>
  <c r="CF122" i="36"/>
  <c r="BQ122" i="36"/>
  <c r="BJ122" i="36"/>
  <c r="H122" i="36"/>
  <c r="CI121" i="36"/>
  <c r="CF121" i="36"/>
  <c r="BZ121" i="36"/>
  <c r="BJ121" i="36"/>
  <c r="X121" i="36"/>
  <c r="H121" i="36"/>
  <c r="CI120" i="36"/>
  <c r="CF120" i="36"/>
  <c r="BQ120" i="36"/>
  <c r="BJ120" i="36"/>
  <c r="H120" i="36"/>
  <c r="CI119" i="36"/>
  <c r="BZ119" i="36"/>
  <c r="BQ119" i="36"/>
  <c r="H119" i="36"/>
  <c r="CI118" i="36"/>
  <c r="CF118" i="36"/>
  <c r="BJ118" i="36"/>
  <c r="X118" i="36"/>
  <c r="H118" i="36"/>
  <c r="CI117" i="36"/>
  <c r="CF117" i="36"/>
  <c r="BZ117" i="36"/>
  <c r="X117" i="36"/>
  <c r="H117" i="36"/>
  <c r="CI116" i="36"/>
  <c r="CF116" i="36"/>
  <c r="BZ116" i="36"/>
  <c r="BQ116" i="36"/>
  <c r="X116" i="36"/>
  <c r="H116" i="36"/>
  <c r="CI115" i="36"/>
  <c r="CF115" i="36"/>
  <c r="BZ115" i="36"/>
  <c r="BQ115" i="36"/>
  <c r="H115" i="36"/>
  <c r="CI114" i="36"/>
  <c r="CF114" i="36"/>
  <c r="BQ114" i="36"/>
  <c r="BJ114" i="36"/>
  <c r="H114" i="36"/>
  <c r="CI113" i="36"/>
  <c r="CF113" i="36"/>
  <c r="BZ113" i="36"/>
  <c r="BQ113" i="36"/>
  <c r="X113" i="36"/>
  <c r="H113" i="36"/>
  <c r="CI112" i="36"/>
  <c r="CF112" i="36"/>
  <c r="BZ112" i="36"/>
  <c r="BQ112" i="36"/>
  <c r="BJ112" i="36"/>
  <c r="H112" i="36"/>
  <c r="CI111" i="36"/>
  <c r="CF111" i="36"/>
  <c r="BZ111" i="36"/>
  <c r="BQ111" i="36"/>
  <c r="BJ111" i="36"/>
  <c r="X111" i="36"/>
  <c r="H111" i="36"/>
  <c r="CI110" i="36"/>
  <c r="CF110" i="36"/>
  <c r="BZ110" i="36"/>
  <c r="BQ110" i="36"/>
  <c r="BJ110" i="36"/>
  <c r="X110" i="36"/>
  <c r="H110" i="36"/>
  <c r="CI109" i="36"/>
  <c r="CF109" i="36"/>
  <c r="BZ109" i="36"/>
  <c r="BQ109" i="36"/>
  <c r="BJ109" i="36"/>
  <c r="X109" i="36"/>
  <c r="H109" i="36"/>
  <c r="CI108" i="36"/>
  <c r="CF108" i="36"/>
  <c r="BZ108" i="36"/>
  <c r="BQ108" i="36"/>
  <c r="H108" i="36"/>
  <c r="CI107" i="36"/>
  <c r="CF107" i="36"/>
  <c r="BZ107" i="36"/>
  <c r="BQ107" i="36"/>
  <c r="H107" i="36"/>
  <c r="CI106" i="36"/>
  <c r="CF106" i="36"/>
  <c r="BJ106" i="36"/>
  <c r="X106" i="36"/>
  <c r="H106" i="36"/>
  <c r="CI105" i="36"/>
  <c r="CF105" i="36"/>
  <c r="BZ105" i="36"/>
  <c r="BQ105" i="36"/>
  <c r="H105" i="36"/>
  <c r="CI104" i="36"/>
  <c r="CF104" i="36"/>
  <c r="BQ104" i="36"/>
  <c r="H104" i="36"/>
  <c r="CI103" i="36"/>
  <c r="CF103" i="36"/>
  <c r="BZ103" i="36"/>
  <c r="BQ103" i="36"/>
  <c r="BJ103" i="36"/>
  <c r="H103" i="36"/>
  <c r="CI102" i="36"/>
  <c r="CF102" i="36"/>
  <c r="BQ102" i="36"/>
  <c r="BJ102" i="36"/>
  <c r="X102" i="36"/>
  <c r="H102" i="36"/>
  <c r="CI101" i="36"/>
  <c r="CF101" i="36"/>
  <c r="BZ101" i="36"/>
  <c r="BQ101" i="36"/>
  <c r="H101" i="36"/>
  <c r="CI100" i="36"/>
  <c r="CF100" i="36"/>
  <c r="BQ100" i="36"/>
  <c r="X100" i="36"/>
  <c r="H100" i="36"/>
  <c r="CI99" i="36"/>
  <c r="CF99" i="36"/>
  <c r="BZ99" i="36"/>
  <c r="BQ99" i="36"/>
  <c r="BJ99" i="36"/>
  <c r="H99" i="36"/>
  <c r="CI98" i="36"/>
  <c r="CF98" i="36"/>
  <c r="BQ98" i="36"/>
  <c r="BJ98" i="36"/>
  <c r="X98" i="36"/>
  <c r="H98" i="36"/>
  <c r="CI97" i="36"/>
  <c r="CF97" i="36"/>
  <c r="BZ97" i="36"/>
  <c r="BQ97" i="36"/>
  <c r="H97" i="36"/>
  <c r="CI96" i="36"/>
  <c r="CF96" i="36"/>
  <c r="BZ96" i="36"/>
  <c r="BQ96" i="36"/>
  <c r="H96" i="36"/>
  <c r="CI95" i="36"/>
  <c r="CF95" i="36"/>
  <c r="BZ95" i="36"/>
  <c r="BQ95" i="36"/>
  <c r="BJ95" i="36"/>
  <c r="X95" i="36"/>
  <c r="H95" i="36"/>
  <c r="CI94" i="36"/>
  <c r="CF94" i="36"/>
  <c r="BJ94" i="36"/>
  <c r="X94" i="36"/>
  <c r="H94" i="36"/>
  <c r="CI93" i="36"/>
  <c r="CF93" i="36"/>
  <c r="BZ93" i="36"/>
  <c r="BQ93" i="36"/>
  <c r="X93" i="36"/>
  <c r="H93" i="36"/>
  <c r="CI92" i="36"/>
  <c r="CF92" i="36"/>
  <c r="BZ92" i="36"/>
  <c r="BQ92" i="36"/>
  <c r="X92" i="36"/>
  <c r="H92" i="36"/>
  <c r="CI91" i="36"/>
  <c r="CF91" i="36"/>
  <c r="BZ91" i="36"/>
  <c r="BQ91" i="36"/>
  <c r="X91" i="36"/>
  <c r="H91" i="36"/>
  <c r="CI90" i="36"/>
  <c r="CF90" i="36"/>
  <c r="BQ90" i="36"/>
  <c r="BJ90" i="36"/>
  <c r="X90" i="36"/>
  <c r="H90" i="36"/>
  <c r="CI89" i="36"/>
  <c r="CF89" i="36"/>
  <c r="BZ89" i="36"/>
  <c r="BQ89" i="36"/>
  <c r="X89" i="36"/>
  <c r="H89" i="36"/>
  <c r="CI88" i="36"/>
  <c r="CF88" i="36"/>
  <c r="BZ88" i="36"/>
  <c r="BQ88" i="36"/>
  <c r="H88" i="36"/>
  <c r="CI87" i="36"/>
  <c r="CF87" i="36"/>
  <c r="BZ87" i="36"/>
  <c r="BQ87" i="36"/>
  <c r="BJ87" i="36"/>
  <c r="X87" i="36"/>
  <c r="H87" i="36"/>
  <c r="CI86" i="36"/>
  <c r="CF86" i="36"/>
  <c r="BQ86" i="36"/>
  <c r="BJ86" i="36"/>
  <c r="X86" i="36"/>
  <c r="H86" i="36"/>
  <c r="CI85" i="36"/>
  <c r="CF85" i="36"/>
  <c r="BZ85" i="36"/>
  <c r="BQ85" i="36"/>
  <c r="H85" i="36"/>
  <c r="CI84" i="36"/>
  <c r="CF84" i="36"/>
  <c r="BQ84" i="36"/>
  <c r="BJ84" i="36"/>
  <c r="H84" i="36"/>
  <c r="CI83" i="36"/>
  <c r="CF83" i="36"/>
  <c r="BQ83" i="36"/>
  <c r="H83" i="36"/>
  <c r="CI82" i="36"/>
  <c r="CF82" i="36"/>
  <c r="BJ82" i="36"/>
  <c r="X82" i="36"/>
  <c r="H82" i="36"/>
  <c r="CI81" i="36"/>
  <c r="CF81" i="36"/>
  <c r="BZ81" i="36"/>
  <c r="BQ81" i="36"/>
  <c r="X81" i="36"/>
  <c r="H81" i="36"/>
  <c r="CI80" i="36"/>
  <c r="CF80" i="36"/>
  <c r="BQ80" i="36"/>
  <c r="BJ80" i="36"/>
  <c r="H80" i="36"/>
  <c r="CI79" i="36"/>
  <c r="CF79" i="36"/>
  <c r="BQ79" i="36"/>
  <c r="X79" i="36"/>
  <c r="H79" i="36"/>
  <c r="CI78" i="36"/>
  <c r="CF78" i="36"/>
  <c r="BJ78" i="36"/>
  <c r="X78" i="36"/>
  <c r="H78" i="36"/>
  <c r="CI77" i="36"/>
  <c r="CF77" i="36"/>
  <c r="BZ77" i="36"/>
  <c r="BQ77" i="36"/>
  <c r="H77" i="36"/>
  <c r="CI76" i="36"/>
  <c r="CF76" i="36"/>
  <c r="BQ76" i="36"/>
  <c r="BJ76" i="36"/>
  <c r="X76" i="36"/>
  <c r="H76" i="36"/>
  <c r="CI75" i="36"/>
  <c r="CF75" i="36"/>
  <c r="BZ75" i="36"/>
  <c r="BQ75" i="36"/>
  <c r="X75" i="36"/>
  <c r="H75" i="36"/>
  <c r="CI74" i="36"/>
  <c r="CF74" i="36"/>
  <c r="BZ74" i="36"/>
  <c r="X74" i="36"/>
  <c r="H74" i="36"/>
  <c r="CI73" i="36"/>
  <c r="CF73" i="36"/>
  <c r="BZ73" i="36"/>
  <c r="BQ73" i="36"/>
  <c r="BJ73" i="36"/>
  <c r="X73" i="36"/>
  <c r="H73" i="36"/>
  <c r="CI72" i="36"/>
  <c r="CF72" i="36"/>
  <c r="BZ72" i="36"/>
  <c r="BQ72" i="36"/>
  <c r="H72" i="36"/>
  <c r="CI71" i="36"/>
  <c r="CF71" i="36"/>
  <c r="BQ71" i="36"/>
  <c r="BJ71" i="36"/>
  <c r="X71" i="36"/>
  <c r="H71" i="36"/>
  <c r="CI70" i="36"/>
  <c r="CF70" i="36"/>
  <c r="BZ70" i="36"/>
  <c r="X70" i="36"/>
  <c r="H70" i="36"/>
  <c r="CI69" i="36"/>
  <c r="CF69" i="36"/>
  <c r="BZ69" i="36"/>
  <c r="BQ69" i="36"/>
  <c r="BJ69" i="36"/>
  <c r="X69" i="36"/>
  <c r="H69" i="36"/>
  <c r="CI68" i="36"/>
  <c r="CF68" i="36"/>
  <c r="BZ68" i="36"/>
  <c r="BQ68" i="36"/>
  <c r="H68" i="36"/>
  <c r="CI67" i="36"/>
  <c r="CF67" i="36"/>
  <c r="BQ67" i="36"/>
  <c r="BJ67" i="36"/>
  <c r="X67" i="36"/>
  <c r="H67" i="36"/>
  <c r="CI66" i="36"/>
  <c r="CF66" i="36"/>
  <c r="BZ66" i="36"/>
  <c r="X66" i="36"/>
  <c r="H66" i="36"/>
  <c r="CI65" i="36"/>
  <c r="CF65" i="36"/>
  <c r="BZ65" i="36"/>
  <c r="BQ65" i="36"/>
  <c r="BJ65" i="36"/>
  <c r="X65" i="36"/>
  <c r="H65" i="36"/>
  <c r="CI64" i="36"/>
  <c r="CF64" i="36"/>
  <c r="BZ64" i="36"/>
  <c r="BQ64" i="36"/>
  <c r="H64" i="36"/>
  <c r="CI63" i="36"/>
  <c r="CF63" i="36"/>
  <c r="BQ63" i="36"/>
  <c r="BJ63" i="36"/>
  <c r="X63" i="36"/>
  <c r="H63" i="36"/>
  <c r="CI62" i="36"/>
  <c r="CF62" i="36"/>
  <c r="BZ62" i="36"/>
  <c r="X62" i="36"/>
  <c r="H62" i="36"/>
  <c r="CI61" i="36"/>
  <c r="CF61" i="36"/>
  <c r="BZ61" i="36"/>
  <c r="BQ61" i="36"/>
  <c r="BJ61" i="36"/>
  <c r="X61" i="36"/>
  <c r="H61" i="36"/>
  <c r="CI60" i="36"/>
  <c r="CF60" i="36"/>
  <c r="BZ60" i="36"/>
  <c r="BQ60" i="36"/>
  <c r="H60" i="36"/>
  <c r="CI59" i="36"/>
  <c r="CF59" i="36"/>
  <c r="BQ59" i="36"/>
  <c r="BJ59" i="36"/>
  <c r="X59" i="36"/>
  <c r="H59" i="36"/>
  <c r="CI58" i="36"/>
  <c r="CF58" i="36"/>
  <c r="BZ58" i="36"/>
  <c r="X58" i="36"/>
  <c r="H58" i="36"/>
  <c r="CI57" i="36"/>
  <c r="CF57" i="36"/>
  <c r="BZ57" i="36"/>
  <c r="BQ57" i="36"/>
  <c r="BJ57" i="36"/>
  <c r="X57" i="36"/>
  <c r="H57" i="36"/>
  <c r="CI56" i="36"/>
  <c r="CF56" i="36"/>
  <c r="BZ56" i="36"/>
  <c r="BQ56" i="36"/>
  <c r="H56" i="36"/>
  <c r="CI55" i="36"/>
  <c r="CF55" i="36"/>
  <c r="BQ55" i="36"/>
  <c r="BJ55" i="36"/>
  <c r="X55" i="36"/>
  <c r="H55" i="36"/>
  <c r="CI54" i="36"/>
  <c r="CF54" i="36"/>
  <c r="BZ54" i="36"/>
  <c r="X54" i="36"/>
  <c r="H54" i="36"/>
  <c r="CI53" i="36"/>
  <c r="CF53" i="36"/>
  <c r="BZ53" i="36"/>
  <c r="BQ53" i="36"/>
  <c r="BJ53" i="36"/>
  <c r="X53" i="36"/>
  <c r="H53" i="36"/>
  <c r="CI52" i="36"/>
  <c r="CF52" i="36"/>
  <c r="BZ52" i="36"/>
  <c r="BQ52" i="36"/>
  <c r="H52" i="36"/>
  <c r="CI51" i="36"/>
  <c r="CF51" i="36"/>
  <c r="BQ51" i="36"/>
  <c r="BJ51" i="36"/>
  <c r="X51" i="36"/>
  <c r="H51" i="36"/>
  <c r="CI50" i="36"/>
  <c r="CF50" i="36"/>
  <c r="BZ50" i="36"/>
  <c r="X50" i="36"/>
  <c r="H50" i="36"/>
  <c r="CI49" i="36"/>
  <c r="CF49" i="36"/>
  <c r="BZ49" i="36"/>
  <c r="BQ49" i="36"/>
  <c r="BJ49" i="36"/>
  <c r="X49" i="36"/>
  <c r="H49" i="36"/>
  <c r="CI48" i="36"/>
  <c r="CF48" i="36"/>
  <c r="BZ48" i="36"/>
  <c r="BQ48" i="36"/>
  <c r="H48" i="36"/>
  <c r="CI47" i="36"/>
  <c r="CF47" i="36"/>
  <c r="BQ47" i="36"/>
  <c r="BJ47" i="36"/>
  <c r="X47" i="36"/>
  <c r="H47" i="36"/>
  <c r="CI46" i="36"/>
  <c r="CF46" i="36"/>
  <c r="BZ46" i="36"/>
  <c r="X46" i="36"/>
  <c r="H46" i="36"/>
  <c r="CI45" i="36"/>
  <c r="CF45" i="36"/>
  <c r="BZ45" i="36"/>
  <c r="BQ45" i="36"/>
  <c r="BJ45" i="36"/>
  <c r="X45" i="36"/>
  <c r="H45" i="36"/>
  <c r="CI44" i="36"/>
  <c r="CF44" i="36"/>
  <c r="BZ44" i="36"/>
  <c r="BQ44" i="36"/>
  <c r="BJ44" i="36"/>
  <c r="H44" i="36"/>
  <c r="CI43" i="36"/>
  <c r="CF43" i="36"/>
  <c r="BQ43" i="36"/>
  <c r="BJ43" i="36"/>
  <c r="H43" i="36"/>
  <c r="CI42" i="36"/>
  <c r="CF42" i="36"/>
  <c r="BJ42" i="36"/>
  <c r="X42" i="36"/>
  <c r="H42" i="36"/>
  <c r="CI41" i="36"/>
  <c r="CF41" i="36"/>
  <c r="BZ41" i="36"/>
  <c r="BQ41" i="36"/>
  <c r="BJ41" i="36"/>
  <c r="H41" i="36"/>
  <c r="CI40" i="36"/>
  <c r="BZ40" i="36"/>
  <c r="X40" i="36"/>
  <c r="H40" i="36"/>
  <c r="CI39" i="36"/>
  <c r="CF39" i="36"/>
  <c r="BZ39" i="36"/>
  <c r="BQ39" i="36"/>
  <c r="BJ39" i="36"/>
  <c r="H39" i="36"/>
  <c r="CI38" i="36"/>
  <c r="CF38" i="36"/>
  <c r="BQ38" i="36"/>
  <c r="X38" i="36"/>
  <c r="H38" i="36"/>
  <c r="CI37" i="36"/>
  <c r="CF37" i="36"/>
  <c r="BZ37" i="36"/>
  <c r="BQ37" i="36"/>
  <c r="BJ37" i="36"/>
  <c r="H37" i="36"/>
  <c r="CI36" i="36"/>
  <c r="CF36" i="36"/>
  <c r="BZ36" i="36"/>
  <c r="BQ36" i="36"/>
  <c r="BJ36" i="36"/>
  <c r="X36" i="36"/>
  <c r="H36" i="36"/>
  <c r="CI35" i="36"/>
  <c r="CF35" i="36"/>
  <c r="BZ35" i="36"/>
  <c r="BQ35" i="36"/>
  <c r="BJ35" i="36"/>
  <c r="X35" i="36"/>
  <c r="H35" i="36"/>
  <c r="CI34" i="36"/>
  <c r="CF34" i="36"/>
  <c r="BZ34" i="36"/>
  <c r="BQ34" i="36"/>
  <c r="BJ34" i="36"/>
  <c r="X34" i="36"/>
  <c r="H34" i="36"/>
  <c r="CI33" i="36"/>
  <c r="CF33" i="36"/>
  <c r="BZ33" i="36"/>
  <c r="BQ33" i="36"/>
  <c r="BJ33" i="36"/>
  <c r="X33" i="36"/>
  <c r="H33" i="36"/>
  <c r="CI32" i="36"/>
  <c r="CF32" i="36"/>
  <c r="BZ32" i="36"/>
  <c r="BQ32" i="36"/>
  <c r="BJ32" i="36"/>
  <c r="X32" i="36"/>
  <c r="H32" i="36"/>
  <c r="CI31" i="36"/>
  <c r="CF31" i="36"/>
  <c r="BZ31" i="36"/>
  <c r="BQ31" i="36"/>
  <c r="BJ31" i="36"/>
  <c r="X31" i="36"/>
  <c r="H31" i="36"/>
  <c r="CI30" i="36"/>
  <c r="CF30" i="36"/>
  <c r="BZ30" i="36"/>
  <c r="BQ30" i="36"/>
  <c r="BJ30" i="36"/>
  <c r="X30" i="36"/>
  <c r="H30" i="36"/>
  <c r="CI29" i="36"/>
  <c r="CF29" i="36"/>
  <c r="BZ29" i="36"/>
  <c r="BQ29" i="36"/>
  <c r="BJ29" i="36"/>
  <c r="X29" i="36"/>
  <c r="H29" i="36"/>
  <c r="CI28" i="36"/>
  <c r="CF28" i="36"/>
  <c r="BZ28" i="36"/>
  <c r="BQ28" i="36"/>
  <c r="BJ28" i="36"/>
  <c r="X28" i="36"/>
  <c r="H28" i="36"/>
  <c r="CI27" i="36"/>
  <c r="CF27" i="36"/>
  <c r="BZ27" i="36"/>
  <c r="BQ27" i="36"/>
  <c r="BJ27" i="36"/>
  <c r="X27" i="36"/>
  <c r="H27" i="36"/>
  <c r="CI26" i="36"/>
  <c r="CF26" i="36"/>
  <c r="BZ26" i="36"/>
  <c r="BQ26" i="36"/>
  <c r="BJ26" i="36"/>
  <c r="X26" i="36"/>
  <c r="H26" i="36"/>
  <c r="CI25" i="36"/>
  <c r="CF25" i="36"/>
  <c r="BZ25" i="36"/>
  <c r="BQ25" i="36"/>
  <c r="BJ25" i="36"/>
  <c r="X25" i="36"/>
  <c r="H25" i="36"/>
  <c r="CI24" i="36"/>
  <c r="CF24" i="36"/>
  <c r="BZ24" i="36"/>
  <c r="BQ24" i="36"/>
  <c r="BJ24" i="36"/>
  <c r="X24" i="36"/>
  <c r="H24" i="36"/>
  <c r="CI23" i="36"/>
  <c r="CF23" i="36"/>
  <c r="BZ23" i="36"/>
  <c r="BQ23" i="36"/>
  <c r="BJ23" i="36"/>
  <c r="X23" i="36"/>
  <c r="H23" i="36"/>
  <c r="CI22" i="36"/>
  <c r="CF22" i="36"/>
  <c r="BZ22" i="36"/>
  <c r="BQ22" i="36"/>
  <c r="BJ22" i="36"/>
  <c r="X22" i="36"/>
  <c r="H22" i="36"/>
  <c r="CI21" i="36"/>
  <c r="CF21" i="36"/>
  <c r="BZ21" i="36"/>
  <c r="BQ21" i="36"/>
  <c r="BJ21" i="36"/>
  <c r="X21" i="36"/>
  <c r="H21" i="36"/>
  <c r="CI20" i="36"/>
  <c r="CF20" i="36"/>
  <c r="BZ20" i="36"/>
  <c r="BQ20" i="36"/>
  <c r="BJ20" i="36"/>
  <c r="X20" i="36"/>
  <c r="H20" i="36"/>
  <c r="CI19" i="36"/>
  <c r="CF19" i="36"/>
  <c r="BZ19" i="36"/>
  <c r="BQ19" i="36"/>
  <c r="BJ19" i="36"/>
  <c r="X19" i="36"/>
  <c r="H19" i="36"/>
  <c r="CI18" i="36"/>
  <c r="CF18" i="36"/>
  <c r="BZ18" i="36"/>
  <c r="BQ18" i="36"/>
  <c r="BJ18" i="36"/>
  <c r="X18" i="36"/>
  <c r="H18" i="36"/>
  <c r="CI17" i="36"/>
  <c r="CF17" i="36"/>
  <c r="BZ17" i="36"/>
  <c r="BQ17" i="36"/>
  <c r="BJ17" i="36"/>
  <c r="X17" i="36"/>
  <c r="H17" i="36"/>
  <c r="CI16" i="36"/>
  <c r="CF16" i="36"/>
  <c r="BZ16" i="36"/>
  <c r="BQ16" i="36"/>
  <c r="BJ16" i="36"/>
  <c r="X16" i="36"/>
  <c r="H16" i="36"/>
  <c r="CI15" i="36"/>
  <c r="CF15" i="36"/>
  <c r="BZ15" i="36"/>
  <c r="BQ15" i="36"/>
  <c r="BJ15" i="36"/>
  <c r="X15" i="36"/>
  <c r="H15" i="36"/>
  <c r="CI14" i="36"/>
  <c r="CF14" i="36"/>
  <c r="BZ14" i="36"/>
  <c r="BQ14" i="36"/>
  <c r="BJ14" i="36"/>
  <c r="X14" i="36"/>
  <c r="H14" i="36"/>
  <c r="CI13" i="36"/>
  <c r="CF13" i="36"/>
  <c r="BZ13" i="36"/>
  <c r="BQ13" i="36"/>
  <c r="BJ13" i="36"/>
  <c r="X13" i="36"/>
  <c r="H13" i="36"/>
  <c r="CI12" i="36"/>
  <c r="CF12" i="36"/>
  <c r="BZ12" i="36"/>
  <c r="BQ12" i="36"/>
  <c r="BJ12" i="36"/>
  <c r="X12" i="36"/>
  <c r="H12" i="36"/>
  <c r="CI11" i="36"/>
  <c r="CF11" i="36"/>
  <c r="BZ11" i="36"/>
  <c r="BQ11" i="36"/>
  <c r="BJ11" i="36"/>
  <c r="X11" i="36"/>
  <c r="H11" i="36"/>
  <c r="CI10" i="36"/>
  <c r="CF10" i="36"/>
  <c r="BZ10" i="36"/>
  <c r="BQ10" i="36"/>
  <c r="BJ10" i="36"/>
  <c r="X10" i="36"/>
  <c r="H10" i="36"/>
  <c r="CI9" i="36"/>
  <c r="CF9" i="36"/>
  <c r="BZ9" i="36"/>
  <c r="BQ9" i="36"/>
  <c r="BJ9" i="36"/>
  <c r="X9" i="36"/>
  <c r="H9" i="36"/>
  <c r="CI8" i="36"/>
  <c r="CF8" i="36"/>
  <c r="BX195" i="36"/>
  <c r="BW195" i="36"/>
  <c r="BZ8" i="36"/>
  <c r="BP195" i="36"/>
  <c r="BO195" i="36"/>
  <c r="BQ8" i="36"/>
  <c r="BJ8" i="36"/>
  <c r="X8" i="36"/>
  <c r="H8" i="36"/>
  <c r="EA194" i="35"/>
  <c r="DZ194" i="35"/>
  <c r="DY194" i="35"/>
  <c r="DX194" i="35"/>
  <c r="DW194" i="35"/>
  <c r="DV194" i="35"/>
  <c r="DU194" i="35"/>
  <c r="DT194" i="35"/>
  <c r="DS194" i="35"/>
  <c r="DR194" i="35"/>
  <c r="DQ194" i="35"/>
  <c r="DP194" i="35"/>
  <c r="DO194" i="35"/>
  <c r="DN194" i="35"/>
  <c r="DM194" i="35"/>
  <c r="DL194" i="35"/>
  <c r="DK194" i="35"/>
  <c r="DJ194" i="35"/>
  <c r="DI194" i="35"/>
  <c r="DH194" i="35"/>
  <c r="DG194" i="35"/>
  <c r="DF194" i="35"/>
  <c r="DE194" i="35"/>
  <c r="DD194" i="35"/>
  <c r="DC194" i="35"/>
  <c r="DB194" i="35"/>
  <c r="DA194" i="35"/>
  <c r="CZ194" i="35"/>
  <c r="CY194" i="35"/>
  <c r="CX194" i="35"/>
  <c r="CW194" i="35"/>
  <c r="CV194" i="35"/>
  <c r="CU194" i="35"/>
  <c r="CT194" i="35"/>
  <c r="CS194" i="35"/>
  <c r="CR194" i="35"/>
  <c r="CQ194" i="35"/>
  <c r="CP194" i="35"/>
  <c r="CO194" i="35"/>
  <c r="CN194" i="35"/>
  <c r="CM194" i="35"/>
  <c r="CL194" i="35"/>
  <c r="CK194" i="35"/>
  <c r="CJ194" i="35"/>
  <c r="CI194" i="35"/>
  <c r="CH194" i="35"/>
  <c r="CG194" i="35"/>
  <c r="CF194" i="35"/>
  <c r="CE194" i="35"/>
  <c r="CD194" i="35"/>
  <c r="CC194" i="35"/>
  <c r="CB194" i="35"/>
  <c r="CA194" i="35"/>
  <c r="BZ194" i="35"/>
  <c r="BY194" i="35"/>
  <c r="BX194" i="35"/>
  <c r="BW194" i="35"/>
  <c r="BV194" i="35"/>
  <c r="BU194" i="35"/>
  <c r="BT194" i="35"/>
  <c r="BS194" i="35"/>
  <c r="BR194" i="35"/>
  <c r="BQ194" i="35"/>
  <c r="BP194" i="35"/>
  <c r="BO194" i="35"/>
  <c r="BN194" i="35"/>
  <c r="BM194" i="35"/>
  <c r="BL194" i="35"/>
  <c r="BK194" i="35"/>
  <c r="BJ194" i="35"/>
  <c r="BI194" i="35"/>
  <c r="BH194" i="35"/>
  <c r="BG194" i="35"/>
  <c r="BF194" i="35"/>
  <c r="BE194" i="35"/>
  <c r="BD194" i="35"/>
  <c r="BC194" i="35"/>
  <c r="BB194" i="35"/>
  <c r="BA194" i="35"/>
  <c r="AZ194" i="35"/>
  <c r="AY194" i="35"/>
  <c r="AX194" i="35"/>
  <c r="AW194" i="35"/>
  <c r="AV194" i="35"/>
  <c r="AU194" i="35"/>
  <c r="AT194" i="35"/>
  <c r="AS194" i="35"/>
  <c r="AR194" i="35"/>
  <c r="AQ194" i="35"/>
  <c r="AP194" i="35"/>
  <c r="AO194" i="35"/>
  <c r="AN194" i="35"/>
  <c r="AM194" i="35"/>
  <c r="AL194" i="35"/>
  <c r="AK194" i="35"/>
  <c r="AJ194" i="35"/>
  <c r="AI194" i="35"/>
  <c r="AH194" i="35"/>
  <c r="AG194" i="35"/>
  <c r="AF194" i="35"/>
  <c r="AE194" i="35"/>
  <c r="AD194" i="35"/>
  <c r="AC194" i="35"/>
  <c r="AB194" i="35"/>
  <c r="AA194" i="35"/>
  <c r="Z194" i="35"/>
  <c r="Y194" i="35"/>
  <c r="X194" i="35"/>
  <c r="W194" i="35"/>
  <c r="V194" i="35"/>
  <c r="U194" i="35"/>
  <c r="T194" i="35"/>
  <c r="S194" i="35"/>
  <c r="R194" i="35"/>
  <c r="Q194" i="35"/>
  <c r="P194" i="35"/>
  <c r="O194" i="35"/>
  <c r="N194" i="35"/>
  <c r="M194" i="35"/>
  <c r="L194" i="35"/>
  <c r="K194" i="35"/>
  <c r="J194" i="35"/>
  <c r="I194" i="35"/>
  <c r="BJ35" i="37" l="1"/>
  <c r="X45" i="37"/>
  <c r="BJ51" i="37"/>
  <c r="BJ53" i="37"/>
  <c r="BJ64" i="37"/>
  <c r="BJ68" i="37"/>
  <c r="BJ72" i="37"/>
  <c r="BJ76" i="37"/>
  <c r="BJ80" i="37"/>
  <c r="BJ84" i="37"/>
  <c r="X174" i="37"/>
  <c r="BJ40" i="37"/>
  <c r="X49" i="37"/>
  <c r="BJ57" i="37"/>
  <c r="X141" i="37"/>
  <c r="BJ152" i="37"/>
  <c r="BJ29" i="37"/>
  <c r="BJ37" i="37"/>
  <c r="X53" i="37"/>
  <c r="BJ59" i="37"/>
  <c r="BJ61" i="37"/>
  <c r="X68" i="37"/>
  <c r="X72" i="37"/>
  <c r="X76" i="37"/>
  <c r="X80" i="37"/>
  <c r="X84" i="37"/>
  <c r="X88" i="37"/>
  <c r="X92" i="37"/>
  <c r="BJ97" i="37"/>
  <c r="X105" i="37"/>
  <c r="X166" i="37"/>
  <c r="BJ169" i="37"/>
  <c r="X177" i="37"/>
  <c r="X190" i="37"/>
  <c r="BJ44" i="37"/>
  <c r="X57" i="37"/>
  <c r="BJ63" i="37"/>
  <c r="BJ65" i="37"/>
  <c r="BJ69" i="37"/>
  <c r="BJ73" i="37"/>
  <c r="BJ77" i="37"/>
  <c r="BJ81" i="37"/>
  <c r="BJ85" i="37"/>
  <c r="BJ89" i="37"/>
  <c r="BJ93" i="37"/>
  <c r="X94" i="37"/>
  <c r="X101" i="37"/>
  <c r="BJ112" i="37"/>
  <c r="BJ125" i="37"/>
  <c r="X126" i="37"/>
  <c r="X133" i="37"/>
  <c r="BJ144" i="37"/>
  <c r="BJ165" i="37"/>
  <c r="X186" i="37"/>
  <c r="BJ23" i="37"/>
  <c r="BJ31" i="37"/>
  <c r="BJ39" i="37"/>
  <c r="X61" i="37"/>
  <c r="BJ71" i="37"/>
  <c r="BJ75" i="37"/>
  <c r="BJ79" i="37"/>
  <c r="BJ83" i="37"/>
  <c r="BJ87" i="37"/>
  <c r="BJ91" i="37"/>
  <c r="X97" i="37"/>
  <c r="BJ108" i="37"/>
  <c r="BJ121" i="37"/>
  <c r="X129" i="37"/>
  <c r="BJ140" i="37"/>
  <c r="BJ153" i="37"/>
  <c r="BJ157" i="37"/>
  <c r="X158" i="37"/>
  <c r="BJ161" i="37"/>
  <c r="X169" i="37"/>
  <c r="BJ41" i="37"/>
  <c r="BJ52" i="37"/>
  <c r="X65" i="37"/>
  <c r="X69" i="37"/>
  <c r="X73" i="37"/>
  <c r="X77" i="37"/>
  <c r="X81" i="37"/>
  <c r="X85" i="37"/>
  <c r="X89" i="37"/>
  <c r="X93" i="37"/>
  <c r="BJ104" i="37"/>
  <c r="BJ117" i="37"/>
  <c r="X118" i="37"/>
  <c r="X125" i="37"/>
  <c r="BJ136" i="37"/>
  <c r="BJ149" i="37"/>
  <c r="X150" i="37"/>
  <c r="X165" i="37"/>
  <c r="X182" i="37"/>
  <c r="BJ189" i="37"/>
  <c r="BS195" i="36"/>
  <c r="BT195" i="36"/>
  <c r="BU195" i="36"/>
  <c r="BQ40" i="36"/>
  <c r="BZ43" i="36"/>
  <c r="X44" i="36"/>
  <c r="BQ46" i="36"/>
  <c r="BQ50" i="36"/>
  <c r="BQ54" i="36"/>
  <c r="BJ56" i="36"/>
  <c r="BQ58" i="36"/>
  <c r="BJ60" i="36"/>
  <c r="BQ62" i="36"/>
  <c r="BQ66" i="36"/>
  <c r="BJ68" i="36"/>
  <c r="BQ70" i="36"/>
  <c r="BJ72" i="36"/>
  <c r="BQ74" i="36"/>
  <c r="BJ75" i="36"/>
  <c r="BJ77" i="36"/>
  <c r="BZ80" i="36"/>
  <c r="BJ83" i="36"/>
  <c r="X85" i="36"/>
  <c r="BJ100" i="36"/>
  <c r="BJ105" i="36"/>
  <c r="BN195" i="36"/>
  <c r="BV195" i="36"/>
  <c r="X41" i="36"/>
  <c r="X43" i="36"/>
  <c r="BZ47" i="36"/>
  <c r="X48" i="36"/>
  <c r="BZ51" i="36"/>
  <c r="X52" i="36"/>
  <c r="BZ55" i="36"/>
  <c r="X56" i="36"/>
  <c r="BZ59" i="36"/>
  <c r="X60" i="36"/>
  <c r="BZ63" i="36"/>
  <c r="X64" i="36"/>
  <c r="BZ67" i="36"/>
  <c r="X68" i="36"/>
  <c r="BZ71" i="36"/>
  <c r="X72" i="36"/>
  <c r="X77" i="36"/>
  <c r="X83" i="36"/>
  <c r="X88" i="36"/>
  <c r="BJ88" i="36"/>
  <c r="BJ93" i="36"/>
  <c r="BZ102" i="36"/>
  <c r="X105" i="36"/>
  <c r="X107" i="36"/>
  <c r="BZ42" i="36"/>
  <c r="BZ82" i="36"/>
  <c r="BZ90" i="36"/>
  <c r="X108" i="36"/>
  <c r="BJ108" i="36"/>
  <c r="BJ40" i="36"/>
  <c r="BJ46" i="36"/>
  <c r="BJ50" i="36"/>
  <c r="BJ54" i="36"/>
  <c r="BJ58" i="36"/>
  <c r="BJ62" i="36"/>
  <c r="BJ66" i="36"/>
  <c r="BJ70" i="36"/>
  <c r="BJ74" i="36"/>
  <c r="X80" i="36"/>
  <c r="BZ84" i="36"/>
  <c r="BJ91" i="36"/>
  <c r="X96" i="36"/>
  <c r="BJ96" i="36"/>
  <c r="BJ101" i="36"/>
  <c r="BQ106" i="36"/>
  <c r="X39" i="36"/>
  <c r="CF40" i="36"/>
  <c r="BZ76" i="36"/>
  <c r="BQ78" i="36"/>
  <c r="BZ79" i="36"/>
  <c r="BJ81" i="36"/>
  <c r="BJ89" i="36"/>
  <c r="BQ94" i="36"/>
  <c r="BZ98" i="36"/>
  <c r="X101" i="36"/>
  <c r="X103" i="36"/>
  <c r="BZ104" i="36"/>
  <c r="X37" i="36"/>
  <c r="BJ79" i="36"/>
  <c r="BZ86" i="36"/>
  <c r="X104" i="36"/>
  <c r="BJ104" i="36"/>
  <c r="BJ38" i="36"/>
  <c r="BZ38" i="36"/>
  <c r="X84" i="36"/>
  <c r="BJ92" i="36"/>
  <c r="BJ97" i="36"/>
  <c r="BZ106" i="36"/>
  <c r="BY195" i="36"/>
  <c r="BR195" i="36"/>
  <c r="BQ42" i="36"/>
  <c r="BJ48" i="36"/>
  <c r="BJ52" i="36"/>
  <c r="BJ64" i="36"/>
  <c r="BZ78" i="36"/>
  <c r="BQ82" i="36"/>
  <c r="BZ83" i="36"/>
  <c r="BJ85" i="36"/>
  <c r="BZ94" i="36"/>
  <c r="X97" i="36"/>
  <c r="X99" i="36"/>
  <c r="BZ100" i="36"/>
  <c r="BJ107" i="36"/>
  <c r="BZ124" i="36"/>
  <c r="CI125" i="36"/>
  <c r="BJ191" i="36"/>
  <c r="BJ115" i="36"/>
  <c r="X120" i="36"/>
  <c r="BZ120" i="36"/>
  <c r="BZ132" i="36"/>
  <c r="BJ137" i="36"/>
  <c r="BZ137" i="36"/>
  <c r="X142" i="36"/>
  <c r="BZ164" i="36"/>
  <c r="BJ169" i="36"/>
  <c r="BZ169" i="36"/>
  <c r="X174" i="36"/>
  <c r="BJ179" i="36"/>
  <c r="BJ186" i="36"/>
  <c r="BQ118" i="36"/>
  <c r="BJ123" i="36"/>
  <c r="BZ144" i="36"/>
  <c r="BJ149" i="36"/>
  <c r="BZ176" i="36"/>
  <c r="BJ181" i="36"/>
  <c r="X186" i="36"/>
  <c r="X112" i="36"/>
  <c r="X114" i="36"/>
  <c r="BZ114" i="36"/>
  <c r="BQ117" i="36"/>
  <c r="BJ119" i="36"/>
  <c r="BQ125" i="36"/>
  <c r="X126" i="36"/>
  <c r="BZ126" i="36"/>
  <c r="BJ127" i="36"/>
  <c r="BJ129" i="36"/>
  <c r="BZ129" i="36"/>
  <c r="X134" i="36"/>
  <c r="BZ146" i="36"/>
  <c r="BZ156" i="36"/>
  <c r="BJ161" i="36"/>
  <c r="BZ161" i="36"/>
  <c r="X166" i="36"/>
  <c r="BJ178" i="36"/>
  <c r="BZ178" i="36"/>
  <c r="X181" i="36"/>
  <c r="BZ188" i="36"/>
  <c r="BJ193" i="36"/>
  <c r="BZ193" i="36"/>
  <c r="BJ113" i="36"/>
  <c r="X115" i="36"/>
  <c r="CF119" i="36"/>
  <c r="BQ121" i="36"/>
  <c r="X122" i="36"/>
  <c r="BZ122" i="36"/>
  <c r="X127" i="36"/>
  <c r="BZ136" i="36"/>
  <c r="BJ141" i="36"/>
  <c r="BZ141" i="36"/>
  <c r="X146" i="36"/>
  <c r="BZ158" i="36"/>
  <c r="BZ168" i="36"/>
  <c r="BJ173" i="36"/>
  <c r="BZ173" i="36"/>
  <c r="X178" i="36"/>
  <c r="BJ183" i="36"/>
  <c r="BJ190" i="36"/>
  <c r="BZ190" i="36"/>
  <c r="BZ118" i="36"/>
  <c r="BZ138" i="36"/>
  <c r="BJ153" i="36"/>
  <c r="BZ153" i="36"/>
  <c r="X158" i="36"/>
  <c r="BZ170" i="36"/>
  <c r="BJ185" i="36"/>
  <c r="X190" i="36"/>
  <c r="BZ192" i="36"/>
  <c r="BJ116" i="36"/>
  <c r="BJ117" i="36"/>
  <c r="X119" i="36"/>
  <c r="BJ125" i="36"/>
  <c r="BZ125" i="36"/>
  <c r="BJ128" i="36"/>
  <c r="BZ128" i="36"/>
  <c r="BJ133" i="36"/>
  <c r="BZ133" i="36"/>
  <c r="X138" i="36"/>
  <c r="BZ150" i="36"/>
  <c r="BZ160" i="36"/>
  <c r="BJ165" i="36"/>
  <c r="BZ165" i="36"/>
  <c r="X170" i="36"/>
  <c r="BJ175" i="36"/>
  <c r="BJ182" i="36"/>
  <c r="BZ182" i="36"/>
  <c r="BJ187" i="36"/>
  <c r="BQ195" i="36" l="1"/>
  <c r="BZ195" i="36"/>
  <c r="I33" i="20" l="1"/>
  <c r="I28" i="20"/>
  <c r="C81" i="20" l="1"/>
  <c r="C79" i="20"/>
  <c r="Z207" i="33"/>
  <c r="Y207" i="33"/>
  <c r="X207" i="33"/>
  <c r="W207" i="33"/>
  <c r="V207" i="33"/>
  <c r="U207" i="33"/>
  <c r="T207" i="33"/>
  <c r="S207" i="33"/>
  <c r="R207" i="33"/>
  <c r="Q207" i="33"/>
  <c r="O207" i="33"/>
  <c r="J207" i="33"/>
  <c r="I207" i="33"/>
  <c r="K205" i="33"/>
  <c r="AA204" i="33"/>
  <c r="K204" i="33"/>
  <c r="AA203" i="33"/>
  <c r="K203" i="33"/>
  <c r="AA202" i="33"/>
  <c r="K202" i="33"/>
  <c r="AA201" i="33"/>
  <c r="K201" i="33"/>
  <c r="K200" i="33"/>
  <c r="M200" i="33" s="1"/>
  <c r="AA199" i="33"/>
  <c r="K199" i="33"/>
  <c r="AA198" i="33"/>
  <c r="K198" i="33"/>
  <c r="AA197" i="33"/>
  <c r="K197" i="33"/>
  <c r="AA196" i="33"/>
  <c r="K196" i="33"/>
  <c r="AA195" i="33"/>
  <c r="K195" i="33"/>
  <c r="AA194" i="33"/>
  <c r="K194" i="33"/>
  <c r="AA193" i="33"/>
  <c r="K193" i="33"/>
  <c r="AA192" i="33"/>
  <c r="K192" i="33"/>
  <c r="AA191" i="33"/>
  <c r="K191" i="33"/>
  <c r="AA190" i="33"/>
  <c r="K190" i="33"/>
  <c r="AA189" i="33"/>
  <c r="K189" i="33"/>
  <c r="AA188" i="33"/>
  <c r="K188" i="33"/>
  <c r="AA187" i="33"/>
  <c r="K187" i="33"/>
  <c r="AA186" i="33"/>
  <c r="K186" i="33"/>
  <c r="P207" i="33"/>
  <c r="K185" i="33"/>
  <c r="M185" i="33" s="1"/>
  <c r="AA184" i="33"/>
  <c r="K184" i="33"/>
  <c r="AA183" i="33"/>
  <c r="K183" i="33"/>
  <c r="AA182" i="33"/>
  <c r="K182" i="33"/>
  <c r="AA181" i="33"/>
  <c r="K181" i="33"/>
  <c r="AA180" i="33"/>
  <c r="K180" i="33"/>
  <c r="AA179" i="33"/>
  <c r="K179" i="33"/>
  <c r="AA178" i="33"/>
  <c r="K178" i="33"/>
  <c r="AA177" i="33"/>
  <c r="K177" i="33"/>
  <c r="AA176" i="33"/>
  <c r="K176" i="33"/>
  <c r="AA175" i="33"/>
  <c r="K175" i="33"/>
  <c r="AA174" i="33"/>
  <c r="K174" i="33"/>
  <c r="AA173" i="33"/>
  <c r="K173" i="33"/>
  <c r="AA172" i="33"/>
  <c r="K172" i="33"/>
  <c r="AA171" i="33"/>
  <c r="K171" i="33"/>
  <c r="AA170" i="33"/>
  <c r="K170" i="33"/>
  <c r="AA169" i="33"/>
  <c r="K169" i="33"/>
  <c r="AA168" i="33"/>
  <c r="K168" i="33"/>
  <c r="AA167" i="33"/>
  <c r="K167" i="33"/>
  <c r="AA166" i="33"/>
  <c r="K166" i="33"/>
  <c r="AA165" i="33"/>
  <c r="K165" i="33"/>
  <c r="AA164" i="33"/>
  <c r="K164" i="33"/>
  <c r="AA163" i="33"/>
  <c r="K163" i="33"/>
  <c r="AA162" i="33"/>
  <c r="K162" i="33"/>
  <c r="AA161" i="33"/>
  <c r="K161" i="33"/>
  <c r="AA160" i="33"/>
  <c r="K160" i="33"/>
  <c r="AA159" i="33"/>
  <c r="K159" i="33"/>
  <c r="AA158" i="33"/>
  <c r="K158" i="33"/>
  <c r="AA157" i="33"/>
  <c r="K157" i="33"/>
  <c r="AA156" i="33"/>
  <c r="K156" i="33"/>
  <c r="AA155" i="33"/>
  <c r="K155" i="33"/>
  <c r="AA154" i="33"/>
  <c r="K154" i="33"/>
  <c r="AA153" i="33"/>
  <c r="K153" i="33"/>
  <c r="AA152" i="33"/>
  <c r="K152" i="33"/>
  <c r="AA151" i="33"/>
  <c r="K151" i="33"/>
  <c r="AA150" i="33"/>
  <c r="K150" i="33"/>
  <c r="AA149" i="33"/>
  <c r="K149" i="33"/>
  <c r="AA148" i="33"/>
  <c r="K148" i="33"/>
  <c r="AA147" i="33"/>
  <c r="K147" i="33"/>
  <c r="AA146" i="33"/>
  <c r="K146" i="33"/>
  <c r="AA145" i="33"/>
  <c r="K145" i="33"/>
  <c r="AA144" i="33"/>
  <c r="K144" i="33"/>
  <c r="AA143" i="33"/>
  <c r="K143" i="33"/>
  <c r="AA142" i="33"/>
  <c r="K142" i="33"/>
  <c r="AA141" i="33"/>
  <c r="K141" i="33"/>
  <c r="AA140" i="33"/>
  <c r="K140" i="33"/>
  <c r="AA139" i="33"/>
  <c r="K139" i="33"/>
  <c r="AA138" i="33"/>
  <c r="K138" i="33"/>
  <c r="AA137" i="33"/>
  <c r="K137" i="33"/>
  <c r="AA136" i="33"/>
  <c r="K136" i="33"/>
  <c r="AA135" i="33"/>
  <c r="K135" i="33"/>
  <c r="AA134" i="33"/>
  <c r="K134" i="33"/>
  <c r="AA133" i="33"/>
  <c r="K133" i="33"/>
  <c r="AA132" i="33"/>
  <c r="K132" i="33"/>
  <c r="AA131" i="33"/>
  <c r="K131" i="33"/>
  <c r="AA130" i="33"/>
  <c r="K130" i="33"/>
  <c r="AA129" i="33"/>
  <c r="K129" i="33"/>
  <c r="AA128" i="33"/>
  <c r="K128" i="33"/>
  <c r="AA127" i="33"/>
  <c r="K127" i="33"/>
  <c r="AA126" i="33"/>
  <c r="K126" i="33"/>
  <c r="AA125" i="33"/>
  <c r="K125" i="33"/>
  <c r="AA124" i="33"/>
  <c r="K124" i="33"/>
  <c r="AA123" i="33"/>
  <c r="K123" i="33"/>
  <c r="AA122" i="33"/>
  <c r="K122" i="33"/>
  <c r="AA121" i="33"/>
  <c r="K121" i="33"/>
  <c r="AA120" i="33"/>
  <c r="K120" i="33"/>
  <c r="AA119" i="33"/>
  <c r="K119" i="33"/>
  <c r="AA118" i="33"/>
  <c r="K118" i="33"/>
  <c r="AA117" i="33"/>
  <c r="K117" i="33"/>
  <c r="AA116" i="33"/>
  <c r="K116" i="33"/>
  <c r="AA115" i="33"/>
  <c r="K115" i="33"/>
  <c r="AA114" i="33"/>
  <c r="K114" i="33"/>
  <c r="AA113" i="33"/>
  <c r="K113" i="33"/>
  <c r="AA112" i="33"/>
  <c r="K112" i="33"/>
  <c r="AA111" i="33"/>
  <c r="K111" i="33"/>
  <c r="AA110" i="33"/>
  <c r="K110" i="33"/>
  <c r="AA109" i="33"/>
  <c r="K109" i="33"/>
  <c r="AA108" i="33"/>
  <c r="K108" i="33"/>
  <c r="AA107" i="33"/>
  <c r="K107" i="33"/>
  <c r="AA106" i="33"/>
  <c r="K106" i="33"/>
  <c r="AA105" i="33"/>
  <c r="K105" i="33"/>
  <c r="AA104" i="33"/>
  <c r="K104" i="33"/>
  <c r="AA103" i="33"/>
  <c r="K103" i="33"/>
  <c r="AA102" i="33"/>
  <c r="K102" i="33"/>
  <c r="AA101" i="33"/>
  <c r="K101" i="33"/>
  <c r="AA100" i="33"/>
  <c r="K100" i="33"/>
  <c r="AA99" i="33"/>
  <c r="K99" i="33"/>
  <c r="AA98" i="33"/>
  <c r="K98" i="33"/>
  <c r="AA97" i="33"/>
  <c r="K97" i="33"/>
  <c r="AA96" i="33"/>
  <c r="K96" i="33"/>
  <c r="AA95" i="33"/>
  <c r="K95" i="33"/>
  <c r="AA94" i="33"/>
  <c r="K94" i="33"/>
  <c r="AA93" i="33"/>
  <c r="K93" i="33"/>
  <c r="AA92" i="33"/>
  <c r="K92" i="33"/>
  <c r="AA91" i="33"/>
  <c r="K91" i="33"/>
  <c r="AA90" i="33"/>
  <c r="K90" i="33"/>
  <c r="AA89" i="33"/>
  <c r="K89" i="33"/>
  <c r="AA88" i="33"/>
  <c r="K88" i="33"/>
  <c r="AA87" i="33"/>
  <c r="K87" i="33"/>
  <c r="AA86" i="33"/>
  <c r="K86" i="33"/>
  <c r="AA85" i="33"/>
  <c r="K85" i="33"/>
  <c r="AA84" i="33"/>
  <c r="K84" i="33"/>
  <c r="AA83" i="33"/>
  <c r="K83" i="33"/>
  <c r="AA82" i="33"/>
  <c r="K82" i="33"/>
  <c r="AA81" i="33"/>
  <c r="K81" i="33"/>
  <c r="AA80" i="33"/>
  <c r="K80" i="33"/>
  <c r="AA79" i="33"/>
  <c r="K79" i="33"/>
  <c r="AA78" i="33"/>
  <c r="K78" i="33"/>
  <c r="AA77" i="33"/>
  <c r="K77" i="33"/>
  <c r="AA76" i="33"/>
  <c r="K76" i="33"/>
  <c r="AA75" i="33"/>
  <c r="K75" i="33"/>
  <c r="AA74" i="33"/>
  <c r="K74" i="33"/>
  <c r="AA73" i="33"/>
  <c r="K73" i="33"/>
  <c r="AA72" i="33"/>
  <c r="K72" i="33"/>
  <c r="AA71" i="33"/>
  <c r="K71" i="33"/>
  <c r="AA70" i="33"/>
  <c r="K70" i="33"/>
  <c r="AA69" i="33"/>
  <c r="K69" i="33"/>
  <c r="AA68" i="33"/>
  <c r="K68" i="33"/>
  <c r="AA67" i="33"/>
  <c r="K67" i="33"/>
  <c r="AA66" i="33"/>
  <c r="K66" i="33"/>
  <c r="AA65" i="33"/>
  <c r="K65" i="33"/>
  <c r="AA64" i="33"/>
  <c r="K64" i="33"/>
  <c r="AA63" i="33"/>
  <c r="K63" i="33"/>
  <c r="AA62" i="33"/>
  <c r="K62" i="33"/>
  <c r="AA61" i="33"/>
  <c r="K61" i="33"/>
  <c r="AA60" i="33"/>
  <c r="K60" i="33"/>
  <c r="AA59" i="33"/>
  <c r="K59" i="33"/>
  <c r="AA58" i="33"/>
  <c r="K58" i="33"/>
  <c r="AA57" i="33"/>
  <c r="K57" i="33"/>
  <c r="AA56" i="33"/>
  <c r="K56" i="33"/>
  <c r="AA55" i="33"/>
  <c r="K55" i="33"/>
  <c r="AA54" i="33"/>
  <c r="K54" i="33"/>
  <c r="AA53" i="33"/>
  <c r="K53" i="33"/>
  <c r="AA52" i="33"/>
  <c r="K52" i="33"/>
  <c r="AA51" i="33"/>
  <c r="K51" i="33"/>
  <c r="AA50" i="33"/>
  <c r="K50" i="33"/>
  <c r="AA49" i="33"/>
  <c r="K49" i="33"/>
  <c r="AA48" i="33"/>
  <c r="K48" i="33"/>
  <c r="AA47" i="33"/>
  <c r="K47" i="33"/>
  <c r="AA46" i="33"/>
  <c r="K46" i="33"/>
  <c r="AA45" i="33"/>
  <c r="K45" i="33"/>
  <c r="AA44" i="33"/>
  <c r="K44" i="33"/>
  <c r="AA43" i="33"/>
  <c r="K43" i="33"/>
  <c r="AA42" i="33"/>
  <c r="K42" i="33"/>
  <c r="AA41" i="33"/>
  <c r="K41" i="33"/>
  <c r="AA40" i="33"/>
  <c r="K40" i="33"/>
  <c r="AA39" i="33"/>
  <c r="K39" i="33"/>
  <c r="AA38" i="33"/>
  <c r="K38" i="33"/>
  <c r="AA37" i="33"/>
  <c r="K37" i="33"/>
  <c r="AA36" i="33"/>
  <c r="K36" i="33"/>
  <c r="AA35" i="33"/>
  <c r="K35" i="33"/>
  <c r="AA34" i="33"/>
  <c r="K34" i="33"/>
  <c r="AA33" i="33"/>
  <c r="K33" i="33"/>
  <c r="AA32" i="33"/>
  <c r="K32" i="33"/>
  <c r="AA31" i="33"/>
  <c r="K31" i="33"/>
  <c r="AA30" i="33"/>
  <c r="K30" i="33"/>
  <c r="AA29" i="33"/>
  <c r="K29" i="33"/>
  <c r="AA28" i="33"/>
  <c r="K28" i="33"/>
  <c r="AA27" i="33"/>
  <c r="K27" i="33"/>
  <c r="AA26" i="33"/>
  <c r="K26" i="33"/>
  <c r="AA25" i="33"/>
  <c r="K25" i="33"/>
  <c r="AA24" i="33"/>
  <c r="K24" i="33"/>
  <c r="AA23" i="33"/>
  <c r="K23" i="33"/>
  <c r="AA22" i="33"/>
  <c r="K22" i="33"/>
  <c r="AA21" i="33"/>
  <c r="K21" i="33"/>
  <c r="AA20" i="33"/>
  <c r="K20" i="33"/>
  <c r="AA19" i="33"/>
  <c r="K19" i="33"/>
  <c r="AA18" i="33"/>
  <c r="K18" i="33"/>
  <c r="AA17" i="33"/>
  <c r="K17" i="33"/>
  <c r="AA16" i="33"/>
  <c r="K16" i="33"/>
  <c r="AA15" i="33"/>
  <c r="K15" i="33"/>
  <c r="AA14" i="33"/>
  <c r="K14" i="33"/>
  <c r="AA13" i="33"/>
  <c r="K13" i="33"/>
  <c r="AA12" i="33"/>
  <c r="K12" i="33"/>
  <c r="AA11" i="33"/>
  <c r="K11" i="33"/>
  <c r="AA10" i="33"/>
  <c r="K10" i="33"/>
  <c r="AA9" i="33"/>
  <c r="K9" i="33"/>
  <c r="AA8" i="33"/>
  <c r="K8" i="33"/>
  <c r="K207" i="33" s="1"/>
  <c r="AA7" i="33"/>
  <c r="K7" i="33"/>
  <c r="AA6" i="33"/>
  <c r="K6" i="33"/>
  <c r="AA5" i="33"/>
  <c r="K5" i="33"/>
  <c r="AA200" i="33" l="1"/>
  <c r="AA207" i="33" s="1"/>
  <c r="AA185" i="33"/>
  <c r="M207" i="33"/>
  <c r="W193" i="22" l="1"/>
  <c r="S193" i="22" l="1"/>
  <c r="P193" i="22"/>
  <c r="M193" i="22"/>
  <c r="K193" i="22"/>
  <c r="I193" i="22"/>
  <c r="E193" i="22"/>
  <c r="AK5" i="22" l="1"/>
  <c r="N13" i="1"/>
  <c r="L10" i="32" l="1"/>
  <c r="L11" i="32"/>
  <c r="L12" i="32"/>
  <c r="L13" i="32"/>
  <c r="L14" i="32"/>
  <c r="L15" i="32"/>
  <c r="L16" i="32"/>
  <c r="L17" i="32"/>
  <c r="L18" i="32"/>
  <c r="L19" i="32"/>
  <c r="L20" i="32"/>
  <c r="L21" i="32"/>
  <c r="L22" i="32"/>
  <c r="L23" i="32"/>
  <c r="L24" i="32"/>
  <c r="L25" i="32"/>
  <c r="L26" i="32"/>
  <c r="L27" i="32"/>
  <c r="L28" i="32"/>
  <c r="L29" i="32"/>
  <c r="L30" i="32"/>
  <c r="L31" i="32"/>
  <c r="L32" i="32"/>
  <c r="L33" i="32"/>
  <c r="L34" i="32"/>
  <c r="L35" i="32"/>
  <c r="L36" i="32"/>
  <c r="L37" i="32"/>
  <c r="L38" i="32"/>
  <c r="L39" i="32"/>
  <c r="L40" i="32"/>
  <c r="L41" i="32"/>
  <c r="L42" i="32"/>
  <c r="L43" i="32"/>
  <c r="L44" i="32"/>
  <c r="L45" i="32"/>
  <c r="L46" i="32"/>
  <c r="L47" i="32"/>
  <c r="L48" i="32"/>
  <c r="L49" i="32"/>
  <c r="L50" i="32"/>
  <c r="L51" i="32"/>
  <c r="L52" i="32"/>
  <c r="L53" i="32"/>
  <c r="L54" i="32"/>
  <c r="L55" i="32"/>
  <c r="L56" i="32"/>
  <c r="L57" i="32"/>
  <c r="L58" i="32"/>
  <c r="L59" i="32"/>
  <c r="L60" i="32"/>
  <c r="L61" i="32"/>
  <c r="L62" i="32"/>
  <c r="L63" i="32"/>
  <c r="L64" i="32"/>
  <c r="L65" i="32"/>
  <c r="L66" i="32"/>
  <c r="L67" i="32"/>
  <c r="L68" i="32"/>
  <c r="L69" i="32"/>
  <c r="L70" i="32"/>
  <c r="L71" i="32"/>
  <c r="L72" i="32"/>
  <c r="L73" i="32"/>
  <c r="L74" i="32"/>
  <c r="L75" i="32"/>
  <c r="L76" i="32"/>
  <c r="L9" i="32"/>
  <c r="C10" i="32"/>
  <c r="I10" i="32" s="1"/>
  <c r="C11" i="32"/>
  <c r="I11" i="32" s="1"/>
  <c r="C12" i="32"/>
  <c r="I12" i="32" s="1"/>
  <c r="C13" i="32"/>
  <c r="C14" i="32"/>
  <c r="C15" i="32"/>
  <c r="C16" i="32"/>
  <c r="J16" i="32" s="1"/>
  <c r="C17" i="32"/>
  <c r="J17" i="32" s="1"/>
  <c r="C18" i="32"/>
  <c r="I18" i="32" s="1"/>
  <c r="C19" i="32"/>
  <c r="I19" i="32" s="1"/>
  <c r="C20" i="32"/>
  <c r="I20" i="32" s="1"/>
  <c r="C21" i="32"/>
  <c r="J21" i="32" s="1"/>
  <c r="C22" i="32"/>
  <c r="J22" i="32" s="1"/>
  <c r="C23" i="32"/>
  <c r="J23" i="32" s="1"/>
  <c r="C24" i="32"/>
  <c r="J24" i="32" s="1"/>
  <c r="C25" i="32"/>
  <c r="J25" i="32" s="1"/>
  <c r="C26" i="32"/>
  <c r="I26" i="32" s="1"/>
  <c r="C27" i="32"/>
  <c r="J27" i="32" s="1"/>
  <c r="C28" i="32"/>
  <c r="I28" i="32" s="1"/>
  <c r="C29" i="32"/>
  <c r="J29" i="32" s="1"/>
  <c r="C30" i="32"/>
  <c r="J30" i="32" s="1"/>
  <c r="C31" i="32"/>
  <c r="J31" i="32" s="1"/>
  <c r="C32" i="32"/>
  <c r="J32" i="32" s="1"/>
  <c r="C33" i="32"/>
  <c r="J33" i="32" s="1"/>
  <c r="C34" i="32"/>
  <c r="I34" i="32" s="1"/>
  <c r="C35" i="32"/>
  <c r="J35" i="32" s="1"/>
  <c r="C36" i="32"/>
  <c r="I36" i="32" s="1"/>
  <c r="C37" i="32"/>
  <c r="J37" i="32" s="1"/>
  <c r="C38" i="32"/>
  <c r="J38" i="32" s="1"/>
  <c r="C39" i="32"/>
  <c r="J39" i="32" s="1"/>
  <c r="C40" i="32"/>
  <c r="J40" i="32" s="1"/>
  <c r="C41" i="32"/>
  <c r="J41" i="32" s="1"/>
  <c r="C42" i="32"/>
  <c r="I42" i="32" s="1"/>
  <c r="C43" i="32"/>
  <c r="J43" i="32" s="1"/>
  <c r="C44" i="32"/>
  <c r="I44" i="32" s="1"/>
  <c r="C45" i="32"/>
  <c r="J45" i="32" s="1"/>
  <c r="C46" i="32"/>
  <c r="J46" i="32" s="1"/>
  <c r="C47" i="32"/>
  <c r="J47" i="32" s="1"/>
  <c r="C48" i="32"/>
  <c r="J48" i="32" s="1"/>
  <c r="C49" i="32"/>
  <c r="J49" i="32" s="1"/>
  <c r="C50" i="32"/>
  <c r="I50" i="32" s="1"/>
  <c r="C51" i="32"/>
  <c r="I51" i="32" s="1"/>
  <c r="C52" i="32"/>
  <c r="I52" i="32" s="1"/>
  <c r="C53" i="32"/>
  <c r="J53" i="32" s="1"/>
  <c r="C54" i="32"/>
  <c r="J54" i="32" s="1"/>
  <c r="C55" i="32"/>
  <c r="J55" i="32" s="1"/>
  <c r="C56" i="32"/>
  <c r="J56" i="32" s="1"/>
  <c r="C57" i="32"/>
  <c r="J57" i="32" s="1"/>
  <c r="C58" i="32"/>
  <c r="I58" i="32" s="1"/>
  <c r="C59" i="32"/>
  <c r="J59" i="32" s="1"/>
  <c r="C60" i="32"/>
  <c r="I60" i="32" s="1"/>
  <c r="C61" i="32"/>
  <c r="J61" i="32" s="1"/>
  <c r="C62" i="32"/>
  <c r="J62" i="32" s="1"/>
  <c r="C63" i="32"/>
  <c r="J63" i="32" s="1"/>
  <c r="C64" i="32"/>
  <c r="I64" i="32" s="1"/>
  <c r="C65" i="32"/>
  <c r="J65" i="32" s="1"/>
  <c r="C66" i="32"/>
  <c r="I66" i="32" s="1"/>
  <c r="C67" i="32"/>
  <c r="J67" i="32" s="1"/>
  <c r="C68" i="32"/>
  <c r="I68" i="32" s="1"/>
  <c r="C69" i="32"/>
  <c r="J69" i="32" s="1"/>
  <c r="C70" i="32"/>
  <c r="J70" i="32" s="1"/>
  <c r="C71" i="32"/>
  <c r="J71" i="32" s="1"/>
  <c r="C72" i="32"/>
  <c r="J72" i="32" s="1"/>
  <c r="C73" i="32"/>
  <c r="J73" i="32" s="1"/>
  <c r="C74" i="32"/>
  <c r="I74" i="32" s="1"/>
  <c r="C75" i="32"/>
  <c r="I75" i="32" s="1"/>
  <c r="C76" i="32"/>
  <c r="I76" i="32" s="1"/>
  <c r="C9" i="32"/>
  <c r="I9" i="32" s="1"/>
  <c r="I67" i="32" l="1"/>
  <c r="I45" i="32"/>
  <c r="I25" i="32"/>
  <c r="J52" i="32"/>
  <c r="J20" i="32"/>
  <c r="I65" i="32"/>
  <c r="I43" i="32"/>
  <c r="I21" i="32"/>
  <c r="J51" i="32"/>
  <c r="J19" i="32"/>
  <c r="I61" i="32"/>
  <c r="I41" i="32"/>
  <c r="J44" i="32"/>
  <c r="I59" i="32"/>
  <c r="I37" i="32"/>
  <c r="J75" i="32"/>
  <c r="I57" i="32"/>
  <c r="I35" i="32"/>
  <c r="J68" i="32"/>
  <c r="J36" i="32"/>
  <c r="I53" i="32"/>
  <c r="I33" i="32"/>
  <c r="I73" i="32"/>
  <c r="I29" i="32"/>
  <c r="J60" i="32"/>
  <c r="J28" i="32"/>
  <c r="I69" i="32"/>
  <c r="I49" i="32"/>
  <c r="I27" i="32"/>
  <c r="I13" i="32"/>
  <c r="J76" i="32"/>
  <c r="I17" i="32"/>
  <c r="I72" i="32"/>
  <c r="I56" i="32"/>
  <c r="I48" i="32"/>
  <c r="I40" i="32"/>
  <c r="I32" i="32"/>
  <c r="I24" i="32"/>
  <c r="I16" i="32"/>
  <c r="I71" i="32"/>
  <c r="I63" i="32"/>
  <c r="I55" i="32"/>
  <c r="I47" i="32"/>
  <c r="I39" i="32"/>
  <c r="I31" i="32"/>
  <c r="I23" i="32"/>
  <c r="I15" i="32"/>
  <c r="J74" i="32"/>
  <c r="J66" i="32"/>
  <c r="J58" i="32"/>
  <c r="J50" i="32"/>
  <c r="J42" i="32"/>
  <c r="J34" i="32"/>
  <c r="J26" i="32"/>
  <c r="J18" i="32"/>
  <c r="I70" i="32"/>
  <c r="I62" i="32"/>
  <c r="I54" i="32"/>
  <c r="I46" i="32"/>
  <c r="I38" i="32"/>
  <c r="I30" i="32"/>
  <c r="I22" i="32"/>
  <c r="I14" i="32"/>
  <c r="J64" i="32"/>
  <c r="J77" i="32" l="1"/>
  <c r="B4" i="32"/>
  <c r="C18" i="14"/>
  <c r="C19" i="14"/>
  <c r="C20" i="14"/>
  <c r="C21" i="14"/>
  <c r="C22" i="14"/>
  <c r="C23" i="14"/>
  <c r="C24" i="14"/>
  <c r="C25" i="14"/>
  <c r="C26" i="14"/>
  <c r="C27"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C62" i="14"/>
  <c r="C63" i="14"/>
  <c r="C64" i="14"/>
  <c r="C65" i="14"/>
  <c r="C66" i="14"/>
  <c r="C67" i="14"/>
  <c r="C68" i="14"/>
  <c r="C69" i="14"/>
  <c r="C70" i="14"/>
  <c r="C71" i="14"/>
  <c r="C72" i="14"/>
  <c r="C73" i="14"/>
  <c r="C74" i="14"/>
  <c r="C75" i="14"/>
  <c r="C76" i="14"/>
  <c r="C17" i="14"/>
  <c r="K81" i="32" l="1"/>
  <c r="K80" i="32"/>
  <c r="K79" i="32"/>
  <c r="K86" i="32"/>
  <c r="K85" i="32"/>
  <c r="K83" i="32"/>
  <c r="K78" i="32"/>
  <c r="K77" i="32"/>
  <c r="K84" i="32"/>
  <c r="K82" i="32"/>
  <c r="I35" i="20"/>
  <c r="I34" i="20"/>
  <c r="I32" i="20"/>
  <c r="C32" i="20"/>
  <c r="C33" i="20"/>
  <c r="C34" i="20"/>
  <c r="C35" i="20"/>
  <c r="C27" i="20"/>
  <c r="C28" i="20"/>
  <c r="C29" i="20"/>
  <c r="C30" i="20"/>
  <c r="I30" i="20"/>
  <c r="I29" i="20"/>
  <c r="I27" i="20"/>
  <c r="C31" i="20"/>
  <c r="C36" i="20"/>
  <c r="C37" i="20"/>
  <c r="C38" i="20"/>
  <c r="C39" i="20"/>
  <c r="C40" i="20"/>
  <c r="C41" i="20"/>
  <c r="C42" i="20"/>
  <c r="C43" i="20"/>
  <c r="C44" i="20"/>
  <c r="C45" i="20"/>
  <c r="C46" i="20"/>
  <c r="C47" i="20"/>
  <c r="C48" i="20"/>
  <c r="C49" i="20"/>
  <c r="C50" i="20"/>
  <c r="C51" i="20"/>
  <c r="C52" i="20"/>
  <c r="C53" i="20"/>
  <c r="C54" i="20"/>
  <c r="C55" i="20"/>
  <c r="C56" i="20"/>
  <c r="C57" i="20"/>
  <c r="C58" i="20"/>
  <c r="C59" i="20"/>
  <c r="C60" i="20"/>
  <c r="C61" i="20"/>
  <c r="C62" i="20"/>
  <c r="C63" i="20"/>
  <c r="C64" i="20"/>
  <c r="C65" i="20"/>
  <c r="C26" i="20"/>
  <c r="C9" i="20"/>
  <c r="C10" i="20"/>
  <c r="C11" i="20"/>
  <c r="C12" i="20"/>
  <c r="C13" i="20"/>
  <c r="C14" i="20"/>
  <c r="C15" i="20"/>
  <c r="C16" i="20"/>
  <c r="C17" i="20"/>
  <c r="C18" i="20"/>
  <c r="C19" i="20"/>
  <c r="C20" i="20"/>
  <c r="C21" i="20"/>
  <c r="C22" i="20"/>
  <c r="C8" i="20"/>
  <c r="B4" i="20" l="1"/>
  <c r="K82" i="20" l="1"/>
  <c r="K81" i="20"/>
  <c r="K79" i="20"/>
  <c r="K80" i="20"/>
  <c r="K78" i="20"/>
  <c r="K76" i="20"/>
  <c r="K74" i="20"/>
  <c r="K72" i="20"/>
  <c r="K77" i="20"/>
  <c r="K75" i="20"/>
  <c r="K73" i="20"/>
  <c r="K71" i="20"/>
  <c r="K70" i="20"/>
  <c r="K69" i="20"/>
  <c r="K32" i="20"/>
  <c r="K35" i="20"/>
  <c r="K33" i="20"/>
  <c r="K34" i="20"/>
  <c r="K13" i="20"/>
  <c r="K9" i="20"/>
  <c r="K30" i="20"/>
  <c r="K29" i="20"/>
  <c r="K28" i="20"/>
  <c r="K27" i="20"/>
  <c r="K14" i="20"/>
  <c r="K60" i="20"/>
  <c r="K53" i="20"/>
  <c r="K45" i="20"/>
  <c r="K37" i="20"/>
  <c r="K66" i="20"/>
  <c r="K61" i="20"/>
  <c r="K52" i="20"/>
  <c r="K44" i="20"/>
  <c r="K36" i="20"/>
  <c r="K59" i="20"/>
  <c r="K43" i="20"/>
  <c r="K26" i="20"/>
  <c r="K58" i="20"/>
  <c r="K50" i="20"/>
  <c r="K42" i="20"/>
  <c r="K24" i="20"/>
  <c r="K65" i="20"/>
  <c r="K57" i="20"/>
  <c r="K49" i="20"/>
  <c r="K41" i="20"/>
  <c r="K67" i="20"/>
  <c r="K51" i="20"/>
  <c r="K68" i="20"/>
  <c r="K64" i="20"/>
  <c r="K56" i="20"/>
  <c r="K48" i="20"/>
  <c r="K40" i="20"/>
  <c r="K22" i="20"/>
  <c r="K21" i="20"/>
  <c r="K63" i="20"/>
  <c r="K55" i="20"/>
  <c r="K47" i="20"/>
  <c r="K39" i="20"/>
  <c r="K16" i="20"/>
  <c r="K62" i="20"/>
  <c r="K54" i="20"/>
  <c r="K46" i="20"/>
  <c r="K38" i="20"/>
  <c r="K31" i="20"/>
  <c r="K23" i="20"/>
  <c r="K15" i="20"/>
  <c r="K20" i="20"/>
  <c r="K12" i="20"/>
  <c r="K19" i="20"/>
  <c r="K11" i="20"/>
  <c r="K8" i="20"/>
  <c r="K18" i="20"/>
  <c r="K10" i="20"/>
  <c r="K25" i="20"/>
  <c r="K17" i="20"/>
  <c r="B4" i="14" l="1"/>
  <c r="B4" i="25"/>
  <c r="N17" i="14" a="1"/>
  <c r="N17" i="14" s="1"/>
  <c r="D7" i="10"/>
  <c r="C66" i="29" l="1"/>
  <c r="M15" i="29" s="1"/>
  <c r="C67" i="29"/>
  <c r="N15" i="29" s="1"/>
  <c r="C65" i="29"/>
  <c r="C9" i="14"/>
  <c r="C10" i="14"/>
  <c r="C11" i="14"/>
  <c r="C12" i="14"/>
  <c r="C13" i="14"/>
  <c r="C14" i="14"/>
  <c r="C15" i="14"/>
  <c r="C16" i="14"/>
  <c r="N116" i="1"/>
  <c r="N108" i="1"/>
  <c r="N107" i="1"/>
  <c r="N81" i="1"/>
  <c r="N82" i="1"/>
  <c r="N80" i="1"/>
  <c r="M114" i="1"/>
  <c r="M113" i="1"/>
  <c r="M88" i="1"/>
  <c r="M89" i="1"/>
  <c r="M90" i="1"/>
  <c r="M91" i="1"/>
  <c r="M92" i="1"/>
  <c r="M93" i="1"/>
  <c r="M94" i="1"/>
  <c r="M87" i="1"/>
  <c r="L114" i="1"/>
  <c r="L113" i="1"/>
  <c r="L88" i="1"/>
  <c r="L89" i="1"/>
  <c r="L90" i="1"/>
  <c r="L91" i="1"/>
  <c r="L92" i="1"/>
  <c r="L93" i="1"/>
  <c r="L94" i="1"/>
  <c r="L87" i="1"/>
  <c r="K108" i="1"/>
  <c r="K107" i="1"/>
  <c r="K81" i="1"/>
  <c r="K82" i="1"/>
  <c r="K80" i="1"/>
  <c r="I133" i="1"/>
  <c r="G107" i="1"/>
  <c r="F69" i="1"/>
  <c r="F28" i="1"/>
  <c r="G90" i="1"/>
  <c r="BR7" i="11" s="1"/>
  <c r="G91" i="1"/>
  <c r="BS7" i="11" s="1"/>
  <c r="G92" i="1"/>
  <c r="BT7" i="11" s="1"/>
  <c r="G93" i="1"/>
  <c r="BU7" i="11" s="1"/>
  <c r="G94" i="1"/>
  <c r="BV7" i="11" s="1"/>
  <c r="M51" i="1"/>
  <c r="M52" i="1"/>
  <c r="M53" i="1"/>
  <c r="M54" i="1"/>
  <c r="M55" i="1"/>
  <c r="M56" i="1"/>
  <c r="L51" i="1"/>
  <c r="L52" i="1"/>
  <c r="L53" i="1"/>
  <c r="L54" i="1"/>
  <c r="L55" i="1"/>
  <c r="L56" i="1"/>
  <c r="G51" i="1"/>
  <c r="AP7" i="11" s="1"/>
  <c r="G52" i="1"/>
  <c r="AQ7" i="11" s="1"/>
  <c r="G53" i="1"/>
  <c r="AR7" i="11" s="1"/>
  <c r="G54" i="1"/>
  <c r="AS7" i="11" s="1"/>
  <c r="G55" i="1"/>
  <c r="AT7" i="11" s="1"/>
  <c r="G56" i="1"/>
  <c r="AU7" i="11" s="1"/>
  <c r="BQ210" i="13"/>
  <c r="BS210" i="13" s="1"/>
  <c r="BT210" i="13" s="1"/>
  <c r="BL210" i="13"/>
  <c r="BE210" i="13"/>
  <c r="Y210" i="13"/>
  <c r="CI207" i="13"/>
  <c r="CI206" i="13"/>
  <c r="CI205" i="13"/>
  <c r="CI204" i="13"/>
  <c r="CI203" i="13"/>
  <c r="CI202" i="13"/>
  <c r="CI201" i="13"/>
  <c r="CI200" i="13"/>
  <c r="CI199" i="13"/>
  <c r="CI198" i="13"/>
  <c r="CI197" i="13"/>
  <c r="CI196" i="13"/>
  <c r="CI195" i="13"/>
  <c r="CI194" i="13"/>
  <c r="CI192" i="13"/>
  <c r="CI191" i="13"/>
  <c r="CI190" i="13"/>
  <c r="CI189" i="13"/>
  <c r="CI188" i="13"/>
  <c r="CI187" i="13"/>
  <c r="CI186" i="13"/>
  <c r="CI185" i="13"/>
  <c r="CI184" i="13"/>
  <c r="CI183" i="13"/>
  <c r="CI182" i="13"/>
  <c r="CI181" i="13"/>
  <c r="CI180" i="13"/>
  <c r="CI179" i="13"/>
  <c r="CI178" i="13"/>
  <c r="CI177" i="13"/>
  <c r="CI176" i="13"/>
  <c r="CI175" i="13"/>
  <c r="CI174" i="13"/>
  <c r="CI173" i="13"/>
  <c r="CI172" i="13"/>
  <c r="CI171" i="13"/>
  <c r="CI170" i="13"/>
  <c r="CI169" i="13"/>
  <c r="CI168" i="13"/>
  <c r="CI167" i="13"/>
  <c r="CI166" i="13"/>
  <c r="CI165" i="13"/>
  <c r="CI164" i="13"/>
  <c r="CI163" i="13"/>
  <c r="CI162" i="13"/>
  <c r="CI161" i="13"/>
  <c r="CI160" i="13"/>
  <c r="CI159" i="13"/>
  <c r="CI158" i="13"/>
  <c r="CI157" i="13"/>
  <c r="CI156" i="13"/>
  <c r="CI155" i="13"/>
  <c r="CI154" i="13"/>
  <c r="CI153" i="13"/>
  <c r="CI152" i="13"/>
  <c r="CI151" i="13"/>
  <c r="CI149" i="13"/>
  <c r="CI148" i="13"/>
  <c r="CI147" i="13"/>
  <c r="CI146" i="13"/>
  <c r="CI145" i="13"/>
  <c r="CI144" i="13"/>
  <c r="CI143" i="13"/>
  <c r="CI142" i="13"/>
  <c r="CI141" i="13"/>
  <c r="CI140" i="13"/>
  <c r="CI139" i="13"/>
  <c r="CI138" i="13"/>
  <c r="CI137" i="13"/>
  <c r="CI136" i="13"/>
  <c r="CI135" i="13"/>
  <c r="CI134" i="13"/>
  <c r="CI133" i="13"/>
  <c r="CI132" i="13"/>
  <c r="CI131" i="13"/>
  <c r="CI130" i="13"/>
  <c r="CI129" i="13"/>
  <c r="CI128" i="13"/>
  <c r="CI127" i="13"/>
  <c r="CI126" i="13"/>
  <c r="CI125" i="13"/>
  <c r="CI124" i="13"/>
  <c r="CI123" i="13"/>
  <c r="CI122" i="13"/>
  <c r="CI121" i="13"/>
  <c r="CI120" i="13"/>
  <c r="CI119" i="13"/>
  <c r="CI118" i="13"/>
  <c r="CI117" i="13"/>
  <c r="CI116" i="13"/>
  <c r="CI115" i="13"/>
  <c r="CI114" i="13"/>
  <c r="CI113" i="13"/>
  <c r="CI112" i="13"/>
  <c r="CI111" i="13"/>
  <c r="CI110" i="13"/>
  <c r="CI109" i="13"/>
  <c r="CI108" i="13"/>
  <c r="CI107" i="13"/>
  <c r="CI106" i="13"/>
  <c r="CI105" i="13"/>
  <c r="CI104" i="13"/>
  <c r="CI103" i="13"/>
  <c r="CI102" i="13"/>
  <c r="CI101" i="13"/>
  <c r="CI100" i="13"/>
  <c r="CI99" i="13"/>
  <c r="CI98" i="13"/>
  <c r="CI97" i="13"/>
  <c r="CI96" i="13"/>
  <c r="CI95" i="13"/>
  <c r="CI94" i="13"/>
  <c r="CI93" i="13"/>
  <c r="CI92" i="13"/>
  <c r="CI91" i="13"/>
  <c r="BG91" i="13"/>
  <c r="BE91" i="13"/>
  <c r="CI90" i="13"/>
  <c r="CI89" i="13"/>
  <c r="CI88" i="13"/>
  <c r="CI87" i="13"/>
  <c r="CI86" i="13"/>
  <c r="CI85" i="13"/>
  <c r="AR85" i="13"/>
  <c r="CI84" i="13"/>
  <c r="CI83" i="13"/>
  <c r="CI82" i="13"/>
  <c r="CI81" i="13"/>
  <c r="CI80" i="13"/>
  <c r="CI79" i="13"/>
  <c r="CI78" i="13"/>
  <c r="CI77" i="13"/>
  <c r="CI76" i="13"/>
  <c r="CI75" i="13"/>
  <c r="CI74" i="13"/>
  <c r="CI73" i="13"/>
  <c r="CI72" i="13"/>
  <c r="CI71" i="13"/>
  <c r="CI70" i="13"/>
  <c r="CI69" i="13"/>
  <c r="CI68" i="13"/>
  <c r="CI67" i="13"/>
  <c r="CI66" i="13"/>
  <c r="DK65" i="13"/>
  <c r="CI65" i="13"/>
  <c r="CI64" i="13"/>
  <c r="CI63" i="13"/>
  <c r="CI62" i="13"/>
  <c r="CI61" i="13"/>
  <c r="CI60" i="13"/>
  <c r="CI59" i="13"/>
  <c r="CI58" i="13"/>
  <c r="CI57" i="13"/>
  <c r="CI56" i="13"/>
  <c r="CI55" i="13"/>
  <c r="CI54" i="13"/>
  <c r="CI53" i="13"/>
  <c r="CI52" i="13"/>
  <c r="CI51" i="13"/>
  <c r="CI50" i="13"/>
  <c r="CI49" i="13"/>
  <c r="CI48" i="13"/>
  <c r="CI47" i="13"/>
  <c r="CI46" i="13"/>
  <c r="CI45" i="13"/>
  <c r="CI44" i="13"/>
  <c r="CI43" i="13"/>
  <c r="CI42" i="13"/>
  <c r="CI41" i="13"/>
  <c r="CI40" i="13"/>
  <c r="CI39" i="13"/>
  <c r="CI38" i="13"/>
  <c r="CI37" i="13"/>
  <c r="CI36" i="13"/>
  <c r="CI35" i="13"/>
  <c r="CI34" i="13"/>
  <c r="CI33" i="13"/>
  <c r="CI32" i="13"/>
  <c r="CI31" i="13"/>
  <c r="CI30" i="13"/>
  <c r="CI28" i="13"/>
  <c r="CI27" i="13"/>
  <c r="CI26" i="13"/>
  <c r="CI25" i="13"/>
  <c r="CI24" i="13"/>
  <c r="CI23" i="13"/>
  <c r="CI22" i="13"/>
  <c r="CI21" i="13"/>
  <c r="CI20" i="13"/>
  <c r="CI19" i="13"/>
  <c r="CI18" i="13"/>
  <c r="CI17" i="13"/>
  <c r="CI16" i="13"/>
  <c r="CI15" i="13"/>
  <c r="CI14" i="13"/>
  <c r="CI13" i="13"/>
  <c r="CI12" i="13"/>
  <c r="CI11" i="13"/>
  <c r="CI10" i="13"/>
  <c r="CI9" i="13"/>
  <c r="CI8" i="13"/>
  <c r="O51" i="1" l="1"/>
  <c r="O93" i="1"/>
  <c r="O54" i="1"/>
  <c r="O92" i="1"/>
  <c r="O91" i="1"/>
  <c r="O90" i="1"/>
  <c r="O52" i="1"/>
  <c r="O56" i="1"/>
  <c r="O55" i="1"/>
  <c r="F71" i="1"/>
  <c r="F73" i="1" s="1"/>
  <c r="O53" i="1"/>
  <c r="CI208" i="13"/>
  <c r="BG210" i="13"/>
  <c r="BH210" i="13" s="1"/>
  <c r="K9" i="14" l="1"/>
  <c r="N9" i="14" a="1"/>
  <c r="N9" i="14" s="1"/>
  <c r="K10" i="14"/>
  <c r="N10" i="14" a="1"/>
  <c r="N10" i="14" s="1"/>
  <c r="K11" i="14"/>
  <c r="N11" i="14" a="1"/>
  <c r="N11" i="14" s="1"/>
  <c r="K12" i="14"/>
  <c r="N12" i="14" a="1"/>
  <c r="N12" i="14" s="1"/>
  <c r="K13" i="14"/>
  <c r="N13" i="14" a="1"/>
  <c r="N13" i="14" s="1"/>
  <c r="K14" i="14"/>
  <c r="N14" i="14" a="1"/>
  <c r="N14" i="14" s="1"/>
  <c r="K15" i="14"/>
  <c r="N15" i="14" a="1"/>
  <c r="N15" i="14" s="1"/>
  <c r="K16" i="14"/>
  <c r="N16" i="14" a="1"/>
  <c r="N16" i="14" s="1"/>
  <c r="D3" i="3"/>
  <c r="B4" i="3"/>
  <c r="K17" i="14" l="1"/>
  <c r="K18" i="14"/>
  <c r="K19" i="14"/>
  <c r="K20" i="14"/>
  <c r="K21" i="14"/>
  <c r="K22" i="14"/>
  <c r="K23" i="14"/>
  <c r="K24" i="14"/>
  <c r="K25" i="14"/>
  <c r="K26"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55" i="14"/>
  <c r="K56" i="14"/>
  <c r="K57" i="14"/>
  <c r="K58" i="14"/>
  <c r="K59" i="14"/>
  <c r="K60" i="14"/>
  <c r="K61" i="14"/>
  <c r="K62" i="14"/>
  <c r="K63" i="14"/>
  <c r="K64" i="14"/>
  <c r="K65" i="14"/>
  <c r="K66" i="14"/>
  <c r="K67" i="14"/>
  <c r="K68" i="14"/>
  <c r="K69" i="14"/>
  <c r="K70" i="14"/>
  <c r="K71" i="14"/>
  <c r="K72" i="14"/>
  <c r="K73" i="14"/>
  <c r="K74" i="14"/>
  <c r="K75" i="14"/>
  <c r="K76" i="14"/>
  <c r="P8" i="30"/>
  <c r="P6" i="30"/>
  <c r="N6" i="30"/>
  <c r="I6" i="30"/>
  <c r="R6" i="30"/>
  <c r="R10" i="30" s="1"/>
  <c r="P10" i="30" l="1"/>
  <c r="N8" i="30"/>
  <c r="U6" i="30"/>
  <c r="V6" i="30" s="1"/>
  <c r="N10" i="30"/>
  <c r="I20" i="30" l="1"/>
  <c r="U8" i="30"/>
  <c r="U10" i="30" l="1"/>
  <c r="X8" i="30"/>
  <c r="M32" i="1" l="1"/>
  <c r="M33" i="1"/>
  <c r="M34" i="1"/>
  <c r="M35" i="1"/>
  <c r="M36" i="1"/>
  <c r="M37" i="1"/>
  <c r="M38" i="1"/>
  <c r="M39" i="1"/>
  <c r="M40" i="1"/>
  <c r="M41" i="1"/>
  <c r="M42" i="1"/>
  <c r="M43" i="1"/>
  <c r="M44" i="1"/>
  <c r="M45" i="1"/>
  <c r="M46" i="1"/>
  <c r="M47" i="1"/>
  <c r="M48" i="1"/>
  <c r="M49" i="1"/>
  <c r="M50" i="1"/>
  <c r="M57" i="1"/>
  <c r="M58" i="1"/>
  <c r="M59" i="1"/>
  <c r="M60" i="1"/>
  <c r="M61" i="1"/>
  <c r="M62" i="1"/>
  <c r="M63" i="1"/>
  <c r="M64" i="1"/>
  <c r="M65" i="1"/>
  <c r="M66" i="1"/>
  <c r="M67" i="1"/>
  <c r="M31" i="1"/>
  <c r="L32" i="1"/>
  <c r="L33" i="1"/>
  <c r="L34" i="1"/>
  <c r="L35" i="1"/>
  <c r="L36" i="1"/>
  <c r="L37" i="1"/>
  <c r="L38" i="1"/>
  <c r="L39" i="1"/>
  <c r="L40" i="1"/>
  <c r="L41" i="1"/>
  <c r="L42" i="1"/>
  <c r="L43" i="1"/>
  <c r="L44" i="1"/>
  <c r="L47" i="1"/>
  <c r="L49" i="1"/>
  <c r="L50" i="1"/>
  <c r="L57" i="1"/>
  <c r="L58" i="1"/>
  <c r="L59" i="1"/>
  <c r="L62" i="1"/>
  <c r="L64" i="1"/>
  <c r="L65" i="1"/>
  <c r="L66" i="1"/>
  <c r="L67" i="1"/>
  <c r="L31" i="1"/>
  <c r="N14" i="1"/>
  <c r="N15" i="1"/>
  <c r="N16" i="1"/>
  <c r="N17" i="1"/>
  <c r="N18" i="1"/>
  <c r="N19" i="1"/>
  <c r="N20" i="1"/>
  <c r="N21" i="1"/>
  <c r="N22" i="1"/>
  <c r="N23" i="1"/>
  <c r="N24" i="1"/>
  <c r="N25" i="1"/>
  <c r="N26" i="1"/>
  <c r="N27" i="1"/>
  <c r="K14" i="1"/>
  <c r="K15" i="1"/>
  <c r="K16" i="1"/>
  <c r="K17" i="1"/>
  <c r="K18" i="1"/>
  <c r="K19" i="1"/>
  <c r="K20" i="1"/>
  <c r="K21" i="1"/>
  <c r="K22" i="1"/>
  <c r="K23" i="1"/>
  <c r="K24" i="1"/>
  <c r="K25" i="1"/>
  <c r="K26" i="1"/>
  <c r="K27" i="1"/>
  <c r="K13" i="1"/>
  <c r="B4" i="29"/>
  <c r="K15" i="29" s="1"/>
  <c r="O13" i="1" l="1"/>
  <c r="O31" i="1"/>
  <c r="N76" i="14" a="1"/>
  <c r="N76" i="14" s="1"/>
  <c r="N75" i="14" a="1"/>
  <c r="N75" i="14" s="1"/>
  <c r="N74" i="14" a="1"/>
  <c r="N74" i="14" s="1"/>
  <c r="N73" i="14" a="1"/>
  <c r="N73" i="14" s="1"/>
  <c r="N72" i="14" a="1"/>
  <c r="N72" i="14" s="1"/>
  <c r="N71" i="14" a="1"/>
  <c r="N71" i="14" s="1"/>
  <c r="N70" i="14" a="1"/>
  <c r="N70" i="14" s="1"/>
  <c r="N69" i="14" a="1"/>
  <c r="N69" i="14" s="1"/>
  <c r="N68" i="14" a="1"/>
  <c r="N68" i="14" s="1"/>
  <c r="N67" i="14" a="1"/>
  <c r="N67" i="14" s="1"/>
  <c r="N66" i="14" a="1"/>
  <c r="N66" i="14" s="1"/>
  <c r="N65" i="14" a="1"/>
  <c r="N65" i="14" s="1"/>
  <c r="N64" i="14" a="1"/>
  <c r="N64" i="14" s="1"/>
  <c r="N63" i="14" a="1"/>
  <c r="N63" i="14" s="1"/>
  <c r="N62" i="14" a="1"/>
  <c r="N62" i="14" s="1"/>
  <c r="N61" i="14" a="1"/>
  <c r="N61" i="14" s="1"/>
  <c r="N60" i="14" a="1"/>
  <c r="N60" i="14" s="1"/>
  <c r="N59" i="14" a="1"/>
  <c r="N59" i="14" s="1"/>
  <c r="N58" i="14" a="1"/>
  <c r="N58" i="14" s="1"/>
  <c r="N57" i="14" a="1"/>
  <c r="N57" i="14" s="1"/>
  <c r="N56" i="14" a="1"/>
  <c r="N56" i="14" s="1"/>
  <c r="N55" i="14" a="1"/>
  <c r="N55" i="14" s="1"/>
  <c r="N54" i="14" a="1"/>
  <c r="N54" i="14" s="1"/>
  <c r="N53" i="14" a="1"/>
  <c r="N53" i="14" s="1"/>
  <c r="N52" i="14" a="1"/>
  <c r="N52" i="14" s="1"/>
  <c r="N51" i="14" a="1"/>
  <c r="N51" i="14" s="1"/>
  <c r="N50" i="14" a="1"/>
  <c r="N50" i="14" s="1"/>
  <c r="N49" i="14" a="1"/>
  <c r="N49" i="14" s="1"/>
  <c r="N48" i="14" a="1"/>
  <c r="N48" i="14" s="1"/>
  <c r="N47" i="14" a="1"/>
  <c r="N47" i="14" s="1"/>
  <c r="N46" i="14" a="1"/>
  <c r="N46" i="14" s="1"/>
  <c r="N45" i="14" a="1"/>
  <c r="N45" i="14" s="1"/>
  <c r="N44" i="14" a="1"/>
  <c r="N44" i="14" s="1"/>
  <c r="N43" i="14" a="1"/>
  <c r="N43" i="14" s="1"/>
  <c r="N42" i="14" a="1"/>
  <c r="N42" i="14" s="1"/>
  <c r="N41" i="14" a="1"/>
  <c r="N41" i="14" s="1"/>
  <c r="N40" i="14" a="1"/>
  <c r="N40" i="14" s="1"/>
  <c r="N39" i="14" a="1"/>
  <c r="N39" i="14" s="1"/>
  <c r="N38" i="14" a="1"/>
  <c r="N38" i="14" s="1"/>
  <c r="N37" i="14" a="1"/>
  <c r="N37" i="14" s="1"/>
  <c r="N36" i="14" a="1"/>
  <c r="N36" i="14" s="1"/>
  <c r="N35" i="14" a="1"/>
  <c r="N35" i="14" s="1"/>
  <c r="N34" i="14" a="1"/>
  <c r="N34" i="14" s="1"/>
  <c r="N33" i="14" a="1"/>
  <c r="N33" i="14" s="1"/>
  <c r="N32" i="14" a="1"/>
  <c r="N32" i="14" s="1"/>
  <c r="N31" i="14" a="1"/>
  <c r="N31" i="14" s="1"/>
  <c r="N30" i="14" a="1"/>
  <c r="N30" i="14" s="1"/>
  <c r="N29" i="14" a="1"/>
  <c r="N29" i="14" s="1"/>
  <c r="N28" i="14" a="1"/>
  <c r="N28" i="14" s="1"/>
  <c r="N27" i="14" a="1"/>
  <c r="N27" i="14" s="1"/>
  <c r="N26" i="14" a="1"/>
  <c r="N26" i="14" s="1"/>
  <c r="N25" i="14" a="1"/>
  <c r="N25" i="14" s="1"/>
  <c r="N24" i="14" a="1"/>
  <c r="N24" i="14" s="1"/>
  <c r="N23" i="14" a="1"/>
  <c r="N23" i="14" s="1"/>
  <c r="N22" i="14" a="1"/>
  <c r="N22" i="14" s="1"/>
  <c r="N21" i="14" a="1"/>
  <c r="N21" i="14" s="1"/>
  <c r="N20" i="14" a="1"/>
  <c r="N20" i="14" s="1"/>
  <c r="N19" i="14" a="1"/>
  <c r="N19" i="14" s="1"/>
  <c r="N18" i="14" a="1"/>
  <c r="N18" i="14" s="1"/>
  <c r="C3" i="1"/>
  <c r="B3" i="4"/>
  <c r="B11" i="4" s="1"/>
  <c r="J11" i="4"/>
  <c r="B14" i="3"/>
  <c r="B27" i="3" s="1"/>
  <c r="P178" i="1" l="1"/>
  <c r="P162" i="1"/>
  <c r="P139" i="1"/>
  <c r="AD139" i="1" s="1"/>
  <c r="H139" i="1"/>
  <c r="AB139" i="1" s="1"/>
  <c r="I92" i="1"/>
  <c r="J92" i="1" s="1"/>
  <c r="P92" i="1" s="1"/>
  <c r="I80" i="1"/>
  <c r="I60" i="1"/>
  <c r="I52" i="1"/>
  <c r="I44" i="1"/>
  <c r="I36" i="1"/>
  <c r="I61" i="1"/>
  <c r="I37" i="1"/>
  <c r="P177" i="1"/>
  <c r="P161" i="1"/>
  <c r="H151" i="1"/>
  <c r="P130" i="1"/>
  <c r="I91" i="1"/>
  <c r="J91" i="1" s="1"/>
  <c r="P91" i="1" s="1"/>
  <c r="I67" i="1"/>
  <c r="I59" i="1"/>
  <c r="I51" i="1"/>
  <c r="I43" i="1"/>
  <c r="I35" i="1"/>
  <c r="I53" i="1"/>
  <c r="I45" i="1"/>
  <c r="P175" i="1"/>
  <c r="P160" i="1"/>
  <c r="H150" i="1"/>
  <c r="I114" i="1"/>
  <c r="I90" i="1"/>
  <c r="J90" i="1" s="1"/>
  <c r="P90" i="1" s="1"/>
  <c r="I66" i="1"/>
  <c r="I58" i="1"/>
  <c r="I50" i="1"/>
  <c r="I42" i="1"/>
  <c r="I34" i="1"/>
  <c r="H142" i="1"/>
  <c r="AB142" i="1" s="1"/>
  <c r="P174" i="1"/>
  <c r="P159" i="1"/>
  <c r="H149" i="1"/>
  <c r="I113" i="1"/>
  <c r="I89" i="1"/>
  <c r="I65" i="1"/>
  <c r="I57" i="1"/>
  <c r="I49" i="1"/>
  <c r="I41" i="1"/>
  <c r="I33" i="1"/>
  <c r="I93" i="1"/>
  <c r="J93" i="1" s="1"/>
  <c r="P93" i="1" s="1"/>
  <c r="P171" i="1"/>
  <c r="I80" i="32" s="1"/>
  <c r="P158" i="1"/>
  <c r="H148" i="1"/>
  <c r="AB148" i="1" s="1"/>
  <c r="I108" i="1"/>
  <c r="I88" i="1"/>
  <c r="I64" i="1"/>
  <c r="I56" i="1"/>
  <c r="I48" i="1"/>
  <c r="I40" i="1"/>
  <c r="I32" i="1"/>
  <c r="I81" i="1"/>
  <c r="P170" i="1"/>
  <c r="P157" i="1"/>
  <c r="H147" i="1"/>
  <c r="AB147" i="1" s="1"/>
  <c r="I107" i="1"/>
  <c r="I87" i="1"/>
  <c r="I63" i="1"/>
  <c r="I55" i="1"/>
  <c r="I47" i="1"/>
  <c r="I39" i="1"/>
  <c r="I31" i="1"/>
  <c r="I26" i="20" s="1"/>
  <c r="P142" i="1"/>
  <c r="AD142" i="1" s="1"/>
  <c r="P164" i="1"/>
  <c r="P143" i="1"/>
  <c r="AD143" i="1" s="1"/>
  <c r="H143" i="1"/>
  <c r="I94" i="1"/>
  <c r="I82" i="1"/>
  <c r="J71" i="20" s="1"/>
  <c r="I62" i="1"/>
  <c r="I54" i="1"/>
  <c r="I46" i="1"/>
  <c r="I38" i="1"/>
  <c r="P163" i="1"/>
  <c r="P151" i="1"/>
  <c r="AD151" i="1" s="1"/>
  <c r="DH7" i="10" s="1"/>
  <c r="I27" i="1"/>
  <c r="I19" i="1"/>
  <c r="I26" i="1"/>
  <c r="I18" i="1"/>
  <c r="I25" i="1"/>
  <c r="I17" i="1"/>
  <c r="I21" i="1"/>
  <c r="I24" i="1"/>
  <c r="I16" i="1"/>
  <c r="I23" i="1"/>
  <c r="I15" i="1"/>
  <c r="I22" i="1"/>
  <c r="I14" i="1"/>
  <c r="I13" i="1"/>
  <c r="J8" i="20" s="1"/>
  <c r="I20" i="1"/>
  <c r="H59" i="1"/>
  <c r="H15" i="1"/>
  <c r="H14" i="1"/>
  <c r="H63" i="1"/>
  <c r="H13" i="1"/>
  <c r="H58" i="1"/>
  <c r="H18" i="1"/>
  <c r="H17" i="1"/>
  <c r="H80" i="1"/>
  <c r="J69" i="20" s="1"/>
  <c r="H47" i="1"/>
  <c r="H21" i="1"/>
  <c r="B3" i="32"/>
  <c r="B5" i="32" s="1"/>
  <c r="B3" i="20"/>
  <c r="B5" i="20" s="1"/>
  <c r="B3" i="25"/>
  <c r="B3" i="14"/>
  <c r="D114" i="1"/>
  <c r="D113" i="1"/>
  <c r="D108" i="1"/>
  <c r="D107" i="1"/>
  <c r="D104" i="1"/>
  <c r="D88" i="1"/>
  <c r="D87" i="1"/>
  <c r="D89" i="1"/>
  <c r="D82" i="1"/>
  <c r="D81" i="1"/>
  <c r="D94" i="1"/>
  <c r="D80" i="1"/>
  <c r="D77" i="1"/>
  <c r="D66" i="1"/>
  <c r="D58" i="1"/>
  <c r="D44" i="1"/>
  <c r="D36" i="1"/>
  <c r="D65" i="1"/>
  <c r="D57" i="1"/>
  <c r="D35" i="1"/>
  <c r="D40" i="1"/>
  <c r="D61" i="1"/>
  <c r="D43" i="1"/>
  <c r="D64" i="1"/>
  <c r="D50" i="1"/>
  <c r="D42" i="1"/>
  <c r="D34" i="1"/>
  <c r="D63" i="1"/>
  <c r="D49" i="1"/>
  <c r="D41" i="1"/>
  <c r="D33" i="1"/>
  <c r="D48" i="1"/>
  <c r="D32" i="1"/>
  <c r="D47" i="1"/>
  <c r="D60" i="1"/>
  <c r="D46" i="1"/>
  <c r="D38" i="1"/>
  <c r="D67" i="1"/>
  <c r="D59" i="1"/>
  <c r="D45" i="1"/>
  <c r="D37" i="1"/>
  <c r="D62" i="1"/>
  <c r="D39" i="1"/>
  <c r="D31" i="1"/>
  <c r="D18" i="1"/>
  <c r="D27" i="1"/>
  <c r="D19" i="1"/>
  <c r="D17" i="1"/>
  <c r="D24" i="1"/>
  <c r="D26" i="1"/>
  <c r="D25" i="1"/>
  <c r="D16" i="1"/>
  <c r="D20" i="1"/>
  <c r="D23" i="1"/>
  <c r="D15" i="1"/>
  <c r="D10" i="1"/>
  <c r="D22" i="1"/>
  <c r="D14" i="1"/>
  <c r="D21" i="1"/>
  <c r="D13" i="1"/>
  <c r="B3" i="3"/>
  <c r="B3" i="29"/>
  <c r="J52" i="1" l="1"/>
  <c r="P52" i="1" s="1"/>
  <c r="I50" i="20"/>
  <c r="J53" i="1"/>
  <c r="P53" i="1" s="1"/>
  <c r="I51" i="20"/>
  <c r="J55" i="1"/>
  <c r="P55" i="1" s="1"/>
  <c r="I53" i="20"/>
  <c r="BX7" i="12"/>
  <c r="U93" i="1"/>
  <c r="S93" i="1"/>
  <c r="AB93" i="1"/>
  <c r="BV7" i="10" s="1"/>
  <c r="J56" i="1"/>
  <c r="P56" i="1" s="1"/>
  <c r="I54" i="20"/>
  <c r="J81" i="32"/>
  <c r="AB174" i="1"/>
  <c r="J51" i="1"/>
  <c r="P51" i="1" s="1"/>
  <c r="I49" i="20"/>
  <c r="AB92" i="1"/>
  <c r="BU7" i="10" s="1"/>
  <c r="U92" i="1"/>
  <c r="S92" i="1"/>
  <c r="BW7" i="12"/>
  <c r="J54" i="1"/>
  <c r="P54" i="1" s="1"/>
  <c r="I52" i="20"/>
  <c r="H188" i="1"/>
  <c r="BU7" i="12"/>
  <c r="U90" i="1"/>
  <c r="S90" i="1"/>
  <c r="AB90" i="1"/>
  <c r="I79" i="32"/>
  <c r="AB170" i="1"/>
  <c r="I83" i="32"/>
  <c r="AB177" i="1"/>
  <c r="J82" i="32"/>
  <c r="AB175" i="1"/>
  <c r="BV7" i="12"/>
  <c r="S91" i="1"/>
  <c r="AB91" i="1"/>
  <c r="BT7" i="10" s="1"/>
  <c r="U91" i="1"/>
  <c r="DZ7" i="12"/>
  <c r="J84" i="32"/>
  <c r="AB178" i="1"/>
  <c r="DX7" i="10" s="1"/>
  <c r="I8" i="20"/>
  <c r="I72" i="20"/>
  <c r="C7" i="34"/>
  <c r="B82" i="20"/>
  <c r="B79" i="20"/>
  <c r="B81" i="20"/>
  <c r="B80" i="20"/>
  <c r="H15" i="14"/>
  <c r="H14" i="14"/>
  <c r="H13" i="14"/>
  <c r="J13" i="32"/>
  <c r="H11" i="14"/>
  <c r="H10" i="14"/>
  <c r="H12" i="14"/>
  <c r="H9" i="14"/>
  <c r="J11" i="32"/>
  <c r="B78" i="20"/>
  <c r="B72" i="20"/>
  <c r="F7" i="10"/>
  <c r="B73" i="20"/>
  <c r="B35" i="20"/>
  <c r="B32" i="20"/>
  <c r="B33" i="20"/>
  <c r="B34" i="20"/>
  <c r="B26" i="20"/>
  <c r="B59" i="20"/>
  <c r="B55" i="20"/>
  <c r="B10" i="20"/>
  <c r="B39" i="20"/>
  <c r="B11" i="20"/>
  <c r="B15" i="20"/>
  <c r="B36" i="20"/>
  <c r="B22" i="20"/>
  <c r="B53" i="20"/>
  <c r="B18" i="20"/>
  <c r="B63" i="20"/>
  <c r="B51" i="20"/>
  <c r="B24" i="20"/>
  <c r="B41" i="20"/>
  <c r="B45" i="20"/>
  <c r="B19" i="20"/>
  <c r="B23" i="20"/>
  <c r="B27" i="20"/>
  <c r="B61" i="20"/>
  <c r="B54" i="20"/>
  <c r="B68" i="20"/>
  <c r="B20" i="20"/>
  <c r="B16" i="20"/>
  <c r="B12" i="20"/>
  <c r="B31" i="20"/>
  <c r="B17" i="20"/>
  <c r="B28" i="20"/>
  <c r="B37" i="20"/>
  <c r="B67" i="20"/>
  <c r="B48" i="20"/>
  <c r="B44" i="20"/>
  <c r="B9" i="20"/>
  <c r="B40" i="20"/>
  <c r="B8" i="20"/>
  <c r="B50" i="20"/>
  <c r="B47" i="20"/>
  <c r="B29" i="20"/>
  <c r="B46" i="20"/>
  <c r="B64" i="20"/>
  <c r="B49" i="20"/>
  <c r="B60" i="20"/>
  <c r="B43" i="20"/>
  <c r="B30" i="20"/>
  <c r="B13" i="20"/>
  <c r="B62" i="20"/>
  <c r="B57" i="20"/>
  <c r="B65" i="20"/>
  <c r="B38" i="20"/>
  <c r="B25" i="20"/>
  <c r="B42" i="20"/>
  <c r="B21" i="20"/>
  <c r="B52" i="20"/>
  <c r="B66" i="20"/>
  <c r="B56" i="20"/>
  <c r="B58" i="20"/>
  <c r="B14" i="20"/>
  <c r="B84" i="32"/>
  <c r="B85" i="32"/>
  <c r="B86" i="32"/>
  <c r="B79" i="32"/>
  <c r="B80" i="32"/>
  <c r="B81" i="32"/>
  <c r="B82" i="32"/>
  <c r="B83" i="32"/>
  <c r="B77" i="32"/>
  <c r="B78" i="32"/>
  <c r="B53" i="32"/>
  <c r="B46" i="32"/>
  <c r="B28" i="32"/>
  <c r="B55" i="32"/>
  <c r="B56" i="32"/>
  <c r="B33" i="32"/>
  <c r="B26" i="32"/>
  <c r="B27" i="32"/>
  <c r="B21" i="32"/>
  <c r="B14" i="32"/>
  <c r="B23" i="32"/>
  <c r="B24" i="32"/>
  <c r="B36" i="32"/>
  <c r="B65" i="32"/>
  <c r="B58" i="32"/>
  <c r="B44" i="32"/>
  <c r="B29" i="32"/>
  <c r="B35" i="32"/>
  <c r="B32" i="32"/>
  <c r="B73" i="32"/>
  <c r="B37" i="32"/>
  <c r="B40" i="32"/>
  <c r="B74" i="32"/>
  <c r="B61" i="32"/>
  <c r="B54" i="32"/>
  <c r="B52" i="32"/>
  <c r="B63" i="32"/>
  <c r="B64" i="32"/>
  <c r="B41" i="32"/>
  <c r="B34" i="32"/>
  <c r="B43" i="32"/>
  <c r="B22" i="32"/>
  <c r="B60" i="32"/>
  <c r="B76" i="32"/>
  <c r="B30" i="32"/>
  <c r="B39" i="32"/>
  <c r="B17" i="32"/>
  <c r="B25" i="32"/>
  <c r="B51" i="32"/>
  <c r="B69" i="32"/>
  <c r="B62" i="32"/>
  <c r="B68" i="32"/>
  <c r="B71" i="32"/>
  <c r="B72" i="32"/>
  <c r="B49" i="32"/>
  <c r="B42" i="32"/>
  <c r="B67" i="32"/>
  <c r="B13" i="32"/>
  <c r="B9" i="32"/>
  <c r="B70" i="32"/>
  <c r="B15" i="32"/>
  <c r="B16" i="32"/>
  <c r="B12" i="32"/>
  <c r="B57" i="32"/>
  <c r="B50" i="32"/>
  <c r="B20" i="32"/>
  <c r="B19" i="32"/>
  <c r="B31" i="32"/>
  <c r="B66" i="32"/>
  <c r="B59" i="32"/>
  <c r="B10" i="32"/>
  <c r="B45" i="32"/>
  <c r="B38" i="32"/>
  <c r="B75" i="32"/>
  <c r="B47" i="32"/>
  <c r="B48" i="32"/>
  <c r="B18" i="32"/>
  <c r="B11" i="32"/>
  <c r="J15" i="29"/>
  <c r="L15" i="29"/>
  <c r="J85" i="32" l="1"/>
  <c r="S51" i="1"/>
  <c r="AB51" i="1"/>
  <c r="AQ7" i="10" s="1"/>
  <c r="AS7" i="12"/>
  <c r="U51" i="1"/>
  <c r="Q51" i="1"/>
  <c r="Q54" i="1"/>
  <c r="S54" i="1"/>
  <c r="AV7" i="12"/>
  <c r="U54" i="1"/>
  <c r="AB54" i="1"/>
  <c r="AT7" i="10" s="1"/>
  <c r="I86" i="32"/>
  <c r="U55" i="1"/>
  <c r="AW7" i="12"/>
  <c r="AB55" i="1"/>
  <c r="AU7" i="10" s="1"/>
  <c r="Q55" i="1"/>
  <c r="S55" i="1"/>
  <c r="U56" i="1"/>
  <c r="AX7" i="12"/>
  <c r="S56" i="1"/>
  <c r="Q56" i="1"/>
  <c r="AB56" i="1"/>
  <c r="AV7" i="10" s="1"/>
  <c r="S53" i="1"/>
  <c r="U53" i="1"/>
  <c r="AU7" i="12"/>
  <c r="Q53" i="1"/>
  <c r="AB53" i="1"/>
  <c r="AS7" i="10" s="1"/>
  <c r="AB52" i="1"/>
  <c r="AR7" i="10" s="1"/>
  <c r="U52" i="1"/>
  <c r="S52" i="1"/>
  <c r="AT7" i="12"/>
  <c r="Q52" i="1"/>
  <c r="J14" i="32"/>
  <c r="L63" i="1"/>
  <c r="J15" i="32"/>
  <c r="L61" i="1"/>
  <c r="L60" i="1"/>
  <c r="J12" i="32"/>
  <c r="L45" i="1"/>
  <c r="J10" i="32"/>
  <c r="L46" i="1"/>
  <c r="J9" i="32"/>
  <c r="F78" i="14"/>
  <c r="P166" i="1"/>
  <c r="L48" i="1"/>
  <c r="AB157" i="1"/>
  <c r="J7" i="32" l="1"/>
  <c r="I78" i="32"/>
  <c r="D13" i="34" s="1"/>
  <c r="I89" i="32" l="1"/>
  <c r="I7" i="32"/>
  <c r="A2" i="9"/>
  <c r="A1" i="9"/>
  <c r="A2" i="12"/>
  <c r="A1" i="12"/>
  <c r="AN210" i="22" l="1"/>
  <c r="AM210" i="22"/>
  <c r="AJ210" i="22"/>
  <c r="AI210" i="22"/>
  <c r="AG210" i="22"/>
  <c r="AE210" i="22"/>
  <c r="AC210" i="22"/>
  <c r="AA210" i="22"/>
  <c r="G214" i="1" l="1"/>
  <c r="G210" i="1"/>
  <c r="AO210" i="22" l="1"/>
  <c r="AO5" i="22"/>
  <c r="A14" i="3" l="1"/>
  <c r="A27" i="3" s="1"/>
  <c r="B2" i="4"/>
  <c r="A11" i="4" s="1"/>
  <c r="H190" i="1"/>
  <c r="AK210" i="22" l="1"/>
  <c r="J31" i="1" l="1"/>
  <c r="H145" i="1" l="1"/>
  <c r="H153" i="1" s="1"/>
  <c r="F18" i="5"/>
  <c r="F17" i="5"/>
  <c r="D18" i="5"/>
  <c r="D17" i="5"/>
  <c r="F14" i="5"/>
  <c r="D14" i="5"/>
  <c r="D20" i="5" l="1"/>
  <c r="X130" i="1"/>
  <c r="AB130" i="1" s="1"/>
  <c r="G203" i="1"/>
  <c r="G200" i="1"/>
  <c r="G206" i="1"/>
  <c r="H116" i="1"/>
  <c r="I116" i="1"/>
  <c r="K116" i="1"/>
  <c r="H110" i="1"/>
  <c r="I110" i="1"/>
  <c r="L110" i="1"/>
  <c r="M110" i="1"/>
  <c r="H96" i="1"/>
  <c r="I96" i="1"/>
  <c r="K96" i="1"/>
  <c r="N96" i="1"/>
  <c r="L84" i="1"/>
  <c r="M84" i="1"/>
  <c r="K69" i="1"/>
  <c r="N69" i="1"/>
  <c r="L28" i="1"/>
  <c r="M28" i="1"/>
  <c r="H118" i="1" l="1"/>
  <c r="H120" i="1" s="1"/>
  <c r="I118" i="1"/>
  <c r="I120" i="1" s="1"/>
  <c r="DJ7" i="12"/>
  <c r="DA7" i="12"/>
  <c r="CZ7" i="12"/>
  <c r="CY7" i="12"/>
  <c r="CX7" i="12"/>
  <c r="X166" i="1"/>
  <c r="Z145" i="1"/>
  <c r="Z153" i="1" s="1"/>
  <c r="X145" i="1"/>
  <c r="X153" i="1" s="1"/>
  <c r="X116" i="1"/>
  <c r="X110" i="1"/>
  <c r="X84" i="1"/>
  <c r="X69" i="1"/>
  <c r="X28" i="1"/>
  <c r="X180" i="1" l="1"/>
  <c r="X71" i="1"/>
  <c r="X73" i="1" s="1"/>
  <c r="X128" i="1" s="1"/>
  <c r="X118" i="1"/>
  <c r="X120" i="1" s="1"/>
  <c r="X132" i="1" s="1"/>
  <c r="X133" i="1" l="1"/>
  <c r="X182" i="1" s="1"/>
  <c r="AB68" i="1"/>
  <c r="M116" i="1" l="1"/>
  <c r="M118" i="1" s="1"/>
  <c r="M120" i="1" s="1"/>
  <c r="M96" i="1"/>
  <c r="M98" i="1" s="1"/>
  <c r="M100" i="1" s="1"/>
  <c r="O114" i="1"/>
  <c r="O88" i="1"/>
  <c r="I75" i="20" s="1"/>
  <c r="O89" i="1"/>
  <c r="I76" i="20" s="1"/>
  <c r="O94" i="1"/>
  <c r="I77" i="20" s="1"/>
  <c r="K110" i="1" l="1"/>
  <c r="K118" i="1" s="1"/>
  <c r="K120" i="1" s="1"/>
  <c r="K84" i="1"/>
  <c r="K98" i="1" s="1"/>
  <c r="K100" i="1" s="1"/>
  <c r="O87" i="1"/>
  <c r="L96" i="1"/>
  <c r="L98" i="1" s="1"/>
  <c r="L100" i="1" s="1"/>
  <c r="O113" i="1"/>
  <c r="L116" i="1"/>
  <c r="L118" i="1" s="1"/>
  <c r="L120" i="1" s="1"/>
  <c r="DW7" i="10"/>
  <c r="DV7" i="10"/>
  <c r="DU7" i="10"/>
  <c r="AB171" i="1"/>
  <c r="DT7" i="10" s="1"/>
  <c r="DS7" i="10"/>
  <c r="CV7" i="10"/>
  <c r="AB149" i="1"/>
  <c r="CW7" i="10" s="1"/>
  <c r="AB150" i="1"/>
  <c r="CX7" i="10" s="1"/>
  <c r="AB151" i="1"/>
  <c r="CY7" i="10" s="1"/>
  <c r="CU7" i="10"/>
  <c r="AB143" i="1"/>
  <c r="CS7" i="10" s="1"/>
  <c r="CR7" i="10"/>
  <c r="DC7" i="10"/>
  <c r="DB7" i="10"/>
  <c r="O116" i="1" l="1"/>
  <c r="I81" i="20"/>
  <c r="J82" i="20" s="1"/>
  <c r="O96" i="1"/>
  <c r="I74" i="20"/>
  <c r="C9" i="34" s="1"/>
  <c r="DA7" i="10"/>
  <c r="DD7" i="10" s="1"/>
  <c r="AD145" i="1"/>
  <c r="AD153" i="1" s="1"/>
  <c r="AB145" i="1"/>
  <c r="AB153" i="1" s="1"/>
  <c r="CQ7" i="10"/>
  <c r="CT7" i="10" s="1"/>
  <c r="O81" i="1"/>
  <c r="O20" i="1"/>
  <c r="O21" i="1"/>
  <c r="O14" i="1"/>
  <c r="O22" i="1"/>
  <c r="O23" i="1"/>
  <c r="O108" i="1"/>
  <c r="O25" i="1"/>
  <c r="O18" i="1"/>
  <c r="O26" i="1"/>
  <c r="O19" i="1"/>
  <c r="O16" i="1"/>
  <c r="O24" i="1"/>
  <c r="O17" i="1"/>
  <c r="O82" i="1"/>
  <c r="O27" i="1"/>
  <c r="O39" i="1"/>
  <c r="I37" i="20" s="1"/>
  <c r="O43" i="1"/>
  <c r="I41" i="20" s="1"/>
  <c r="O47" i="1"/>
  <c r="I45" i="20" s="1"/>
  <c r="O57" i="1"/>
  <c r="I55" i="20" s="1"/>
  <c r="O65" i="1"/>
  <c r="I63" i="20" s="1"/>
  <c r="O45" i="1"/>
  <c r="I43" i="20" s="1"/>
  <c r="O63" i="1"/>
  <c r="I61" i="20" s="1"/>
  <c r="O67" i="1"/>
  <c r="I65" i="20" s="1"/>
  <c r="O42" i="1"/>
  <c r="I40" i="20" s="1"/>
  <c r="O50" i="1"/>
  <c r="I48" i="20" s="1"/>
  <c r="O60" i="1"/>
  <c r="I58" i="20" s="1"/>
  <c r="O34" i="1"/>
  <c r="O46" i="1"/>
  <c r="I44" i="20" s="1"/>
  <c r="O40" i="1"/>
  <c r="I38" i="20" s="1"/>
  <c r="O44" i="1"/>
  <c r="I42" i="20" s="1"/>
  <c r="O48" i="1"/>
  <c r="I46" i="20" s="1"/>
  <c r="O58" i="1"/>
  <c r="I56" i="20" s="1"/>
  <c r="O62" i="1"/>
  <c r="I60" i="20" s="1"/>
  <c r="O66" i="1"/>
  <c r="I64" i="20" s="1"/>
  <c r="J12" i="20" l="1"/>
  <c r="I12" i="20"/>
  <c r="I18" i="20"/>
  <c r="J18" i="20"/>
  <c r="J19" i="20"/>
  <c r="I19" i="20"/>
  <c r="I17" i="20"/>
  <c r="J17" i="20"/>
  <c r="J11" i="20"/>
  <c r="I11" i="20"/>
  <c r="I9" i="20"/>
  <c r="J9" i="20"/>
  <c r="J20" i="20"/>
  <c r="I20" i="20"/>
  <c r="J14" i="20"/>
  <c r="I14" i="20"/>
  <c r="I16" i="20"/>
  <c r="J16" i="20"/>
  <c r="J21" i="20"/>
  <c r="I21" i="20"/>
  <c r="J15" i="20"/>
  <c r="I15" i="20"/>
  <c r="I22" i="20"/>
  <c r="J22" i="20"/>
  <c r="J13" i="20"/>
  <c r="I13" i="20"/>
  <c r="J78" i="20"/>
  <c r="O107" i="1"/>
  <c r="N110" i="1"/>
  <c r="O80" i="1"/>
  <c r="J70" i="20" s="1"/>
  <c r="C8" i="34" s="1"/>
  <c r="J10" i="34" s="1"/>
  <c r="N84" i="1"/>
  <c r="N98" i="1" s="1"/>
  <c r="N100" i="1" s="1"/>
  <c r="N28" i="1"/>
  <c r="N71" i="1" s="1"/>
  <c r="N73" i="1" s="1"/>
  <c r="J94" i="1"/>
  <c r="P94" i="1" s="1"/>
  <c r="U94" i="1" s="1"/>
  <c r="J89" i="1"/>
  <c r="P89" i="1" s="1"/>
  <c r="U89" i="1" s="1"/>
  <c r="J88" i="1"/>
  <c r="P88" i="1" s="1"/>
  <c r="U88" i="1" s="1"/>
  <c r="J87" i="1"/>
  <c r="P145" i="1"/>
  <c r="Q115" i="1"/>
  <c r="Q112" i="1"/>
  <c r="Q109" i="1"/>
  <c r="Q106" i="1"/>
  <c r="Q79" i="1"/>
  <c r="Q68" i="1"/>
  <c r="J82" i="1"/>
  <c r="P82" i="1" s="1"/>
  <c r="U82" i="1" s="1"/>
  <c r="DE7" i="12"/>
  <c r="CU7" i="12"/>
  <c r="D7" i="11"/>
  <c r="B7" i="11"/>
  <c r="E7" i="9"/>
  <c r="B7" i="9"/>
  <c r="DY7" i="12"/>
  <c r="DX7" i="12"/>
  <c r="DW7" i="12"/>
  <c r="DV7" i="12"/>
  <c r="DU7" i="12"/>
  <c r="DD7" i="12"/>
  <c r="DC7" i="12"/>
  <c r="CW7" i="12"/>
  <c r="CT7" i="12"/>
  <c r="CS7" i="12"/>
  <c r="E7" i="12"/>
  <c r="B7" i="12"/>
  <c r="K133" i="1"/>
  <c r="L133" i="1"/>
  <c r="M133" i="1"/>
  <c r="N133" i="1"/>
  <c r="J114" i="1"/>
  <c r="P114" i="1" s="1"/>
  <c r="U114" i="1" s="1"/>
  <c r="J113" i="1"/>
  <c r="P113" i="1" s="1"/>
  <c r="U113" i="1" s="1"/>
  <c r="J108" i="1"/>
  <c r="P108" i="1" s="1"/>
  <c r="U108" i="1" s="1"/>
  <c r="J107" i="1"/>
  <c r="J81" i="1"/>
  <c r="P81" i="1" s="1"/>
  <c r="U81" i="1" s="1"/>
  <c r="J67" i="1"/>
  <c r="P67" i="1" s="1"/>
  <c r="U67" i="1" s="1"/>
  <c r="J66" i="1"/>
  <c r="P66" i="1" s="1"/>
  <c r="U66" i="1" s="1"/>
  <c r="J64" i="1"/>
  <c r="J62" i="1"/>
  <c r="P62" i="1" s="1"/>
  <c r="U62" i="1" s="1"/>
  <c r="J61" i="1"/>
  <c r="J60" i="1"/>
  <c r="P60" i="1" s="1"/>
  <c r="U60" i="1" s="1"/>
  <c r="J58" i="1"/>
  <c r="P58" i="1" s="1"/>
  <c r="U58" i="1" s="1"/>
  <c r="J57" i="1"/>
  <c r="P57" i="1" s="1"/>
  <c r="J50" i="1"/>
  <c r="P50" i="1" s="1"/>
  <c r="U50" i="1" s="1"/>
  <c r="J49" i="1"/>
  <c r="J48" i="1"/>
  <c r="P48" i="1" s="1"/>
  <c r="U48" i="1" s="1"/>
  <c r="J45" i="1"/>
  <c r="P45" i="1" s="1"/>
  <c r="U45" i="1" s="1"/>
  <c r="J44" i="1"/>
  <c r="P44" i="1" s="1"/>
  <c r="U44" i="1" s="1"/>
  <c r="J43" i="1"/>
  <c r="P43" i="1" s="1"/>
  <c r="U43" i="1" s="1"/>
  <c r="J42" i="1"/>
  <c r="P42" i="1" s="1"/>
  <c r="U42" i="1" s="1"/>
  <c r="J41" i="1"/>
  <c r="J40" i="1"/>
  <c r="P40" i="1" s="1"/>
  <c r="U40" i="1" s="1"/>
  <c r="J39" i="1"/>
  <c r="P39" i="1" s="1"/>
  <c r="U39" i="1" s="1"/>
  <c r="J38" i="1"/>
  <c r="J37" i="1"/>
  <c r="J36" i="1"/>
  <c r="J35" i="1"/>
  <c r="J34" i="1"/>
  <c r="P34" i="1" s="1"/>
  <c r="U34" i="1" s="1"/>
  <c r="J33" i="1"/>
  <c r="J32" i="1"/>
  <c r="J16" i="1"/>
  <c r="P16" i="1" s="1"/>
  <c r="U16" i="1" s="1"/>
  <c r="J19" i="1"/>
  <c r="P19" i="1" s="1"/>
  <c r="U19" i="1" s="1"/>
  <c r="J20" i="1"/>
  <c r="P20" i="1" s="1"/>
  <c r="U20" i="1" s="1"/>
  <c r="J21" i="1"/>
  <c r="P21" i="1" s="1"/>
  <c r="U21" i="1" s="1"/>
  <c r="J22" i="1"/>
  <c r="P22" i="1" s="1"/>
  <c r="U22" i="1" s="1"/>
  <c r="J23" i="1"/>
  <c r="P23" i="1" s="1"/>
  <c r="U23" i="1" s="1"/>
  <c r="J24" i="1"/>
  <c r="P24" i="1" s="1"/>
  <c r="U24" i="1" s="1"/>
  <c r="J25" i="1"/>
  <c r="P25" i="1" s="1"/>
  <c r="U25" i="1" s="1"/>
  <c r="J26" i="1"/>
  <c r="P26" i="1" s="1"/>
  <c r="U26" i="1" s="1"/>
  <c r="J27" i="1"/>
  <c r="P27" i="1" s="1"/>
  <c r="U27" i="1" s="1"/>
  <c r="DI7" i="10"/>
  <c r="B7" i="10"/>
  <c r="E7" i="10"/>
  <c r="B3" i="5"/>
  <c r="C3" i="5"/>
  <c r="I73" i="20" l="1"/>
  <c r="O110" i="1"/>
  <c r="O118" i="1" s="1"/>
  <c r="O120" i="1" s="1"/>
  <c r="J79" i="20"/>
  <c r="I80" i="20" s="1"/>
  <c r="AB57" i="1"/>
  <c r="AW7" i="10" s="1"/>
  <c r="U57" i="1"/>
  <c r="S94" i="1"/>
  <c r="BY7" i="12"/>
  <c r="AB50" i="1"/>
  <c r="AP7" i="10" s="1"/>
  <c r="AR7" i="12"/>
  <c r="O84" i="1"/>
  <c r="O98" i="1" s="1"/>
  <c r="O100" i="1" s="1"/>
  <c r="O131" i="1" s="1"/>
  <c r="N118" i="1"/>
  <c r="N120" i="1" s="1"/>
  <c r="AB104" i="1" s="1"/>
  <c r="CH7" i="10" s="1"/>
  <c r="F20" i="5"/>
  <c r="P153" i="1"/>
  <c r="J96" i="1"/>
  <c r="J110" i="1"/>
  <c r="J116" i="1"/>
  <c r="P107" i="1"/>
  <c r="U107" i="1" s="1"/>
  <c r="P87" i="1"/>
  <c r="DF7" i="12"/>
  <c r="DK7" i="12" s="1"/>
  <c r="AB94" i="1"/>
  <c r="AB113" i="1"/>
  <c r="P116" i="1"/>
  <c r="R113" i="1" s="1"/>
  <c r="CG7" i="12"/>
  <c r="T7" i="12"/>
  <c r="AB26" i="1"/>
  <c r="T7" i="10" s="1"/>
  <c r="P7" i="12"/>
  <c r="AB22" i="1"/>
  <c r="P7" i="10" s="1"/>
  <c r="N7" i="12"/>
  <c r="AB20" i="1"/>
  <c r="N7" i="10" s="1"/>
  <c r="J7" i="12"/>
  <c r="AB16" i="1"/>
  <c r="J7" i="10" s="1"/>
  <c r="AG7" i="12"/>
  <c r="AB39" i="1"/>
  <c r="AE7" i="10" s="1"/>
  <c r="AK7" i="12"/>
  <c r="AB43" i="1"/>
  <c r="AI7" i="10" s="1"/>
  <c r="AM7" i="12"/>
  <c r="AB45" i="1"/>
  <c r="AK7" i="10" s="1"/>
  <c r="AY7" i="12"/>
  <c r="BB7" i="12"/>
  <c r="AB60" i="1"/>
  <c r="AZ7" i="10" s="1"/>
  <c r="BD7" i="12"/>
  <c r="AB62" i="1"/>
  <c r="BB7" i="10" s="1"/>
  <c r="BI7" i="12"/>
  <c r="AB67" i="1"/>
  <c r="BG7" i="10" s="1"/>
  <c r="R7" i="12"/>
  <c r="AB24" i="1"/>
  <c r="R7" i="10" s="1"/>
  <c r="U7" i="12"/>
  <c r="AB27" i="1"/>
  <c r="U7" i="10" s="1"/>
  <c r="S7" i="12"/>
  <c r="AB25" i="1"/>
  <c r="S7" i="10" s="1"/>
  <c r="Q7" i="12"/>
  <c r="AB23" i="1"/>
  <c r="Q7" i="10" s="1"/>
  <c r="O7" i="12"/>
  <c r="AB21" i="1"/>
  <c r="O7" i="10" s="1"/>
  <c r="M7" i="12"/>
  <c r="AB19" i="1"/>
  <c r="M7" i="10" s="1"/>
  <c r="AB7" i="12"/>
  <c r="AB34" i="1"/>
  <c r="Z7" i="10" s="1"/>
  <c r="AH7" i="12"/>
  <c r="AB40" i="1"/>
  <c r="AF7" i="10" s="1"/>
  <c r="AJ7" i="12"/>
  <c r="AB42" i="1"/>
  <c r="AH7" i="10" s="1"/>
  <c r="AL7" i="12"/>
  <c r="AB44" i="1"/>
  <c r="AJ7" i="10" s="1"/>
  <c r="AP7" i="12"/>
  <c r="AB48" i="1"/>
  <c r="AN7" i="10" s="1"/>
  <c r="AZ7" i="12"/>
  <c r="AB58" i="1"/>
  <c r="AX7" i="10" s="1"/>
  <c r="BH7" i="12"/>
  <c r="AB66" i="1"/>
  <c r="BF7" i="10" s="1"/>
  <c r="BO7" i="12"/>
  <c r="AB81" i="1"/>
  <c r="BM7" i="10" s="1"/>
  <c r="AB114" i="1"/>
  <c r="CF7" i="10" s="1"/>
  <c r="CH7" i="12"/>
  <c r="AB88" i="1"/>
  <c r="BS7" i="12"/>
  <c r="AB108" i="1"/>
  <c r="CC7" i="10" s="1"/>
  <c r="CE7" i="12"/>
  <c r="BP7" i="12"/>
  <c r="AB82" i="1"/>
  <c r="BN7" i="10" s="1"/>
  <c r="AB89" i="1"/>
  <c r="BR7" i="10" s="1"/>
  <c r="BT7" i="12"/>
  <c r="B2" i="5"/>
  <c r="CV7" i="12"/>
  <c r="DB7" i="12" s="1"/>
  <c r="CZ7" i="10"/>
  <c r="Q94" i="1"/>
  <c r="BQ7" i="9" s="1"/>
  <c r="G88" i="1"/>
  <c r="BP7" i="11" s="1"/>
  <c r="G33" i="1"/>
  <c r="G41" i="1"/>
  <c r="G49" i="1"/>
  <c r="G63" i="1"/>
  <c r="BB7" i="11" s="1"/>
  <c r="G16" i="1"/>
  <c r="G24" i="1"/>
  <c r="G13" i="1"/>
  <c r="F7" i="11" s="1"/>
  <c r="G45" i="1"/>
  <c r="Q45" i="1" s="1"/>
  <c r="AO7" i="9" s="1"/>
  <c r="G67" i="1"/>
  <c r="Q67" i="1" s="1"/>
  <c r="BE7" i="9" s="1"/>
  <c r="G62" i="1"/>
  <c r="G23" i="1"/>
  <c r="Q23" i="1" s="1"/>
  <c r="Q7" i="9" s="1"/>
  <c r="G89" i="1"/>
  <c r="BQ7" i="11" s="1"/>
  <c r="G34" i="1"/>
  <c r="Q34" i="1" s="1"/>
  <c r="AD7" i="9" s="1"/>
  <c r="G42" i="1"/>
  <c r="G50" i="1"/>
  <c r="Q50" i="1" s="1"/>
  <c r="AT7" i="9" s="1"/>
  <c r="G64" i="1"/>
  <c r="G17" i="1"/>
  <c r="J7" i="11" s="1"/>
  <c r="G25" i="1"/>
  <c r="G37" i="1"/>
  <c r="G35" i="1"/>
  <c r="G43" i="1"/>
  <c r="Q43" i="1" s="1"/>
  <c r="AM7" i="9" s="1"/>
  <c r="G57" i="1"/>
  <c r="Q57" i="1" s="1"/>
  <c r="AU7" i="9" s="1"/>
  <c r="G65" i="1"/>
  <c r="G18" i="1"/>
  <c r="K7" i="11" s="1"/>
  <c r="G26" i="1"/>
  <c r="Q26" i="1" s="1"/>
  <c r="T7" i="9" s="1"/>
  <c r="G81" i="1"/>
  <c r="G20" i="1"/>
  <c r="G32" i="1"/>
  <c r="G40" i="1"/>
  <c r="Q40" i="1" s="1"/>
  <c r="AJ7" i="9" s="1"/>
  <c r="G87" i="1"/>
  <c r="G36" i="1"/>
  <c r="G44" i="1"/>
  <c r="Q44" i="1" s="1"/>
  <c r="AN7" i="9" s="1"/>
  <c r="G58" i="1"/>
  <c r="G66" i="1"/>
  <c r="Q66" i="1" s="1"/>
  <c r="BD7" i="9" s="1"/>
  <c r="G19" i="1"/>
  <c r="Q19" i="1" s="1"/>
  <c r="M7" i="9" s="1"/>
  <c r="G27" i="1"/>
  <c r="G114" i="1"/>
  <c r="CE7" i="11" s="1"/>
  <c r="G59" i="1"/>
  <c r="AX7" i="11" s="1"/>
  <c r="V7" i="9"/>
  <c r="G48" i="1"/>
  <c r="G113" i="1"/>
  <c r="G82" i="1"/>
  <c r="Q82" i="1" s="1"/>
  <c r="BL7" i="9" s="1"/>
  <c r="G38" i="1"/>
  <c r="G46" i="1"/>
  <c r="G60" i="1"/>
  <c r="G31" i="1"/>
  <c r="G21" i="1"/>
  <c r="Q21" i="1" s="1"/>
  <c r="O7" i="9" s="1"/>
  <c r="G108" i="1"/>
  <c r="CB7" i="11" s="1"/>
  <c r="G80" i="1"/>
  <c r="G39" i="1"/>
  <c r="G47" i="1"/>
  <c r="AL7" i="11" s="1"/>
  <c r="G61" i="1"/>
  <c r="G14" i="1"/>
  <c r="G7" i="11" s="1"/>
  <c r="G22" i="1"/>
  <c r="Q22" i="1" s="1"/>
  <c r="P7" i="9" s="1"/>
  <c r="G15" i="1"/>
  <c r="H7" i="11" s="1"/>
  <c r="A7" i="10"/>
  <c r="A7" i="9"/>
  <c r="A7" i="12"/>
  <c r="A7" i="11"/>
  <c r="P180" i="1" l="1"/>
  <c r="B19" i="34"/>
  <c r="AB87" i="1"/>
  <c r="BP7" i="10" s="1"/>
  <c r="U87" i="1"/>
  <c r="BS7" i="10"/>
  <c r="BW7" i="10"/>
  <c r="D116" i="1"/>
  <c r="O33" i="1"/>
  <c r="G69" i="1"/>
  <c r="Q89" i="1"/>
  <c r="BP7" i="9" s="1"/>
  <c r="G28" i="1"/>
  <c r="S114" i="1"/>
  <c r="Q108" i="1"/>
  <c r="BW7" i="9" s="1"/>
  <c r="Q114" i="1"/>
  <c r="BZ7" i="9" s="1"/>
  <c r="S108" i="1"/>
  <c r="G96" i="1"/>
  <c r="BO7" i="11"/>
  <c r="BW7" i="11" s="1"/>
  <c r="G116" i="1"/>
  <c r="CD7" i="11"/>
  <c r="CF7" i="11" s="1"/>
  <c r="G110" i="1"/>
  <c r="CA7" i="11"/>
  <c r="CC7" i="11" s="1"/>
  <c r="Q113" i="1"/>
  <c r="BY7" i="9" s="1"/>
  <c r="S88" i="1"/>
  <c r="S113" i="1"/>
  <c r="Q88" i="1"/>
  <c r="BO7" i="9" s="1"/>
  <c r="S89" i="1"/>
  <c r="P96" i="1"/>
  <c r="S87" i="1"/>
  <c r="P110" i="1"/>
  <c r="R107" i="1" s="1"/>
  <c r="S107" i="1"/>
  <c r="S60" i="1"/>
  <c r="AY7" i="11"/>
  <c r="S58" i="1"/>
  <c r="AW7" i="11"/>
  <c r="W7" i="11"/>
  <c r="S20" i="1"/>
  <c r="M7" i="11"/>
  <c r="Z7" i="11"/>
  <c r="S25" i="1"/>
  <c r="R7" i="11"/>
  <c r="S42" i="1"/>
  <c r="AG7" i="11"/>
  <c r="S62" i="1"/>
  <c r="BA7" i="11"/>
  <c r="S24" i="1"/>
  <c r="Q7" i="11"/>
  <c r="AF7" i="11"/>
  <c r="Q25" i="1"/>
  <c r="S7" i="9" s="1"/>
  <c r="AK7" i="11"/>
  <c r="S48" i="1"/>
  <c r="AM7" i="11"/>
  <c r="S27" i="1"/>
  <c r="T7" i="11"/>
  <c r="S44" i="1"/>
  <c r="AI7" i="11"/>
  <c r="S81" i="1"/>
  <c r="BL7" i="11"/>
  <c r="BD7" i="11"/>
  <c r="S34" i="1"/>
  <c r="Y7" i="11"/>
  <c r="S67" i="1"/>
  <c r="BF7" i="11"/>
  <c r="S16" i="1"/>
  <c r="I7" i="11"/>
  <c r="X7" i="11"/>
  <c r="Q81" i="1"/>
  <c r="BK7" i="9" s="1"/>
  <c r="Q58" i="1"/>
  <c r="AV7" i="9" s="1"/>
  <c r="Q20" i="1"/>
  <c r="N7" i="9" s="1"/>
  <c r="S22" i="1"/>
  <c r="O7" i="11"/>
  <c r="S39" i="1"/>
  <c r="AD7" i="11"/>
  <c r="S45" i="1"/>
  <c r="AJ7" i="11"/>
  <c r="Q42" i="1"/>
  <c r="AL7" i="9" s="1"/>
  <c r="Q24" i="1"/>
  <c r="R7" i="9" s="1"/>
  <c r="Q60" i="1"/>
  <c r="AX7" i="9" s="1"/>
  <c r="Q16" i="1"/>
  <c r="J7" i="9" s="1"/>
  <c r="AZ7" i="11"/>
  <c r="S21" i="1"/>
  <c r="N7" i="11"/>
  <c r="AC7" i="11"/>
  <c r="S19" i="1"/>
  <c r="L7" i="11"/>
  <c r="AA7" i="11"/>
  <c r="S57" i="1"/>
  <c r="AV7" i="11"/>
  <c r="AB7" i="11"/>
  <c r="BC7" i="11"/>
  <c r="Q39" i="1"/>
  <c r="AI7" i="9" s="1"/>
  <c r="Q62" i="1"/>
  <c r="AZ7" i="9" s="1"/>
  <c r="G84" i="1"/>
  <c r="BK7" i="11"/>
  <c r="V7" i="11"/>
  <c r="S82" i="1"/>
  <c r="BM7" i="11"/>
  <c r="S66" i="1"/>
  <c r="BE7" i="11"/>
  <c r="S40" i="1"/>
  <c r="AE7" i="11"/>
  <c r="S26" i="1"/>
  <c r="S7" i="11"/>
  <c r="S43" i="1"/>
  <c r="AH7" i="11"/>
  <c r="S50" i="1"/>
  <c r="AO7" i="11"/>
  <c r="S23" i="1"/>
  <c r="P7" i="11"/>
  <c r="AN7" i="11"/>
  <c r="Q48" i="1"/>
  <c r="AR7" i="9" s="1"/>
  <c r="Q27" i="1"/>
  <c r="U7" i="9" s="1"/>
  <c r="J118" i="1"/>
  <c r="P31" i="1"/>
  <c r="J18" i="1"/>
  <c r="P18" i="1" s="1"/>
  <c r="U18" i="1" s="1"/>
  <c r="J17" i="1"/>
  <c r="P17" i="1" s="1"/>
  <c r="H84" i="1"/>
  <c r="H98" i="1" s="1"/>
  <c r="H100" i="1" s="1"/>
  <c r="H130" i="1" s="1"/>
  <c r="Q107" i="1"/>
  <c r="BV7" i="9" s="1"/>
  <c r="AB107" i="1"/>
  <c r="AB110" i="1" s="1"/>
  <c r="Q87" i="1"/>
  <c r="BN7" i="9" s="1"/>
  <c r="BR7" i="12"/>
  <c r="BZ7" i="12" s="1"/>
  <c r="CD7" i="12"/>
  <c r="CF7" i="12" s="1"/>
  <c r="E84" i="1"/>
  <c r="CI7" i="12"/>
  <c r="BQ7" i="10"/>
  <c r="CE7" i="10"/>
  <c r="AB116" i="1"/>
  <c r="E28" i="1"/>
  <c r="E116" i="1"/>
  <c r="E110" i="1"/>
  <c r="E69" i="1"/>
  <c r="E96" i="1"/>
  <c r="V7" i="12"/>
  <c r="R114" i="1"/>
  <c r="D84" i="1"/>
  <c r="D96" i="1"/>
  <c r="W7" i="9"/>
  <c r="D110" i="1"/>
  <c r="D69" i="1"/>
  <c r="J104" i="1"/>
  <c r="G104" i="1"/>
  <c r="P104" i="1"/>
  <c r="E104" i="1"/>
  <c r="D28" i="1"/>
  <c r="X7" i="9"/>
  <c r="AB96" i="1" l="1"/>
  <c r="S17" i="1"/>
  <c r="U17" i="1"/>
  <c r="S31" i="1"/>
  <c r="U31" i="1"/>
  <c r="P33" i="1"/>
  <c r="BX7" i="10"/>
  <c r="R90" i="1"/>
  <c r="R91" i="1"/>
  <c r="R92" i="1"/>
  <c r="R93" i="1"/>
  <c r="D118" i="1"/>
  <c r="D120" i="1" s="1"/>
  <c r="R88" i="1"/>
  <c r="R89" i="1"/>
  <c r="R94" i="1"/>
  <c r="R87" i="1"/>
  <c r="K28" i="1"/>
  <c r="K71" i="1" s="1"/>
  <c r="K73" i="1" s="1"/>
  <c r="O15" i="1"/>
  <c r="O36" i="1"/>
  <c r="I98" i="1"/>
  <c r="I100" i="1" s="1"/>
  <c r="O35" i="1"/>
  <c r="O49" i="1"/>
  <c r="O37" i="1"/>
  <c r="G98" i="1"/>
  <c r="CH7" i="11"/>
  <c r="O59" i="1"/>
  <c r="I57" i="20" s="1"/>
  <c r="O41" i="1"/>
  <c r="G71" i="1"/>
  <c r="G118" i="1"/>
  <c r="G120" i="1" s="1"/>
  <c r="G132" i="1" s="1"/>
  <c r="CA7" i="9"/>
  <c r="BR7" i="9"/>
  <c r="BX7" i="9"/>
  <c r="R108" i="1"/>
  <c r="P118" i="1"/>
  <c r="P120" i="1" s="1"/>
  <c r="P132" i="1" s="1"/>
  <c r="R132" i="1" s="1"/>
  <c r="BN7" i="11"/>
  <c r="BY7" i="11" s="1"/>
  <c r="U7" i="11"/>
  <c r="BG7" i="11"/>
  <c r="Q18" i="1"/>
  <c r="L7" i="9" s="1"/>
  <c r="S18" i="1"/>
  <c r="J80" i="1"/>
  <c r="J84" i="1" s="1"/>
  <c r="J98" i="1" s="1"/>
  <c r="O64" i="1"/>
  <c r="CB7" i="10"/>
  <c r="CD7" i="10" s="1"/>
  <c r="AB18" i="1"/>
  <c r="L7" i="10" s="1"/>
  <c r="L7" i="12"/>
  <c r="I69" i="1"/>
  <c r="I28" i="1"/>
  <c r="Y7" i="9"/>
  <c r="W7" i="12"/>
  <c r="AB17" i="1"/>
  <c r="K7" i="10" s="1"/>
  <c r="Q17" i="1"/>
  <c r="K7" i="9" s="1"/>
  <c r="K7" i="12"/>
  <c r="Y7" i="12"/>
  <c r="Q31" i="1"/>
  <c r="AA7" i="9" s="1"/>
  <c r="AB31" i="1"/>
  <c r="W7" i="10" s="1"/>
  <c r="AB118" i="1"/>
  <c r="AB120" i="1" s="1"/>
  <c r="AB132" i="1" s="1"/>
  <c r="CO7" i="10" s="1"/>
  <c r="E118" i="1"/>
  <c r="E120" i="1" s="1"/>
  <c r="E132" i="1" s="1"/>
  <c r="E98" i="1"/>
  <c r="CK7" i="12"/>
  <c r="J120" i="1"/>
  <c r="J132" i="1" s="1"/>
  <c r="E71" i="1"/>
  <c r="CG7" i="10"/>
  <c r="D98" i="1"/>
  <c r="D100" i="1" s="1"/>
  <c r="D130" i="1" s="1"/>
  <c r="D71" i="1"/>
  <c r="D73" i="1" s="1"/>
  <c r="CJ7" i="12"/>
  <c r="CG7" i="11"/>
  <c r="I10" i="20" l="1"/>
  <c r="J10" i="20"/>
  <c r="S33" i="1"/>
  <c r="U33" i="1"/>
  <c r="P64" i="1"/>
  <c r="I62" i="20"/>
  <c r="AA7" i="12"/>
  <c r="P37" i="1"/>
  <c r="P35" i="1"/>
  <c r="Q33" i="1"/>
  <c r="AC7" i="9" s="1"/>
  <c r="AB33" i="1"/>
  <c r="Y7" i="10" s="1"/>
  <c r="P49" i="1"/>
  <c r="I47" i="20"/>
  <c r="P41" i="1"/>
  <c r="I39" i="20"/>
  <c r="P36" i="1"/>
  <c r="O28" i="1"/>
  <c r="J23" i="20" s="1"/>
  <c r="D129" i="1"/>
  <c r="D128" i="1"/>
  <c r="G77" i="1"/>
  <c r="BX7" i="11" s="1"/>
  <c r="BZ7" i="11" s="1"/>
  <c r="E77" i="1"/>
  <c r="E100" i="1" s="1"/>
  <c r="E131" i="1" s="1"/>
  <c r="M69" i="1"/>
  <c r="M71" i="1" s="1"/>
  <c r="M73" i="1" s="1"/>
  <c r="O32" i="1"/>
  <c r="CI7" i="11"/>
  <c r="CN7" i="11"/>
  <c r="S132" i="1"/>
  <c r="BI7" i="11"/>
  <c r="P80" i="1"/>
  <c r="U80" i="1" s="1"/>
  <c r="I71" i="1"/>
  <c r="I73" i="1" s="1"/>
  <c r="O38" i="1"/>
  <c r="CL7" i="12"/>
  <c r="CQ7" i="12"/>
  <c r="CL7" i="11"/>
  <c r="CI7" i="10"/>
  <c r="CJ7" i="10" s="1"/>
  <c r="Q132" i="1"/>
  <c r="CI7" i="9" s="1"/>
  <c r="I23" i="20" l="1"/>
  <c r="S36" i="1"/>
  <c r="U36" i="1"/>
  <c r="Q35" i="1"/>
  <c r="AE7" i="9" s="1"/>
  <c r="U35" i="1"/>
  <c r="S41" i="1"/>
  <c r="U41" i="1"/>
  <c r="AE7" i="12"/>
  <c r="U37" i="1"/>
  <c r="S49" i="1"/>
  <c r="U49" i="1"/>
  <c r="BF7" i="12"/>
  <c r="U64" i="1"/>
  <c r="AB37" i="1"/>
  <c r="AC7" i="10" s="1"/>
  <c r="Q37" i="1"/>
  <c r="AG7" i="9" s="1"/>
  <c r="AB36" i="1"/>
  <c r="AB7" i="10" s="1"/>
  <c r="S35" i="1"/>
  <c r="AB41" i="1"/>
  <c r="AG7" i="10" s="1"/>
  <c r="AD7" i="12"/>
  <c r="AI7" i="12"/>
  <c r="AC7" i="12"/>
  <c r="S37" i="1"/>
  <c r="Q41" i="1"/>
  <c r="AK7" i="9" s="1"/>
  <c r="P32" i="1"/>
  <c r="I31" i="20" s="1"/>
  <c r="AQ7" i="12"/>
  <c r="Q64" i="1"/>
  <c r="BB7" i="9" s="1"/>
  <c r="Q49" i="1"/>
  <c r="AS7" i="9" s="1"/>
  <c r="S64" i="1"/>
  <c r="AB35" i="1"/>
  <c r="AA7" i="10" s="1"/>
  <c r="AB49" i="1"/>
  <c r="AO7" i="10" s="1"/>
  <c r="AB64" i="1"/>
  <c r="BD7" i="10" s="1"/>
  <c r="P38" i="1"/>
  <c r="I36" i="20"/>
  <c r="Q36" i="1"/>
  <c r="AF7" i="9" s="1"/>
  <c r="G100" i="1"/>
  <c r="G131" i="1" s="1"/>
  <c r="CM7" i="11" s="1"/>
  <c r="J77" i="1"/>
  <c r="J100" i="1" s="1"/>
  <c r="J131" i="1" s="1"/>
  <c r="P77" i="1"/>
  <c r="B11" i="34" s="1"/>
  <c r="D133" i="1"/>
  <c r="R10" i="1"/>
  <c r="G10" i="1"/>
  <c r="E10" i="1"/>
  <c r="BN7" i="12"/>
  <c r="BQ7" i="12" s="1"/>
  <c r="CB7" i="12" s="1"/>
  <c r="P84" i="1"/>
  <c r="S80" i="1"/>
  <c r="Q80" i="1"/>
  <c r="BJ7" i="9" s="1"/>
  <c r="BM7" i="9" s="1"/>
  <c r="AB80" i="1"/>
  <c r="AB84" i="1" s="1"/>
  <c r="AB98" i="1" s="1"/>
  <c r="S38" i="1" l="1"/>
  <c r="U38" i="1"/>
  <c r="Z7" i="12"/>
  <c r="U32" i="1"/>
  <c r="S32" i="1"/>
  <c r="AB32" i="1"/>
  <c r="X7" i="10" s="1"/>
  <c r="Q32" i="1"/>
  <c r="AB7" i="9" s="1"/>
  <c r="R81" i="1"/>
  <c r="R130" i="1"/>
  <c r="P10" i="1"/>
  <c r="B2" i="34" s="1"/>
  <c r="B13" i="34" s="1"/>
  <c r="E73" i="1"/>
  <c r="BH7" i="11"/>
  <c r="BJ7" i="11" s="1"/>
  <c r="J10" i="1"/>
  <c r="G73" i="1"/>
  <c r="AB77" i="1"/>
  <c r="BY7" i="10" s="1"/>
  <c r="CA7" i="12"/>
  <c r="CC7" i="12" s="1"/>
  <c r="R80" i="1"/>
  <c r="BL7" i="10"/>
  <c r="BO7" i="10" s="1"/>
  <c r="BZ7" i="10" s="1"/>
  <c r="P98" i="1"/>
  <c r="P100" i="1" s="1"/>
  <c r="R82" i="1"/>
  <c r="Q38" i="1"/>
  <c r="AB38" i="1"/>
  <c r="AF7" i="12"/>
  <c r="G188" i="1"/>
  <c r="AB100" i="1" l="1"/>
  <c r="CA7" i="10"/>
  <c r="AB10" i="1"/>
  <c r="BI7" i="10" s="1"/>
  <c r="BK7" i="12"/>
  <c r="E128" i="1"/>
  <c r="E129" i="1"/>
  <c r="G128" i="1"/>
  <c r="G129" i="1"/>
  <c r="T100" i="1"/>
  <c r="AD7" i="10"/>
  <c r="AH7" i="9"/>
  <c r="CK7" i="11" l="1"/>
  <c r="E133" i="1"/>
  <c r="G133" i="1"/>
  <c r="CJ7" i="11"/>
  <c r="O61" i="1"/>
  <c r="I59" i="20" s="1"/>
  <c r="L69" i="1"/>
  <c r="L71" i="1" s="1"/>
  <c r="L73" i="1" s="1"/>
  <c r="CO7" i="11" l="1"/>
  <c r="P61" i="1"/>
  <c r="O69" i="1"/>
  <c r="J66" i="20" s="1"/>
  <c r="S61" i="1" l="1"/>
  <c r="U61" i="1"/>
  <c r="O71" i="1"/>
  <c r="O73" i="1" s="1"/>
  <c r="O128" i="1" s="1"/>
  <c r="Q61" i="1"/>
  <c r="AY7" i="9" s="1"/>
  <c r="BC7" i="12"/>
  <c r="AB61" i="1"/>
  <c r="O129" i="1" l="1"/>
  <c r="O133" i="1" s="1"/>
  <c r="G197" i="1"/>
  <c r="H197" i="1"/>
  <c r="BA7" i="10"/>
  <c r="J59" i="1" l="1"/>
  <c r="P59" i="1" s="1"/>
  <c r="U59" i="1" s="1"/>
  <c r="J63" i="1"/>
  <c r="P63" i="1" s="1"/>
  <c r="U63" i="1" s="1"/>
  <c r="J14" i="1"/>
  <c r="P14" i="1" s="1"/>
  <c r="U14" i="1" s="1"/>
  <c r="J46" i="1" l="1"/>
  <c r="J47" i="1"/>
  <c r="P47" i="1" s="1"/>
  <c r="J15" i="1"/>
  <c r="P15" i="1" s="1"/>
  <c r="J65" i="1"/>
  <c r="P65" i="1" s="1"/>
  <c r="S63" i="1"/>
  <c r="AB63" i="1"/>
  <c r="BC7" i="10" s="1"/>
  <c r="Q63" i="1"/>
  <c r="BA7" i="9" s="1"/>
  <c r="BE7" i="12"/>
  <c r="S14" i="1"/>
  <c r="H7" i="12"/>
  <c r="Q14" i="1"/>
  <c r="H7" i="9" s="1"/>
  <c r="AB14" i="1"/>
  <c r="H7" i="10" s="1"/>
  <c r="S59" i="1"/>
  <c r="Q59" i="1"/>
  <c r="AW7" i="9" s="1"/>
  <c r="AB59" i="1"/>
  <c r="AY7" i="10" s="1"/>
  <c r="BA7" i="12"/>
  <c r="J13" i="1"/>
  <c r="Q65" i="1" l="1"/>
  <c r="BC7" i="9" s="1"/>
  <c r="U65" i="1"/>
  <c r="S47" i="1"/>
  <c r="U47" i="1"/>
  <c r="S15" i="1"/>
  <c r="U15" i="1"/>
  <c r="BG7" i="12"/>
  <c r="AB65" i="1"/>
  <c r="BE7" i="10" s="1"/>
  <c r="S65" i="1"/>
  <c r="Q15" i="1"/>
  <c r="I7" i="9" s="1"/>
  <c r="AB15" i="1"/>
  <c r="I7" i="10" s="1"/>
  <c r="AO7" i="12"/>
  <c r="Q47" i="1"/>
  <c r="AQ7" i="9" s="1"/>
  <c r="H69" i="1"/>
  <c r="AB47" i="1"/>
  <c r="AM7" i="10" s="1"/>
  <c r="I7" i="12"/>
  <c r="H28" i="1"/>
  <c r="P13" i="1"/>
  <c r="U13" i="1" s="1"/>
  <c r="J28" i="1"/>
  <c r="P46" i="1"/>
  <c r="U46" i="1" s="1"/>
  <c r="J69" i="1"/>
  <c r="J68" i="20" l="1"/>
  <c r="J85" i="20" s="1"/>
  <c r="I67" i="20"/>
  <c r="J24" i="20"/>
  <c r="I25" i="20"/>
  <c r="I85" i="20" s="1"/>
  <c r="H71" i="1"/>
  <c r="H73" i="1" s="1"/>
  <c r="H128" i="1" s="1"/>
  <c r="H133" i="1" s="1"/>
  <c r="J71" i="1"/>
  <c r="J73" i="1" s="1"/>
  <c r="AB46" i="1"/>
  <c r="AN7" i="12"/>
  <c r="BJ7" i="12" s="1"/>
  <c r="Q46" i="1"/>
  <c r="AP7" i="9" s="1"/>
  <c r="BF7" i="9" s="1"/>
  <c r="S46" i="1"/>
  <c r="P69" i="1"/>
  <c r="R31" i="1" s="1"/>
  <c r="S13" i="1"/>
  <c r="AB13" i="1"/>
  <c r="G7" i="10" s="1"/>
  <c r="P28" i="1"/>
  <c r="R13" i="1" s="1"/>
  <c r="Q13" i="1"/>
  <c r="G7" i="9" s="1"/>
  <c r="Z7" i="9" s="1"/>
  <c r="G7" i="12"/>
  <c r="X7" i="12" s="1"/>
  <c r="C2" i="34" l="1"/>
  <c r="J2" i="34" s="1"/>
  <c r="C13" i="34"/>
  <c r="J13" i="34" s="1"/>
  <c r="I6" i="20"/>
  <c r="J6" i="20"/>
  <c r="R64" i="1"/>
  <c r="R54" i="1"/>
  <c r="R51" i="1"/>
  <c r="R55" i="1"/>
  <c r="R56" i="1"/>
  <c r="R53" i="1"/>
  <c r="R52" i="1"/>
  <c r="J129" i="1"/>
  <c r="J128" i="1"/>
  <c r="BL7" i="12"/>
  <c r="BM7" i="12" s="1"/>
  <c r="R47" i="1"/>
  <c r="R44" i="1"/>
  <c r="R43" i="1"/>
  <c r="R36" i="1"/>
  <c r="R41" i="1"/>
  <c r="R32" i="1"/>
  <c r="R35" i="1"/>
  <c r="R33" i="1"/>
  <c r="R38" i="1"/>
  <c r="R39" i="1"/>
  <c r="R48" i="1"/>
  <c r="R61" i="1"/>
  <c r="R60" i="1"/>
  <c r="R57" i="1"/>
  <c r="R49" i="1"/>
  <c r="R45" i="1"/>
  <c r="R67" i="1"/>
  <c r="R40" i="1"/>
  <c r="R42" i="1"/>
  <c r="R34" i="1"/>
  <c r="R50" i="1"/>
  <c r="R66" i="1"/>
  <c r="R58" i="1"/>
  <c r="R62" i="1"/>
  <c r="R37" i="1"/>
  <c r="R63" i="1"/>
  <c r="R59" i="1"/>
  <c r="R65" i="1"/>
  <c r="R46" i="1"/>
  <c r="R20" i="1"/>
  <c r="R23" i="1"/>
  <c r="R22" i="1"/>
  <c r="R25" i="1"/>
  <c r="R21" i="1"/>
  <c r="R17" i="1"/>
  <c r="R24" i="1"/>
  <c r="R19" i="1"/>
  <c r="R26" i="1"/>
  <c r="R27" i="1"/>
  <c r="R18" i="1"/>
  <c r="R16" i="1"/>
  <c r="P71" i="1"/>
  <c r="P73" i="1" s="1"/>
  <c r="R15" i="1"/>
  <c r="R14" i="1"/>
  <c r="AL7" i="10"/>
  <c r="BH7" i="10" s="1"/>
  <c r="AB69" i="1"/>
  <c r="V7" i="10"/>
  <c r="AB28" i="1"/>
  <c r="J133" i="1" l="1"/>
  <c r="P128" i="1"/>
  <c r="Q128" i="1" s="1"/>
  <c r="P129" i="1"/>
  <c r="R129" i="1" s="1"/>
  <c r="AB71" i="1"/>
  <c r="AB73" i="1" s="1"/>
  <c r="BJ7" i="10"/>
  <c r="BK7" i="10" s="1"/>
  <c r="R128" i="1" l="1"/>
  <c r="D9" i="29" s="1"/>
  <c r="AB129" i="1"/>
  <c r="CL7" i="10" s="1"/>
  <c r="AB128" i="1"/>
  <c r="CE7" i="9"/>
  <c r="S128" i="1"/>
  <c r="CM7" i="12"/>
  <c r="CN7" i="12"/>
  <c r="S129" i="1"/>
  <c r="Q129" i="1"/>
  <c r="CF7" i="9" s="1"/>
  <c r="C9" i="29"/>
  <c r="E9" i="29" l="1"/>
  <c r="CK7" i="10"/>
  <c r="DN7" i="12" l="1"/>
  <c r="AB159" i="1"/>
  <c r="DL7" i="10" s="1"/>
  <c r="DL7" i="12"/>
  <c r="H196" i="1"/>
  <c r="H198" i="1" s="1"/>
  <c r="AB160" i="1"/>
  <c r="DM7" i="10" s="1"/>
  <c r="DO7" i="12"/>
  <c r="DP7" i="12"/>
  <c r="AB161" i="1"/>
  <c r="DN7" i="10" s="1"/>
  <c r="DQ7" i="12"/>
  <c r="AB162" i="1"/>
  <c r="DO7" i="10" s="1"/>
  <c r="DM7" i="12"/>
  <c r="AB158" i="1"/>
  <c r="DK7" i="10" s="1"/>
  <c r="DR7" i="12"/>
  <c r="AB163" i="1"/>
  <c r="DP7" i="10" s="1"/>
  <c r="AB164" i="1"/>
  <c r="DQ7" i="10" s="1"/>
  <c r="DS7" i="12"/>
  <c r="DT7" i="12" l="1"/>
  <c r="DJ7" i="10"/>
  <c r="DR7" i="10" s="1"/>
  <c r="AB166" i="1"/>
  <c r="AB180" i="1" s="1"/>
  <c r="G196" i="1"/>
  <c r="G198" i="1" s="1"/>
  <c r="O10" i="14" l="1"/>
  <c r="K10" i="32" s="1"/>
  <c r="O73" i="14"/>
  <c r="K73" i="32" s="1"/>
  <c r="O72" i="14"/>
  <c r="K72" i="32" s="1"/>
  <c r="O71" i="14"/>
  <c r="K71" i="32" s="1"/>
  <c r="O9" i="14"/>
  <c r="K9" i="32" s="1"/>
  <c r="O28" i="14"/>
  <c r="K28" i="32" s="1"/>
  <c r="O27" i="14"/>
  <c r="K27" i="32" s="1"/>
  <c r="O46" i="14"/>
  <c r="K46" i="32" s="1"/>
  <c r="O52" i="14"/>
  <c r="K52" i="32" s="1"/>
  <c r="O34" i="14"/>
  <c r="K34" i="32" s="1"/>
  <c r="O64" i="14"/>
  <c r="K64" i="32" s="1"/>
  <c r="O55" i="14"/>
  <c r="K55" i="32" s="1"/>
  <c r="O61" i="14"/>
  <c r="K61" i="32" s="1"/>
  <c r="O12" i="14"/>
  <c r="K12" i="32" s="1"/>
  <c r="O30" i="14"/>
  <c r="K30" i="32" s="1"/>
  <c r="O36" i="14"/>
  <c r="K36" i="32" s="1"/>
  <c r="O26" i="14"/>
  <c r="K26" i="32" s="1"/>
  <c r="O45" i="14"/>
  <c r="K45" i="32" s="1"/>
  <c r="O11" i="14"/>
  <c r="K11" i="32" s="1"/>
  <c r="O14" i="14"/>
  <c r="K14" i="32" s="1"/>
  <c r="O18" i="14"/>
  <c r="K18" i="32" s="1"/>
  <c r="O33" i="14"/>
  <c r="K33" i="32" s="1"/>
  <c r="O31" i="14"/>
  <c r="K31" i="32" s="1"/>
  <c r="O60" i="14"/>
  <c r="K60" i="32" s="1"/>
  <c r="O50" i="14"/>
  <c r="K50" i="32" s="1"/>
  <c r="O44" i="14"/>
  <c r="K44" i="32" s="1"/>
  <c r="O65" i="14"/>
  <c r="K65" i="32" s="1"/>
  <c r="O19" i="14"/>
  <c r="K19" i="32" s="1"/>
  <c r="O47" i="14"/>
  <c r="K47" i="32" s="1"/>
  <c r="O76" i="14"/>
  <c r="K76" i="32" s="1"/>
  <c r="O24" i="14"/>
  <c r="K24" i="32" s="1"/>
  <c r="O16" i="14"/>
  <c r="K16" i="32" s="1"/>
  <c r="O68" i="14"/>
  <c r="K68" i="32" s="1"/>
  <c r="O57" i="14"/>
  <c r="K57" i="32" s="1"/>
  <c r="O56" i="14"/>
  <c r="K56" i="32" s="1"/>
  <c r="O39" i="14"/>
  <c r="K39" i="32" s="1"/>
  <c r="O75" i="14"/>
  <c r="K75" i="32" s="1"/>
  <c r="O20" i="14"/>
  <c r="K20" i="32" s="1"/>
  <c r="O32" i="14"/>
  <c r="K32" i="32" s="1"/>
  <c r="O58" i="14"/>
  <c r="K58" i="32" s="1"/>
  <c r="O43" i="14"/>
  <c r="K43" i="32" s="1"/>
  <c r="O17" i="14"/>
  <c r="K17" i="32" s="1"/>
  <c r="O42" i="14"/>
  <c r="K42" i="32" s="1"/>
  <c r="O49" i="14"/>
  <c r="K49" i="32" s="1"/>
  <c r="O48" i="14"/>
  <c r="K48" i="32" s="1"/>
  <c r="O23" i="14"/>
  <c r="K23" i="32" s="1"/>
  <c r="O29" i="14"/>
  <c r="K29" i="32" s="1"/>
  <c r="O67" i="14"/>
  <c r="K67" i="32" s="1"/>
  <c r="O63" i="14"/>
  <c r="K63" i="32" s="1"/>
  <c r="O69" i="14"/>
  <c r="K69" i="32" s="1"/>
  <c r="O74" i="14"/>
  <c r="K74" i="32" s="1"/>
  <c r="O13" i="14"/>
  <c r="K13" i="32" s="1"/>
  <c r="O53" i="14"/>
  <c r="K53" i="32" s="1"/>
  <c r="O54" i="14"/>
  <c r="K54" i="32" s="1"/>
  <c r="O37" i="14"/>
  <c r="K37" i="32" s="1"/>
  <c r="O25" i="14"/>
  <c r="K25" i="32" s="1"/>
  <c r="O15" i="14"/>
  <c r="K15" i="32" s="1"/>
  <c r="O22" i="14"/>
  <c r="K22" i="32" s="1"/>
  <c r="O62" i="14"/>
  <c r="K62" i="32" s="1"/>
  <c r="O41" i="14"/>
  <c r="K41" i="32" s="1"/>
  <c r="O40" i="14"/>
  <c r="K40" i="32" s="1"/>
  <c r="O70" i="14"/>
  <c r="K70" i="32" s="1"/>
  <c r="O59" i="14"/>
  <c r="K59" i="32" s="1"/>
  <c r="O66" i="14"/>
  <c r="K66" i="32" s="1"/>
  <c r="O51" i="14"/>
  <c r="K51" i="32" s="1"/>
  <c r="O38" i="14"/>
  <c r="K38" i="32" s="1"/>
  <c r="O21" i="14"/>
  <c r="K21" i="32" s="1"/>
  <c r="O35" i="14"/>
  <c r="K35" i="32" s="1"/>
  <c r="CM7" i="10" l="1"/>
  <c r="CO7" i="12"/>
  <c r="Q130" i="1"/>
  <c r="CG7" i="9" s="1"/>
  <c r="S130" i="1"/>
  <c r="C10" i="29"/>
  <c r="E10" i="29" s="1"/>
  <c r="P131" i="1"/>
  <c r="R131" i="1" l="1"/>
  <c r="T131" i="1"/>
  <c r="C11" i="29"/>
  <c r="E11" i="29" s="1"/>
  <c r="AB131" i="1"/>
  <c r="CP7" i="12"/>
  <c r="CR7" i="12" s="1"/>
  <c r="EB7" i="12" s="1"/>
  <c r="Q131" i="1"/>
  <c r="CH7" i="9" s="1"/>
  <c r="CJ7" i="9" s="1"/>
  <c r="P133" i="1"/>
  <c r="S131" i="1"/>
  <c r="P182" i="1" l="1"/>
  <c r="EA7" i="12" s="1"/>
  <c r="CN7" i="10"/>
  <c r="CP7" i="10" s="1"/>
  <c r="DZ7" i="10" s="1"/>
  <c r="AB133" i="1"/>
  <c r="AB182" i="1" l="1"/>
  <c r="DY7" i="10" s="1"/>
  <c r="AB13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Harmanjot Kaur</author>
  </authors>
  <commentList>
    <comment ref="C186" authorId="0" shapeId="0" xr:uid="{9C17BFFF-0E5D-413A-A1B2-556920A47DBC}">
      <text>
        <r>
          <rPr>
            <b/>
            <sz val="9"/>
            <color indexed="81"/>
            <rFont val="Tahoma"/>
            <family val="2"/>
          </rPr>
          <t>Harmanjot Kaur:</t>
        </r>
        <r>
          <rPr>
            <sz val="9"/>
            <color indexed="81"/>
            <rFont val="Tahoma"/>
            <family val="2"/>
          </rPr>
          <t xml:space="preserve">
There is an anticipation that there is a difference of £0</t>
        </r>
      </text>
    </comment>
    <comment ref="C194" authorId="0" shapeId="0" xr:uid="{41599394-2590-4BC6-AC6E-AA1656E46751}">
      <text>
        <r>
          <rPr>
            <b/>
            <sz val="9"/>
            <color indexed="81"/>
            <rFont val="Tahoma"/>
            <family val="2"/>
          </rPr>
          <t>Harmanjot Kaur:</t>
        </r>
        <r>
          <rPr>
            <sz val="9"/>
            <color indexed="81"/>
            <rFont val="Tahoma"/>
            <family val="2"/>
          </rPr>
          <t xml:space="preserve">
There is an anticipation that there is a difference of £0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Harmanjot Kahlon</author>
  </authors>
  <commentList>
    <comment ref="H17" authorId="0" shapeId="0" xr:uid="{00000000-0006-0000-0E00-000001000000}">
      <text>
        <r>
          <rPr>
            <b/>
            <sz val="9"/>
            <color indexed="81"/>
            <rFont val="Tahoma"/>
            <family val="2"/>
          </rPr>
          <t>Harmanjot Kaur:</t>
        </r>
        <r>
          <rPr>
            <sz val="9"/>
            <color indexed="81"/>
            <rFont val="Tahoma"/>
            <family val="2"/>
          </rPr>
          <t xml:space="preserve">
Include separate balances where a school has two bank accounts</t>
        </r>
      </text>
    </comment>
    <comment ref="J17" authorId="0" shapeId="0" xr:uid="{00000000-0006-0000-0E00-000002000000}">
      <text>
        <r>
          <rPr>
            <b/>
            <sz val="9"/>
            <color indexed="81"/>
            <rFont val="Tahoma"/>
            <family val="2"/>
          </rPr>
          <t>Harmanjot Kaur:</t>
        </r>
        <r>
          <rPr>
            <sz val="9"/>
            <color indexed="81"/>
            <rFont val="Tahoma"/>
            <family val="2"/>
          </rPr>
          <t xml:space="preserve">
Include separate balances where a school has two bank accounts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<sst xmlns="http://schemas.openxmlformats.org/spreadsheetml/2006/main" count="23284" uniqueCount="6862">
  <si>
    <t>Birmingham Outturn Report 2025/26 Checklist</t>
  </si>
  <si>
    <t>DRAFT</t>
  </si>
  <si>
    <t>DfE</t>
  </si>
  <si>
    <t>As at</t>
  </si>
  <si>
    <t>School Name</t>
  </si>
  <si>
    <t>Final Accounts</t>
  </si>
  <si>
    <t>All cells to be populated</t>
  </si>
  <si>
    <t>Date Completed (dd/mm/yyyy):</t>
  </si>
  <si>
    <t>Name Completed by:</t>
  </si>
  <si>
    <t>Position:</t>
  </si>
  <si>
    <t>Closedown Date (dd/mm/yyyy):</t>
  </si>
  <si>
    <t>Schools Finance reviewed by:</t>
  </si>
  <si>
    <t>Checklist</t>
  </si>
  <si>
    <t>Completed 
(Y / N / NA)</t>
  </si>
  <si>
    <t>Completed template and submitted Excel copy</t>
  </si>
  <si>
    <t xml:space="preserve">Yes </t>
  </si>
  <si>
    <t>a</t>
  </si>
  <si>
    <t>-Complete 2025/26 Non-Cash Sheet - YTD position within the tab "1. CFR Return" column I</t>
  </si>
  <si>
    <t>No</t>
  </si>
  <si>
    <t>b</t>
  </si>
  <si>
    <t>-Complete Accruals within the tab "2. Accruals"; Please ensure all yellow cells are completed for the rows populated by yourself and blue cells where necessary.</t>
  </si>
  <si>
    <t>N/A</t>
  </si>
  <si>
    <t>c</t>
  </si>
  <si>
    <t>-Complete Petty cash balance within tab "1. CFR Return";</t>
  </si>
  <si>
    <t>d</t>
  </si>
  <si>
    <t>- Submit a copy of all bank reconcilations as at date of closure of accounts (13/03/2026) and listing of unreconciled transactions verifying the amounts have been included in the return, tab "1. CFR Return", cells I142-I143 for the main bank account and cells P142-P143 for any other bank account(s) where applicable.</t>
  </si>
  <si>
    <t>e</t>
  </si>
  <si>
    <t>-Complete Outstanding VAT balances (February and March) within tab "1. CFR Return" and ensure outstanding returns are submitted with the year-end workbook</t>
  </si>
  <si>
    <t>f</t>
  </si>
  <si>
    <t>-The debtor accrual balances will automatically populate in cells P157-P160 on "1. CFR Return" tab, based on the populated accruals on "2. Accruals". Some Schools also operate a Debtors system and therefore will have a debtor control account balance which will need to be included under cell P170 and P171 on tab "1. CFR Return". Also check that the signage for the balances are correct.</t>
  </si>
  <si>
    <t>g</t>
  </si>
  <si>
    <t>-The creditor accrual balances will automatically populate in cells P161-P164 on "1. CFR Return" tab, based on the populated accruals on "2. Accruals". Some Schools also operate a Creditors system and therefore will have a creditor control account balance which will need to be included under cell P174 and P175 on tab "1. CFR Return". Also check that the signage for the balances are correct.</t>
  </si>
  <si>
    <t>h</t>
  </si>
  <si>
    <t>- Complete cells 177 and 178 on tab "1. CFR Return" where applicable</t>
  </si>
  <si>
    <t>i</t>
  </si>
  <si>
    <t>-Complete all the details within tab "4. Establishment"</t>
  </si>
  <si>
    <t>Ensure there is no difference within cell P182, within tab "1. CFR Return". This cell is a reconciliation between the top and bottom parts of the CFR. Any differences must be corrected before submitting to Schools Finance.</t>
  </si>
  <si>
    <t xml:space="preserve">Ensure there is no difference between the accruals total per income and expenditure analysis (CFR top section) O133 and the accruals in the balance sheet (accruals balance at the bottom of the return) cell P166 within tab "1. CFR Return". Any difference needs to be resolved before submission. Difference could be due to not all required fields being completed within the tab accruals. </t>
  </si>
  <si>
    <t>Complete and submit a signed copy of the summary sheet, tab CFR Return</t>
  </si>
  <si>
    <t>SIGN OFF</t>
  </si>
  <si>
    <t>I verify that all the above are completed and checked by the HT. The backup information requested will be attached with the return</t>
  </si>
  <si>
    <t>Signed</t>
  </si>
  <si>
    <t>(Headteacher)</t>
  </si>
  <si>
    <t>Print Name</t>
  </si>
  <si>
    <t>Date</t>
  </si>
  <si>
    <t>Birmingham Outturn Report 2025/26</t>
  </si>
  <si>
    <t>`</t>
  </si>
  <si>
    <t xml:space="preserve">Schools Name:                    </t>
  </si>
  <si>
    <t>Select School</t>
  </si>
  <si>
    <t>&lt;&lt;&lt;&lt;</t>
  </si>
  <si>
    <t>DfE No:</t>
  </si>
  <si>
    <t>ALL CELLS TO BE POPULATED BY SCHOOLS AS NECESSARY</t>
  </si>
  <si>
    <t>Reporting Period:</t>
  </si>
  <si>
    <t>Title</t>
  </si>
  <si>
    <t>2024/25 Outturn 
(£)</t>
  </si>
  <si>
    <t>2025/26 School Budget Plan Approved - Original
(£)</t>
  </si>
  <si>
    <t>2025/26 School Budget Plan virements 
(£)</t>
  </si>
  <si>
    <t>Revised 2025/26 School Budget Plan Approved after virements
(£)</t>
  </si>
  <si>
    <t>Cash Sheet - YTD</t>
  </si>
  <si>
    <t>Non-Cash Sheet - YTD</t>
  </si>
  <si>
    <t>2025/26
Actual Year to Date 
Position 
(Excluding Accruals)
(£)</t>
  </si>
  <si>
    <t>Debtors</t>
  </si>
  <si>
    <t>Creditors</t>
  </si>
  <si>
    <t>Payment in Advance</t>
  </si>
  <si>
    <t>Income in Advance</t>
  </si>
  <si>
    <t>Accruals</t>
  </si>
  <si>
    <t>2025/26
Actual Year to Date 
Position (inc Accruals) 
(£)</t>
  </si>
  <si>
    <t>% Actual against budget</t>
  </si>
  <si>
    <t xml:space="preserve"> % Actual compared to Total Inc/Exp</t>
  </si>
  <si>
    <t xml:space="preserve">Budget - Outturn Variance </t>
  </si>
  <si>
    <t xml:space="preserve"> Mandatory comment for variance &amp; any additional information </t>
  </si>
  <si>
    <t>Post submission changes
Position (inc Accruals) 
(£)</t>
  </si>
  <si>
    <t>Revised 2024-25 position
(£)</t>
  </si>
  <si>
    <t>Notes (Optional)</t>
  </si>
  <si>
    <t>REVENUE ACCOUNTS:</t>
  </si>
  <si>
    <t>Opening Revenue Balance [surplus/(deficit)]</t>
  </si>
  <si>
    <t>Income (revenue)</t>
  </si>
  <si>
    <t>I01</t>
  </si>
  <si>
    <t>Funds delegated by the local authority (LA)</t>
  </si>
  <si>
    <t>I02</t>
  </si>
  <si>
    <t>Funding for sixth form students</t>
  </si>
  <si>
    <t>I03</t>
  </si>
  <si>
    <t>High needs top-up funding</t>
  </si>
  <si>
    <t>I04</t>
  </si>
  <si>
    <t>Funding for minority ethnic pupils</t>
  </si>
  <si>
    <t>I05</t>
  </si>
  <si>
    <t>Pupil Premium</t>
  </si>
  <si>
    <t>I06</t>
  </si>
  <si>
    <t>Other government grants</t>
  </si>
  <si>
    <t>I07</t>
  </si>
  <si>
    <t>Other grants and payments received</t>
  </si>
  <si>
    <t>I08</t>
  </si>
  <si>
    <t>I08a</t>
  </si>
  <si>
    <t>Income from letting premises</t>
  </si>
  <si>
    <t>I08b</t>
  </si>
  <si>
    <t>Other income from facilities and services</t>
  </si>
  <si>
    <t>I09</t>
  </si>
  <si>
    <t>Income from catering</t>
  </si>
  <si>
    <t>I10</t>
  </si>
  <si>
    <t>Receipts from supply teacher insurance claims</t>
  </si>
  <si>
    <t>I11</t>
  </si>
  <si>
    <t>Receipts from other insurance claims</t>
  </si>
  <si>
    <t>I12</t>
  </si>
  <si>
    <t>Income from contributions to visits</t>
  </si>
  <si>
    <t>I13</t>
  </si>
  <si>
    <t>Donations and/or voluntary funds</t>
  </si>
  <si>
    <t>I15</t>
  </si>
  <si>
    <t>Pupil-focused extended school funding or grants</t>
  </si>
  <si>
    <t>Total Income (revenue)</t>
  </si>
  <si>
    <t>Expenditure (Revenue)</t>
  </si>
  <si>
    <t>E01</t>
  </si>
  <si>
    <t>Teaching staff</t>
  </si>
  <si>
    <t>E02</t>
  </si>
  <si>
    <t>Supply teaching staff</t>
  </si>
  <si>
    <t>E03</t>
  </si>
  <si>
    <t>Education support staff</t>
  </si>
  <si>
    <t>E04</t>
  </si>
  <si>
    <t>Premises staff</t>
  </si>
  <si>
    <t>E05</t>
  </si>
  <si>
    <t>Administrative and clerical staff</t>
  </si>
  <si>
    <t>E06</t>
  </si>
  <si>
    <t>Catering staff</t>
  </si>
  <si>
    <t>E07</t>
  </si>
  <si>
    <t>Cost of other staff</t>
  </si>
  <si>
    <t>E08</t>
  </si>
  <si>
    <t>Indirect employee expenses</t>
  </si>
  <si>
    <t>E09</t>
  </si>
  <si>
    <t>Staff development and training</t>
  </si>
  <si>
    <t>E10</t>
  </si>
  <si>
    <t>Supply teacher insurance</t>
  </si>
  <si>
    <t>E11</t>
  </si>
  <si>
    <t>Staff related insurance</t>
  </si>
  <si>
    <t>E12</t>
  </si>
  <si>
    <t>Building maintenance and improvement</t>
  </si>
  <si>
    <t>E13</t>
  </si>
  <si>
    <t>Grounds maintenance and improvement</t>
  </si>
  <si>
    <t>E14</t>
  </si>
  <si>
    <t>Cleaning and caretaking</t>
  </si>
  <si>
    <t>E15</t>
  </si>
  <si>
    <t>Water and sewerage</t>
  </si>
  <si>
    <t>E16</t>
  </si>
  <si>
    <t>Energy</t>
  </si>
  <si>
    <t>E17</t>
  </si>
  <si>
    <t>Rates</t>
  </si>
  <si>
    <t>E18</t>
  </si>
  <si>
    <t>Other occupation costs</t>
  </si>
  <si>
    <t>E19</t>
  </si>
  <si>
    <t>Learning resources</t>
  </si>
  <si>
    <t>E20</t>
  </si>
  <si>
    <t>E20A</t>
  </si>
  <si>
    <t>Connectivity</t>
  </si>
  <si>
    <t>E20B</t>
  </si>
  <si>
    <t>Onsite servers</t>
  </si>
  <si>
    <t>E20C</t>
  </si>
  <si>
    <t>IT learning resources</t>
  </si>
  <si>
    <t>E20D</t>
  </si>
  <si>
    <t>Administration software and systems</t>
  </si>
  <si>
    <t>E20E</t>
  </si>
  <si>
    <t>Laptops, desktops and tablets</t>
  </si>
  <si>
    <t>E20F</t>
  </si>
  <si>
    <t>Other hardware</t>
  </si>
  <si>
    <t>E20G</t>
  </si>
  <si>
    <t>IT support</t>
  </si>
  <si>
    <t>E21</t>
  </si>
  <si>
    <t>Examination fees</t>
  </si>
  <si>
    <t>E22</t>
  </si>
  <si>
    <t>Administrative supplies</t>
  </si>
  <si>
    <t>E23</t>
  </si>
  <si>
    <t>Other insurance premiums</t>
  </si>
  <si>
    <t>E24</t>
  </si>
  <si>
    <t>Special facilities</t>
  </si>
  <si>
    <t>E25</t>
  </si>
  <si>
    <t>Catering supplies</t>
  </si>
  <si>
    <t>E26</t>
  </si>
  <si>
    <t>Agency supply teaching staff</t>
  </si>
  <si>
    <t>E27</t>
  </si>
  <si>
    <t>Bought-in professional services - curriculum</t>
  </si>
  <si>
    <t>E28</t>
  </si>
  <si>
    <t>E28a</t>
  </si>
  <si>
    <t>Bought-in professional services - other(except PFI)</t>
  </si>
  <si>
    <t>E28b</t>
  </si>
  <si>
    <t>Bought-in professional services - other (PFI)</t>
  </si>
  <si>
    <t>E29</t>
  </si>
  <si>
    <t>Loan interest</t>
  </si>
  <si>
    <t>E30</t>
  </si>
  <si>
    <t>Direct revenue financing (revenue contributions to capital)</t>
  </si>
  <si>
    <t>Total Expenditure (revenue)</t>
  </si>
  <si>
    <t>In-year Revenue Balance [surplus/(deficit)]</t>
  </si>
  <si>
    <t>Closing Revenue Balance [surplus/(deficit)]</t>
  </si>
  <si>
    <t>CAPITAL ACCOUNTS:</t>
  </si>
  <si>
    <t>Opening Capital Balance [surplus/(deficit)]</t>
  </si>
  <si>
    <t>Income (Capital)</t>
  </si>
  <si>
    <t>CI01</t>
  </si>
  <si>
    <t>Capital Income</t>
  </si>
  <si>
    <t>CI03</t>
  </si>
  <si>
    <t>Voluntary or private income</t>
  </si>
  <si>
    <t>CI04</t>
  </si>
  <si>
    <t>Direct revenue financing</t>
  </si>
  <si>
    <t>Total Income (Capital)</t>
  </si>
  <si>
    <t>Expenditure (Capital)</t>
  </si>
  <si>
    <t>CE01</t>
  </si>
  <si>
    <t>Acquisition of land and existing buildings</t>
  </si>
  <si>
    <t>CE02</t>
  </si>
  <si>
    <t>New construction, conversion and renovation</t>
  </si>
  <si>
    <t>CE03</t>
  </si>
  <si>
    <t>Vehicles, plant, equipment and machinery</t>
  </si>
  <si>
    <t>CE04A</t>
  </si>
  <si>
    <t>CE04B</t>
  </si>
  <si>
    <t>CE04C</t>
  </si>
  <si>
    <t>CE04D</t>
  </si>
  <si>
    <t>Laptops, desktops, and tablets</t>
  </si>
  <si>
    <t>CE04</t>
  </si>
  <si>
    <t>CE04E</t>
  </si>
  <si>
    <t>Total Expenditure (Capital)</t>
  </si>
  <si>
    <t>In-year Capital Balance [surplus/(deficit)]</t>
  </si>
  <si>
    <t>Closing Capital Balance [surplus/(deficit)]</t>
  </si>
  <si>
    <t>COMMUNITY-FOCUSED SCHOOL REVENUE BALANCES:</t>
  </si>
  <si>
    <t>Opening Community-Focused Balance [surplus/(deficit)]</t>
  </si>
  <si>
    <t>Income (Community-Focused)</t>
  </si>
  <si>
    <t>I16</t>
  </si>
  <si>
    <t>Community-focused school funding or grants</t>
  </si>
  <si>
    <t>I17</t>
  </si>
  <si>
    <t>Community-focused school facilities income</t>
  </si>
  <si>
    <t>Total Income (Community-Focused)</t>
  </si>
  <si>
    <t>Expenditure (Community-Focused)</t>
  </si>
  <si>
    <t>E31</t>
  </si>
  <si>
    <t>Community-focused school staff</t>
  </si>
  <si>
    <t>E32</t>
  </si>
  <si>
    <t>Community-focused school costs</t>
  </si>
  <si>
    <t>Total Expenditure (Community-Focused)</t>
  </si>
  <si>
    <t>In-year Community-Focused Balance [surplus/(deficit)]</t>
  </si>
  <si>
    <t>Closing Community-Focused Balance [surplus/(deficit)]</t>
  </si>
  <si>
    <t>BREAKDOWN OF CLOSING BALANCES</t>
  </si>
  <si>
    <t>Balances</t>
  </si>
  <si>
    <t>B01</t>
  </si>
  <si>
    <t>Committed revenue balances</t>
  </si>
  <si>
    <t>B02</t>
  </si>
  <si>
    <t>Uncommitted revenue balances</t>
  </si>
  <si>
    <t>B03</t>
  </si>
  <si>
    <t>Devolved formula capital balance</t>
  </si>
  <si>
    <t>B05</t>
  </si>
  <si>
    <t>Other capital balances</t>
  </si>
  <si>
    <t>B06</t>
  </si>
  <si>
    <t>Community focused school revenue balances</t>
  </si>
  <si>
    <t>Total Closing Balance</t>
  </si>
  <si>
    <t>BALANCE SHEET</t>
  </si>
  <si>
    <t>Main Bank A/c</t>
  </si>
  <si>
    <t>Other Bank A/c</t>
  </si>
  <si>
    <t>Comments</t>
  </si>
  <si>
    <t>Main Bank A/c Adjustment</t>
  </si>
  <si>
    <t>Payroll Bank A/c Adjustment</t>
  </si>
  <si>
    <t xml:space="preserve">Main Bank A/c Revised </t>
  </si>
  <si>
    <t>Other Bank A/C</t>
  </si>
  <si>
    <t>Bank Balance as per attached statement</t>
  </si>
  <si>
    <t>Reconciling Items</t>
  </si>
  <si>
    <t>Less : Unpresented Cheques (enter as a positive)</t>
  </si>
  <si>
    <t>Add : Uncredited Receipts (enter as a positive)</t>
  </si>
  <si>
    <t>Reconciled Bank Balance</t>
  </si>
  <si>
    <t>Closing Petty Cash Balance</t>
  </si>
  <si>
    <t>VAT Reimbursement February 2026</t>
  </si>
  <si>
    <t>VAT Reimbursement 13/03/2026</t>
  </si>
  <si>
    <t>VAT Reimbursement other ( Please provide back up)</t>
  </si>
  <si>
    <t>Other adjustments ( Please provide full Back up)</t>
  </si>
  <si>
    <t>CLOSING BANK POSITION</t>
  </si>
  <si>
    <t>ACCRUALS, DEBTORS AND CREDITORS</t>
  </si>
  <si>
    <t>Debtors Non BCC</t>
  </si>
  <si>
    <t>(appear as debit balance)</t>
  </si>
  <si>
    <t>Debtors BCC</t>
  </si>
  <si>
    <t>Payment_in_advance Non BCC</t>
  </si>
  <si>
    <t>Payment_in_advance BCC</t>
  </si>
  <si>
    <t>Creditors Non BCC</t>
  </si>
  <si>
    <t>(appear as credit balance)</t>
  </si>
  <si>
    <t>Creditors BCC</t>
  </si>
  <si>
    <t>Income_in_advance Non BCC</t>
  </si>
  <si>
    <t>Income_in_advance BCC</t>
  </si>
  <si>
    <t>TOTAL ACCRUALS (FROM ACCRUAL SHEET)</t>
  </si>
  <si>
    <t>SYSTEM DEBTORS</t>
  </si>
  <si>
    <t>PLEASE PROVIDE BACKUP</t>
  </si>
  <si>
    <t>(enter as debit balance)</t>
  </si>
  <si>
    <t>Where schools entered a credit figure, this was moved to system creditors</t>
  </si>
  <si>
    <t>SYSTEM CREDITORS</t>
  </si>
  <si>
    <t>(enter as credit balance)</t>
  </si>
  <si>
    <t>Where schools entered a debit figure, this was moved to system debtors</t>
  </si>
  <si>
    <t>Non BCC Payroll Debtor</t>
  </si>
  <si>
    <t>Non BCC Payroll Creditor - costs</t>
  </si>
  <si>
    <t>CLOSING BALANCE SHEET</t>
  </si>
  <si>
    <t>DIFFERENCE</t>
  </si>
  <si>
    <t>MUST EQUAL £0</t>
  </si>
  <si>
    <t>SUPPLEMENTARY CHECKS AND INFORMATION</t>
  </si>
  <si>
    <t>Payroll check - BCC schools only</t>
  </si>
  <si>
    <t>Pay costs as per code E01-E08 and E31 - CFR Income and Expenditure 
(excluding accruals, as no accruals are expected for BCC payroll)</t>
  </si>
  <si>
    <t xml:space="preserve">Pay costs as per Payment schedule </t>
  </si>
  <si>
    <t>Difference</t>
  </si>
  <si>
    <t>Reason for difference - expecting Other costs under E08 paid through invoices</t>
  </si>
  <si>
    <t>Accruals Control Total</t>
  </si>
  <si>
    <t>Accruals as per Balance Sheet</t>
  </si>
  <si>
    <t xml:space="preserve">Accruals as per Income and Expenditure Statement </t>
  </si>
  <si>
    <t>Debtor accrual relating to monies in bank by 31 March 2025</t>
  </si>
  <si>
    <t>Confirm that is correct before you submit?</t>
  </si>
  <si>
    <t>Creditor accrual relating to monies  out of bank by 31 March 2025</t>
  </si>
  <si>
    <t>Date of Bank Rec completed by Schools</t>
  </si>
  <si>
    <t>This is needed by Schools Finance so that they are clear over the period.</t>
  </si>
  <si>
    <t>Unpresented cheques - cleared bank by 31/03/2025</t>
  </si>
  <si>
    <t>Uncredited receipts - cleared bank by 31/03/2025</t>
  </si>
  <si>
    <t xml:space="preserve">I verify that the information given is a true and complete statement. </t>
  </si>
  <si>
    <t>Reserve</t>
  </si>
  <si>
    <t>Jnl1</t>
  </si>
  <si>
    <t>Jnl 2</t>
  </si>
  <si>
    <t>I&amp;E</t>
  </si>
  <si>
    <t>Capital</t>
  </si>
  <si>
    <t>DFC</t>
  </si>
  <si>
    <t>Inc</t>
  </si>
  <si>
    <t>Exp</t>
  </si>
  <si>
    <t>ETA4</t>
  </si>
  <si>
    <t>Net Expenditure Journal</t>
  </si>
  <si>
    <t>DFE</t>
  </si>
  <si>
    <t>Cost Centre</t>
  </si>
  <si>
    <t>*Entity
(Enter this Mandatory field FIRST)</t>
  </si>
  <si>
    <t>*Cost Centre</t>
  </si>
  <si>
    <t>*Subjective</t>
  </si>
  <si>
    <t>*Fund</t>
  </si>
  <si>
    <t>*Project</t>
  </si>
  <si>
    <t>*Sub Analysis</t>
  </si>
  <si>
    <t>*Spare 1</t>
  </si>
  <si>
    <t>*Spare 2</t>
  </si>
  <si>
    <t>**Entered Debit</t>
  </si>
  <si>
    <t>**Entered Credit</t>
  </si>
  <si>
    <t>*Line Description</t>
  </si>
  <si>
    <t>Account</t>
  </si>
  <si>
    <t>CFR</t>
  </si>
  <si>
    <t>CFR Description</t>
  </si>
  <si>
    <t>Oracle Subjective</t>
  </si>
  <si>
    <t>Oracle Subjective Description</t>
  </si>
  <si>
    <t>RO</t>
  </si>
  <si>
    <t>B1</t>
  </si>
  <si>
    <t>ED1</t>
  </si>
  <si>
    <t>JZZZZZ</t>
  </si>
  <si>
    <t>TV1L0</t>
  </si>
  <si>
    <t>JZZZ</t>
  </si>
  <si>
    <t>JXXX</t>
  </si>
  <si>
    <t>Revenue</t>
  </si>
  <si>
    <t>8G00</t>
  </si>
  <si>
    <t>Misc. Income</t>
  </si>
  <si>
    <t>Other Income</t>
  </si>
  <si>
    <t>8F00</t>
  </si>
  <si>
    <t>Income from Rent</t>
  </si>
  <si>
    <t>Sales, Fees &amp; Charges</t>
  </si>
  <si>
    <t>8D01</t>
  </si>
  <si>
    <t xml:space="preserve">Fees &amp; Charges Services </t>
  </si>
  <si>
    <t>8D03</t>
  </si>
  <si>
    <t>Parental fees and charges</t>
  </si>
  <si>
    <t>8B00</t>
  </si>
  <si>
    <t>Contributions</t>
  </si>
  <si>
    <t>I01-I15 Non Cash Sheet Income</t>
  </si>
  <si>
    <t>Cheque Book Schools</t>
  </si>
  <si>
    <t>7Z69</t>
  </si>
  <si>
    <t>I01-I15 Cash Sheet Income</t>
  </si>
  <si>
    <t>Support &amp; Central Rechrg Income DSG</t>
  </si>
  <si>
    <t>1A01</t>
  </si>
  <si>
    <t>Salaries Teachers</t>
  </si>
  <si>
    <t>Employees</t>
  </si>
  <si>
    <t>Teaching Staff NI</t>
  </si>
  <si>
    <t>1C01</t>
  </si>
  <si>
    <t>NI Teachers</t>
  </si>
  <si>
    <t>Teaching Staff Superannuation</t>
  </si>
  <si>
    <t>1D01</t>
  </si>
  <si>
    <t>Superannuation Teachers</t>
  </si>
  <si>
    <t>Teaching Staff Apprentice Levy</t>
  </si>
  <si>
    <t>1H01</t>
  </si>
  <si>
    <t>Apprentice Levy</t>
  </si>
  <si>
    <t>Teaching Staff Voluntary and Compulsary Redundancy</t>
  </si>
  <si>
    <t>1G01</t>
  </si>
  <si>
    <t>Redundancy Payments</t>
  </si>
  <si>
    <t>E02-07</t>
  </si>
  <si>
    <t>Non Teaching Salary</t>
  </si>
  <si>
    <t>1A25</t>
  </si>
  <si>
    <t xml:space="preserve">Salaries Other Support Staff </t>
  </si>
  <si>
    <t>E02-E07</t>
  </si>
  <si>
    <t>Non Teaching NI</t>
  </si>
  <si>
    <t>1C25</t>
  </si>
  <si>
    <t>NI Other Support staff</t>
  </si>
  <si>
    <t>Non Teaching Superannuation</t>
  </si>
  <si>
    <t>1D25</t>
  </si>
  <si>
    <t xml:space="preserve">SuperAnn Oth Support Staff </t>
  </si>
  <si>
    <t>Non Teaching Apprentice Levy</t>
  </si>
  <si>
    <t>Non Teaching Voluntary and Compulsary Redundancy</t>
  </si>
  <si>
    <t>1G05</t>
  </si>
  <si>
    <t>Other Indirect Employee Expenses</t>
  </si>
  <si>
    <t>1G04</t>
  </si>
  <si>
    <t>Training</t>
  </si>
  <si>
    <t>1G31</t>
  </si>
  <si>
    <t>Supply Teacher Insurance</t>
  </si>
  <si>
    <t>Running Expenses</t>
  </si>
  <si>
    <t>1G30</t>
  </si>
  <si>
    <t>Employers Liability Insurance</t>
  </si>
  <si>
    <t>2A15</t>
  </si>
  <si>
    <t xml:space="preserve">Rep&amp;Maint Ad hoc Works </t>
  </si>
  <si>
    <t>2B00</t>
  </si>
  <si>
    <t>Grounds Maintenance</t>
  </si>
  <si>
    <t>2H00</t>
  </si>
  <si>
    <t>Cleaning- Materials &amp; Other expenses</t>
  </si>
  <si>
    <t>2F00</t>
  </si>
  <si>
    <t>Water Services</t>
  </si>
  <si>
    <t>2C03</t>
  </si>
  <si>
    <t>Energy Management</t>
  </si>
  <si>
    <t>2D02</t>
  </si>
  <si>
    <t>4A01</t>
  </si>
  <si>
    <t>Purchase of Materials &amp; Supplies</t>
  </si>
  <si>
    <t>4A0A</t>
  </si>
  <si>
    <t>Schools  Learning Resources Equipment</t>
  </si>
  <si>
    <t>4G05</t>
  </si>
  <si>
    <t>Computing</t>
  </si>
  <si>
    <t>4P00</t>
  </si>
  <si>
    <t>Supplies &amp; Services Miscellaneous</t>
  </si>
  <si>
    <t>2J00</t>
  </si>
  <si>
    <t>Premises Insurance</t>
  </si>
  <si>
    <t>4B0C</t>
  </si>
  <si>
    <t xml:space="preserve">Other Catering Supplies </t>
  </si>
  <si>
    <t>1F00</t>
  </si>
  <si>
    <t>Agency General</t>
  </si>
  <si>
    <t>Employees (Agency)</t>
  </si>
  <si>
    <t>4F11</t>
  </si>
  <si>
    <t>Professional Fees</t>
  </si>
  <si>
    <t>9D55</t>
  </si>
  <si>
    <t>Appropriation to Capital Adj Acc - RCCO</t>
  </si>
  <si>
    <t>E01-E30 Non Cash Sheet Expenditure</t>
  </si>
  <si>
    <t>6Z69</t>
  </si>
  <si>
    <t>E01-E30 Cash Sheet Expenditure</t>
  </si>
  <si>
    <t>Support and Central Recharges  DSG</t>
  </si>
  <si>
    <t>AU011</t>
  </si>
  <si>
    <t>TV20F</t>
  </si>
  <si>
    <t>Capital Income (DFC - holding account)</t>
  </si>
  <si>
    <t>AV06H</t>
  </si>
  <si>
    <t>R102</t>
  </si>
  <si>
    <t>EC0</t>
  </si>
  <si>
    <t>LV0000</t>
  </si>
  <si>
    <t>TZZZZ</t>
  </si>
  <si>
    <t>CI01-CI02</t>
  </si>
  <si>
    <t>Capital/Voluntary Income</t>
  </si>
  <si>
    <t>CAPINC Contributions from 3rd Party</t>
  </si>
  <si>
    <t>RZ09</t>
  </si>
  <si>
    <t>CI01 Cash Sheet Income</t>
  </si>
  <si>
    <t>CI01-CI04 Non Cash Sheet Income</t>
  </si>
  <si>
    <t>P002</t>
  </si>
  <si>
    <t>CAPEX-Acquisitions - Buildings</t>
  </si>
  <si>
    <t>P101</t>
  </si>
  <si>
    <t>CAPEX-New Construct Conversion  Renov</t>
  </si>
  <si>
    <t>P401</t>
  </si>
  <si>
    <t>CAPEX-Plant, Furniture &amp; Equipment</t>
  </si>
  <si>
    <t>P402</t>
  </si>
  <si>
    <t>IT</t>
  </si>
  <si>
    <t>CAPEX-Computer Hard and Software</t>
  </si>
  <si>
    <t>CE01-CE04 Non Cash Sheet Expenditure</t>
  </si>
  <si>
    <t>Community Focused</t>
  </si>
  <si>
    <t>I16-I17</t>
  </si>
  <si>
    <t>I16-I17 Non Cash Sheet Income</t>
  </si>
  <si>
    <t>E31-E32</t>
  </si>
  <si>
    <t>E31-E32 Non Cash Sheet Expenditure</t>
  </si>
  <si>
    <t>Schools Finance Budget Monitoring - Quarter 4 2024-25</t>
  </si>
  <si>
    <t>LA Data Sheet - 2024-25 Outturn</t>
  </si>
  <si>
    <t>SCHOOL DETAILS</t>
  </si>
  <si>
    <t>REVENUE ACCOUNTS</t>
  </si>
  <si>
    <t>CAPITAL ACCOUNTS</t>
  </si>
  <si>
    <t>COMMUNITY-FOCUSED SCHOOL REVENUE BALANCES</t>
  </si>
  <si>
    <t>CLOSING BALANCES</t>
  </si>
  <si>
    <t>BANK POSITION - MAIN</t>
  </si>
  <si>
    <t>BANK POSITION - OTHER</t>
  </si>
  <si>
    <t>ACCRUALS</t>
  </si>
  <si>
    <t>SYSTEMS DEBTORS</t>
  </si>
  <si>
    <t>SYSTEMS CREDITORS</t>
  </si>
  <si>
    <t>DfE Number</t>
  </si>
  <si>
    <t>Data</t>
  </si>
  <si>
    <t>Date of Closure</t>
  </si>
  <si>
    <t>Quarter</t>
  </si>
  <si>
    <t>Cost centre</t>
  </si>
  <si>
    <t>Total Funds delegated by the LA - SBS</t>
  </si>
  <si>
    <t>SEN funding (not for special schools) - SBS</t>
  </si>
  <si>
    <t>Other grants and payments</t>
  </si>
  <si>
    <t>Income from contributions to visits etc.</t>
  </si>
  <si>
    <t>Pupil focused extended school funding and/or grants</t>
  </si>
  <si>
    <t>TOTAL REVENUE INCOME</t>
  </si>
  <si>
    <t>Supply staff</t>
  </si>
  <si>
    <t>Development and training</t>
  </si>
  <si>
    <t>Learning resources (not ICT equipment)</t>
  </si>
  <si>
    <t>Exam fees</t>
  </si>
  <si>
    <t>TOTAL REVENUE EXPENDITURE</t>
  </si>
  <si>
    <t>Opening Revenue Balance</t>
  </si>
  <si>
    <t>IN-YEAR REVENUE BALANCE [surplus/(deficit)] (i)</t>
  </si>
  <si>
    <t>Closing Revenue Balance</t>
  </si>
  <si>
    <t>Capital income</t>
  </si>
  <si>
    <t>TOTAL CAPITAL INCOME</t>
  </si>
  <si>
    <t>New construction conversion and renovation</t>
  </si>
  <si>
    <t>TOTAL CAPITAL EXPENDITURE</t>
  </si>
  <si>
    <t>Opening Capital Balance</t>
  </si>
  <si>
    <t>IN-YEAR CAPITAL BALANCE [surplus/(deficit)]</t>
  </si>
  <si>
    <t>Closing Capital Balance</t>
  </si>
  <si>
    <t>Community-focused school funding and/or grants</t>
  </si>
  <si>
    <t>TOTAL COMMUNITY FOCUSED INCOME</t>
  </si>
  <si>
    <t>TOTAL COMMUNITY FOCUSED EXPENDITURE</t>
  </si>
  <si>
    <t>Opening Community focused Balance</t>
  </si>
  <si>
    <t>In-year Community focused balance</t>
  </si>
  <si>
    <t>Closing Community Focused Balance</t>
  </si>
  <si>
    <t>Devolved formula capital balances</t>
  </si>
  <si>
    <t>TOTAL CLOSING BALANCE</t>
  </si>
  <si>
    <t>Bank Balance</t>
  </si>
  <si>
    <t>Unpresented Cheques</t>
  </si>
  <si>
    <t>Uncredited Receipts</t>
  </si>
  <si>
    <t>VAT Reimbursement Outstanding - Feb 2026</t>
  </si>
  <si>
    <t>VAT Reimbursement Outstanding - Mar 2026</t>
  </si>
  <si>
    <t>VAT Reimbursement Outstanding - Other</t>
  </si>
  <si>
    <t>Other adjustments</t>
  </si>
  <si>
    <t>Closing Bank Position</t>
  </si>
  <si>
    <t>VAT Reimbursement Outstanding - Mar 2022</t>
  </si>
  <si>
    <t>Payment in advance Non BCC</t>
  </si>
  <si>
    <t>Payment in advance BCC</t>
  </si>
  <si>
    <t>Income in advance Non BCC</t>
  </si>
  <si>
    <t>Income in advance BCC</t>
  </si>
  <si>
    <t>Total Accruals</t>
  </si>
  <si>
    <t>NON BCC Payroll March debtor balance</t>
  </si>
  <si>
    <t>NON BCC Payroll March creditor balance</t>
  </si>
  <si>
    <t>DIFFERENCE - SHOULD BE £0</t>
  </si>
  <si>
    <t>2025/26 Outturn</t>
  </si>
  <si>
    <t>2024/25 Schools LA Funding Statement</t>
  </si>
  <si>
    <t>In-year Academy Conversions</t>
  </si>
  <si>
    <t>DfE #</t>
  </si>
  <si>
    <t>URN</t>
  </si>
  <si>
    <t>School</t>
  </si>
  <si>
    <t>Phase</t>
  </si>
  <si>
    <t>School Type</t>
  </si>
  <si>
    <t>C101</t>
  </si>
  <si>
    <t>Total</t>
  </si>
  <si>
    <t>0000</t>
  </si>
  <si>
    <t>AX001</t>
  </si>
  <si>
    <t>Adderley Nursery School</t>
  </si>
  <si>
    <t>Nursery</t>
  </si>
  <si>
    <t>Chq Bk</t>
  </si>
  <si>
    <t>AX085</t>
  </si>
  <si>
    <t>Adderley Primary School</t>
  </si>
  <si>
    <t>Primary</t>
  </si>
  <si>
    <t>AX002</t>
  </si>
  <si>
    <t>Al-Furqan Primary School</t>
  </si>
  <si>
    <t>AX087</t>
  </si>
  <si>
    <t>Allens Croft Nursery School</t>
  </si>
  <si>
    <t>AX004</t>
  </si>
  <si>
    <t>Allens Croft Primary School</t>
  </si>
  <si>
    <t>AX006</t>
  </si>
  <si>
    <t>Anderton Park Primary School</t>
  </si>
  <si>
    <t>AX007</t>
  </si>
  <si>
    <t>Anglesey Primary School</t>
  </si>
  <si>
    <t>AX008</t>
  </si>
  <si>
    <t>Arden Primary School</t>
  </si>
  <si>
    <t>AX00E</t>
  </si>
  <si>
    <t>Baskerville School</t>
  </si>
  <si>
    <t>Special</t>
  </si>
  <si>
    <t>AX04L</t>
  </si>
  <si>
    <t>Beeches Infant School</t>
  </si>
  <si>
    <t>AX04M</t>
  </si>
  <si>
    <t>Beeches Junior School</t>
  </si>
  <si>
    <t>AX00G</t>
  </si>
  <si>
    <t>Bellfield Infant School (NC)</t>
  </si>
  <si>
    <t>AX00H</t>
  </si>
  <si>
    <t>Bellfield Junior School</t>
  </si>
  <si>
    <t>AX08C</t>
  </si>
  <si>
    <t>Bishop Challoner Catholic College</t>
  </si>
  <si>
    <t>Secondary</t>
  </si>
  <si>
    <t>AX00R</t>
  </si>
  <si>
    <t>Bloomsbury Nursery School</t>
  </si>
  <si>
    <t>AX08G</t>
  </si>
  <si>
    <t>Boldmere Infant School and Nursery</t>
  </si>
  <si>
    <t>AX00T</t>
  </si>
  <si>
    <t>Boldmere Junior School</t>
  </si>
  <si>
    <t>AX08J</t>
  </si>
  <si>
    <t>Bordesley Green Girls' School &amp; Sixth Form</t>
  </si>
  <si>
    <t>AX08H</t>
  </si>
  <si>
    <t>Bordesley Green Primary School</t>
  </si>
  <si>
    <t>AX00X</t>
  </si>
  <si>
    <t>Bournville Village Primary</t>
  </si>
  <si>
    <t>AX00Y</t>
  </si>
  <si>
    <t>Braidwood School for the Deaf</t>
  </si>
  <si>
    <t>AX00Z</t>
  </si>
  <si>
    <t>Brearley Nursery School</t>
  </si>
  <si>
    <t>AX08N</t>
  </si>
  <si>
    <t>Broadmeadow Infant School</t>
  </si>
  <si>
    <t>Academy</t>
  </si>
  <si>
    <t>AX010</t>
  </si>
  <si>
    <t>Broadmeadow Junior School</t>
  </si>
  <si>
    <t>AX013</t>
  </si>
  <si>
    <t>Calshot Primary School</t>
  </si>
  <si>
    <t>AX08U</t>
  </si>
  <si>
    <t>Cardinal Wiseman Catholic School</t>
  </si>
  <si>
    <t>AX014</t>
  </si>
  <si>
    <t>Castle Vale Nursery School</t>
  </si>
  <si>
    <t>AX015</t>
  </si>
  <si>
    <t>Chad Vale Primary School</t>
  </si>
  <si>
    <t>AX017</t>
  </si>
  <si>
    <t>Cherry Oak School</t>
  </si>
  <si>
    <t>AX018</t>
  </si>
  <si>
    <t>Cherry Orchard Primary School</t>
  </si>
  <si>
    <t>AX08W</t>
  </si>
  <si>
    <t>Chilcote Primary School</t>
  </si>
  <si>
    <t>AX01A</t>
  </si>
  <si>
    <t>Christ Church CofE Controlled Primary School and Nursery</t>
  </si>
  <si>
    <t>AX019</t>
  </si>
  <si>
    <t>Christ The King Catholic Primary School</t>
  </si>
  <si>
    <t>AX073</t>
  </si>
  <si>
    <t>City of Birmingham School</t>
  </si>
  <si>
    <t>Pupil referral unit</t>
  </si>
  <si>
    <t>AX01B</t>
  </si>
  <si>
    <t>Clifton Primary School</t>
  </si>
  <si>
    <t>AX01D</t>
  </si>
  <si>
    <t>Cofton Primary School</t>
  </si>
  <si>
    <t>AX01E</t>
  </si>
  <si>
    <t>Colebourne Primary School</t>
  </si>
  <si>
    <t>AX091</t>
  </si>
  <si>
    <t>Colmers School and Sixth Form College</t>
  </si>
  <si>
    <t>AX092</t>
  </si>
  <si>
    <t>Colmore Infant and Nursery School</t>
  </si>
  <si>
    <t>AX093</t>
  </si>
  <si>
    <t>Colmore Junior School</t>
  </si>
  <si>
    <t>AX01H</t>
  </si>
  <si>
    <t>Corpus Christi Catholic Primary School</t>
  </si>
  <si>
    <t>AX01J</t>
  </si>
  <si>
    <t>Cotteridge Primary School</t>
  </si>
  <si>
    <t>AX01R</t>
  </si>
  <si>
    <t>Elms Farm Community Primary School</t>
  </si>
  <si>
    <t>AX01T</t>
  </si>
  <si>
    <t>English Martyrs' Catholic Primary School</t>
  </si>
  <si>
    <t>AX01X</t>
  </si>
  <si>
    <t>Featherstone Nursery School</t>
  </si>
  <si>
    <t>AX01W</t>
  </si>
  <si>
    <t>Featherstone Primary School</t>
  </si>
  <si>
    <t>AX01Z</t>
  </si>
  <si>
    <t>Forestdale Primary School</t>
  </si>
  <si>
    <t>AX020</t>
  </si>
  <si>
    <t>Four Oaks Primary School</t>
  </si>
  <si>
    <t>AX021</t>
  </si>
  <si>
    <t>Fox Hollies School</t>
  </si>
  <si>
    <t>AX023</t>
  </si>
  <si>
    <t>Garretts Green Nursery School</t>
  </si>
  <si>
    <t>AX026</t>
  </si>
  <si>
    <t>Gilbertstone Primary School</t>
  </si>
  <si>
    <t>AX027</t>
  </si>
  <si>
    <t>Glenmead Primary School</t>
  </si>
  <si>
    <t>Chq bk</t>
  </si>
  <si>
    <t>AX028</t>
  </si>
  <si>
    <t>Goodway Nursery School</t>
  </si>
  <si>
    <t>AX029</t>
  </si>
  <si>
    <t>Gracelands Nursery School</t>
  </si>
  <si>
    <t>AX02C</t>
  </si>
  <si>
    <t>Grendon Primary School</t>
  </si>
  <si>
    <t>AX02D</t>
  </si>
  <si>
    <t>Grove School</t>
  </si>
  <si>
    <t>AX02G</t>
  </si>
  <si>
    <t>Hall Green Infant School</t>
  </si>
  <si>
    <t>AX02H</t>
  </si>
  <si>
    <t>Hall Green Junior School</t>
  </si>
  <si>
    <t>AX02K</t>
  </si>
  <si>
    <t>Hamilton School</t>
  </si>
  <si>
    <t>AX02M</t>
  </si>
  <si>
    <t>Hawthorn Primary School</t>
  </si>
  <si>
    <t>AX02P</t>
  </si>
  <si>
    <t>Highfield Nursery School</t>
  </si>
  <si>
    <t>AX02R</t>
  </si>
  <si>
    <t>Highters Heath Nursery School</t>
  </si>
  <si>
    <t>AX0A1</t>
  </si>
  <si>
    <t>Hodge Hill College</t>
  </si>
  <si>
    <t>AX0A2</t>
  </si>
  <si>
    <t>Hodge Hill Girls' School</t>
  </si>
  <si>
    <t>AX02U</t>
  </si>
  <si>
    <t>Holly Hill Methodist CofE Infant School</t>
  </si>
  <si>
    <t>AX0A4</t>
  </si>
  <si>
    <t>Holte School</t>
  </si>
  <si>
    <t>AX02Y</t>
  </si>
  <si>
    <t>Holy Family Catholic Primary School</t>
  </si>
  <si>
    <t>AX0A7</t>
  </si>
  <si>
    <t>Jakeman Nursery School</t>
  </si>
  <si>
    <t>AX032</t>
  </si>
  <si>
    <t>James Watt Primary School</t>
  </si>
  <si>
    <t>AX036</t>
  </si>
  <si>
    <t>Kings Heath Secondary School</t>
  </si>
  <si>
    <t>AX03A</t>
  </si>
  <si>
    <t>Kings Norton Nursery School</t>
  </si>
  <si>
    <t>AX03B</t>
  </si>
  <si>
    <t>Kingsland Primary School (NC)</t>
  </si>
  <si>
    <t>AX03C</t>
  </si>
  <si>
    <t>Kingsthorne Primary School</t>
  </si>
  <si>
    <t>AX03D</t>
  </si>
  <si>
    <t>Kitwell Primary School</t>
  </si>
  <si>
    <t>AX03K</t>
  </si>
  <si>
    <t>Lindsworth School</t>
  </si>
  <si>
    <t>AX03L</t>
  </si>
  <si>
    <t>Little Sutton Primary School</t>
  </si>
  <si>
    <t>AX03M</t>
  </si>
  <si>
    <t>Longwill Primary School for Deaf Children</t>
  </si>
  <si>
    <t>AX0AN</t>
  </si>
  <si>
    <t>Lozells Junior and Infant School and Nursery</t>
  </si>
  <si>
    <t>AX03N</t>
  </si>
  <si>
    <t>Lyndon Green Infant School</t>
  </si>
  <si>
    <t>AX03P</t>
  </si>
  <si>
    <t>Lyndon Green Junior School</t>
  </si>
  <si>
    <t>AX03Q</t>
  </si>
  <si>
    <t>Maney Hill Primary School</t>
  </si>
  <si>
    <t>AX03W</t>
  </si>
  <si>
    <t>Marsh Hill Nursery School</t>
  </si>
  <si>
    <t>AX03V</t>
  </si>
  <si>
    <t>Marsh Hill Primary School</t>
  </si>
  <si>
    <t>AX03X</t>
  </si>
  <si>
    <t>Maryvale Catholic Primary School</t>
  </si>
  <si>
    <t>AX040</t>
  </si>
  <si>
    <t>Minworth Junior and Infant School</t>
  </si>
  <si>
    <t>AX041</t>
  </si>
  <si>
    <t>Moor Hall Primary School</t>
  </si>
  <si>
    <t>AX042</t>
  </si>
  <si>
    <t>Moseley Church of England Primary School</t>
  </si>
  <si>
    <t>AX0AW</t>
  </si>
  <si>
    <t>Moseley School and Sixth Form</t>
  </si>
  <si>
    <t>AX044</t>
  </si>
  <si>
    <t>Nelson Mandela School</t>
  </si>
  <si>
    <t>AX043</t>
  </si>
  <si>
    <t>Nelson Primary School</t>
  </si>
  <si>
    <t>AX045</t>
  </si>
  <si>
    <t>New Hall Primary School</t>
  </si>
  <si>
    <t>AX04B</t>
  </si>
  <si>
    <t>Osborne Nursery School</t>
  </si>
  <si>
    <t>AX04C</t>
  </si>
  <si>
    <t>Oscott Manor School</t>
  </si>
  <si>
    <t>AX04D</t>
  </si>
  <si>
    <t>Our Lady and St Rose of Lima Catholic Primary School</t>
  </si>
  <si>
    <t>AX04E</t>
  </si>
  <si>
    <t>Our Lady of Lourdes Catholic Primary School</t>
  </si>
  <si>
    <t>AX04N</t>
  </si>
  <si>
    <t>Perry Beeches Nursery School</t>
  </si>
  <si>
    <t>AX0BD</t>
  </si>
  <si>
    <t>Queensbridge School</t>
  </si>
  <si>
    <t>AX04W</t>
  </si>
  <si>
    <t>Redhill Primary School</t>
  </si>
  <si>
    <t>AX04X</t>
  </si>
  <si>
    <t>Rednal Hill Infant School</t>
  </si>
  <si>
    <t>AX04Y</t>
  </si>
  <si>
    <t>Rednal Hill Junior School</t>
  </si>
  <si>
    <t>AX04Z</t>
  </si>
  <si>
    <t>Regents Park Community Primary School</t>
  </si>
  <si>
    <t>AX052</t>
  </si>
  <si>
    <t>Rubery Nursery School</t>
  </si>
  <si>
    <t>AX0BK</t>
  </si>
  <si>
    <t>Selly Oak Trust School</t>
  </si>
  <si>
    <t>AX0BL</t>
  </si>
  <si>
    <t>Selly Park Girls' School</t>
  </si>
  <si>
    <t>AX054</t>
  </si>
  <si>
    <t>Severne Junior Infant and Nursery School</t>
  </si>
  <si>
    <t>AX055</t>
  </si>
  <si>
    <t>Shaw Hill Primary School</t>
  </si>
  <si>
    <t>AX056</t>
  </si>
  <si>
    <t>Shenley Fields Nursery School</t>
  </si>
  <si>
    <t>AX0BR</t>
  </si>
  <si>
    <t>Sladefield Infant School</t>
  </si>
  <si>
    <t>AX059</t>
  </si>
  <si>
    <t>Somerville Primary (NC) School</t>
  </si>
  <si>
    <t>AX05A</t>
  </si>
  <si>
    <t>Springfield House Community Special School</t>
  </si>
  <si>
    <t>AX061</t>
  </si>
  <si>
    <t>SS John &amp; Monica Catholic Primary School</t>
  </si>
  <si>
    <t>AX05C</t>
  </si>
  <si>
    <t>St Alban's Catholic Primary School</t>
  </si>
  <si>
    <t>AX05E</t>
  </si>
  <si>
    <t>St Anne's Catholic Primary School</t>
  </si>
  <si>
    <t>AX05H</t>
  </si>
  <si>
    <t>St Benedict's Primary School</t>
  </si>
  <si>
    <t>AX05J</t>
  </si>
  <si>
    <t>St Bernadette's Catholic Primary School</t>
  </si>
  <si>
    <t>AX05K</t>
  </si>
  <si>
    <t>St Bernard's Catholic Primary School</t>
  </si>
  <si>
    <t>AX05L</t>
  </si>
  <si>
    <t>St Catherine of Siena Catholic Primary School</t>
  </si>
  <si>
    <t>AX05P</t>
  </si>
  <si>
    <t>St Cuthbert's Catholic Primary School</t>
  </si>
  <si>
    <t>AX05Q</t>
  </si>
  <si>
    <t>St Dunstan's Catholic Primary School</t>
  </si>
  <si>
    <t>AX05U</t>
  </si>
  <si>
    <t>St Edward's Catholic Primary School</t>
  </si>
  <si>
    <t>AX05Y</t>
  </si>
  <si>
    <t>St Gerard's Catholic Primary School</t>
  </si>
  <si>
    <t>AX05Z</t>
  </si>
  <si>
    <t>St James Church of England Primary School, Handsworth</t>
  </si>
  <si>
    <t>AX063</t>
  </si>
  <si>
    <t>St John Wall Catholic School</t>
  </si>
  <si>
    <t>AX066</t>
  </si>
  <si>
    <t>St Jude's Catholic Primary School</t>
  </si>
  <si>
    <t>AX067</t>
  </si>
  <si>
    <t>St Laurence Church Infant School</t>
  </si>
  <si>
    <t>AX068</t>
  </si>
  <si>
    <t>St Laurence Church Junior School</t>
  </si>
  <si>
    <t>AX069</t>
  </si>
  <si>
    <t>St Margaret Mary Catholic Primary School</t>
  </si>
  <si>
    <t>AX06E</t>
  </si>
  <si>
    <t>St Mary's Catholic Primary School</t>
  </si>
  <si>
    <t>AX06D</t>
  </si>
  <si>
    <t>St Mary's Church of England Primary School</t>
  </si>
  <si>
    <t>AX06F</t>
  </si>
  <si>
    <t>St Matthew's CofE Primary School</t>
  </si>
  <si>
    <t>AX0C4</t>
  </si>
  <si>
    <t>St Paul's School for Girls</t>
  </si>
  <si>
    <t>AX06L</t>
  </si>
  <si>
    <t>St Peters CofE Primary School</t>
  </si>
  <si>
    <t>AX06N</t>
  </si>
  <si>
    <t>St Saviour's C of E Primary School</t>
  </si>
  <si>
    <t>AX06W</t>
  </si>
  <si>
    <t>Stanville Primary School</t>
  </si>
  <si>
    <t>AX06Y</t>
  </si>
  <si>
    <t>Stechford Primary School</t>
  </si>
  <si>
    <t>AX072</t>
  </si>
  <si>
    <t>Sundridge Primary School</t>
  </si>
  <si>
    <t>AX01M</t>
  </si>
  <si>
    <t>The Dame Ellen Pinsent School</t>
  </si>
  <si>
    <t>AX049</t>
  </si>
  <si>
    <t>The Oratory Roman Catholic Primary School</t>
  </si>
  <si>
    <t>AX04P</t>
  </si>
  <si>
    <t>The Pines School</t>
  </si>
  <si>
    <t>AX075</t>
  </si>
  <si>
    <t>Thornton Primary School</t>
  </si>
  <si>
    <t>AX07A</t>
  </si>
  <si>
    <t>Uffculme School</t>
  </si>
  <si>
    <t>AX0CG</t>
  </si>
  <si>
    <t>Victoria School</t>
  </si>
  <si>
    <t>AX0CH</t>
  </si>
  <si>
    <t>Walmley Infant School</t>
  </si>
  <si>
    <t>AX0CJ</t>
  </si>
  <si>
    <t>Walmley Junior School</t>
  </si>
  <si>
    <t>AX07B</t>
  </si>
  <si>
    <t>Ward End Primary School</t>
  </si>
  <si>
    <t>AX07E</t>
  </si>
  <si>
    <t>Water Mill Primary School</t>
  </si>
  <si>
    <t>AX0CL</t>
  </si>
  <si>
    <t>Welford Primary School</t>
  </si>
  <si>
    <t>AX07H</t>
  </si>
  <si>
    <t>Welsh House Farm Community School and Special Needs Resources Base</t>
  </si>
  <si>
    <t>AX07K</t>
  </si>
  <si>
    <t>West Heath Nursery School</t>
  </si>
  <si>
    <t>AX07P</t>
  </si>
  <si>
    <t>Wheelers Lane Primary School</t>
  </si>
  <si>
    <t>AX07N</t>
  </si>
  <si>
    <t>Wheelers Lane Technology College</t>
  </si>
  <si>
    <t>AX07Q</t>
  </si>
  <si>
    <t>Whitehouse Common Primary School</t>
  </si>
  <si>
    <t>AX07T</t>
  </si>
  <si>
    <t>William Murdoch Primary School</t>
  </si>
  <si>
    <t>AX07V</t>
  </si>
  <si>
    <t>Woodgate Primary School</t>
  </si>
  <si>
    <t>AX07W</t>
  </si>
  <si>
    <t>Woodthorpe Junior and Infant School</t>
  </si>
  <si>
    <t>AX07X</t>
  </si>
  <si>
    <t>World's End Infant and Nursery School</t>
  </si>
  <si>
    <t>AX0CQ</t>
  </si>
  <si>
    <t>World's End Junior School</t>
  </si>
  <si>
    <t>AX07Y</t>
  </si>
  <si>
    <t>Wylde Green Primary School</t>
  </si>
  <si>
    <t>AX080</t>
  </si>
  <si>
    <t>Yardley Primary School</t>
  </si>
  <si>
    <t>AX081</t>
  </si>
  <si>
    <t>Yardley Wood Community Primary School</t>
  </si>
  <si>
    <t>AX083</t>
  </si>
  <si>
    <t>Yorkmead Junior and Infant School</t>
  </si>
  <si>
    <t>AX00U</t>
  </si>
  <si>
    <t>Bordesley Green East Nursery School</t>
  </si>
  <si>
    <t>AX01G</t>
  </si>
  <si>
    <t>Coppice Primary School</t>
  </si>
  <si>
    <t>AX03E</t>
  </si>
  <si>
    <t>Ladypool Primary School</t>
  </si>
  <si>
    <t>AX03G</t>
  </si>
  <si>
    <t>Langley School</t>
  </si>
  <si>
    <t>AX05D</t>
  </si>
  <si>
    <t>St Ambrose Barlow Catholic Primary School</t>
  </si>
  <si>
    <t>AX07D</t>
  </si>
  <si>
    <t>Washwood Heath Nursery School</t>
  </si>
  <si>
    <t>AX07U</t>
  </si>
  <si>
    <t>Woodcock Hill Primary School</t>
  </si>
  <si>
    <t>AX00C</t>
  </si>
  <si>
    <t>Barford Primary School</t>
  </si>
  <si>
    <t>AX00F</t>
  </si>
  <si>
    <t>Beaufort School</t>
  </si>
  <si>
    <t>AX00J</t>
  </si>
  <si>
    <t>Bells Farm Primary School</t>
  </si>
  <si>
    <t>AX00Q</t>
  </si>
  <si>
    <t>Blakesley Hall Primary School</t>
  </si>
  <si>
    <t>AX01Q</t>
  </si>
  <si>
    <t>Edith Cadbury Nursery School</t>
  </si>
  <si>
    <t>AX025</t>
  </si>
  <si>
    <t>George Dixon Primary School</t>
  </si>
  <si>
    <t>AX02F</t>
  </si>
  <si>
    <t>Gunter Primary School</t>
  </si>
  <si>
    <t>AX02L</t>
  </si>
  <si>
    <t>Harborne Primary School</t>
  </si>
  <si>
    <t>AX09P</t>
  </si>
  <si>
    <t>Harper Bell Seventh-Day Adventist School</t>
  </si>
  <si>
    <t>AX02V</t>
  </si>
  <si>
    <t>Hollyfield Primary School</t>
  </si>
  <si>
    <t>AX035</t>
  </si>
  <si>
    <t>King David Junior and Infant School</t>
  </si>
  <si>
    <t>AX037</t>
  </si>
  <si>
    <t>Kings Heath Primary School</t>
  </si>
  <si>
    <t>AX03J</t>
  </si>
  <si>
    <t>Lillian de Lissa Nursery School</t>
  </si>
  <si>
    <t>AX03R</t>
  </si>
  <si>
    <t>Mapledene Primary School</t>
  </si>
  <si>
    <t>AX046</t>
  </si>
  <si>
    <t>New Oscott Primary School</t>
  </si>
  <si>
    <t>AX047</t>
  </si>
  <si>
    <t>Newtown Nursery School</t>
  </si>
  <si>
    <t>AX04J</t>
  </si>
  <si>
    <t>Park Hill Primary School</t>
  </si>
  <si>
    <t>AX04K</t>
  </si>
  <si>
    <t>Penns Primary School</t>
  </si>
  <si>
    <t>AX04Q</t>
  </si>
  <si>
    <t>Priestley Smith School</t>
  </si>
  <si>
    <t>AX04V</t>
  </si>
  <si>
    <t>Raddlebarn Primary School</t>
  </si>
  <si>
    <t>AX053</t>
  </si>
  <si>
    <t>Selly Oak Nursery School</t>
  </si>
  <si>
    <t>AX05F</t>
  </si>
  <si>
    <t>St Augustine's Catholic Primary School</t>
  </si>
  <si>
    <t>AX05N</t>
  </si>
  <si>
    <t>St Clare's Catholic Primary School</t>
  </si>
  <si>
    <t>AX05V</t>
  </si>
  <si>
    <t>St Francis Catholic Primary School</t>
  </si>
  <si>
    <t>AX06B</t>
  </si>
  <si>
    <t>St Martin de Porres Catholic Primary School</t>
  </si>
  <si>
    <t>AX06H</t>
  </si>
  <si>
    <t>St Patrick and St Edmund's Catholic Primary School</t>
  </si>
  <si>
    <t>AX06P</t>
  </si>
  <si>
    <t>St Teresa's Catholic Primary School</t>
  </si>
  <si>
    <t>AX06R</t>
  </si>
  <si>
    <t>St Thomas Centre Nursery School</t>
  </si>
  <si>
    <t>AX06U</t>
  </si>
  <si>
    <t>St Vincent's Catholic Primary School</t>
  </si>
  <si>
    <t>AX03Z</t>
  </si>
  <si>
    <t>The Meadows Primary School</t>
  </si>
  <si>
    <t>AX07J</t>
  </si>
  <si>
    <t>Weoley Castle Nursery School</t>
  </si>
  <si>
    <t>AX07L</t>
  </si>
  <si>
    <t>West Heath Primary School</t>
  </si>
  <si>
    <t>Cash Advances paid to schools outside of budget share</t>
  </si>
  <si>
    <t>Backup:</t>
  </si>
  <si>
    <t>https://birminghamcitycouncil.sharepoint.com/sites/SchoolFairfundingTeam/Shared%20Documents/Schools%20Funding%20Team%202025-26/School%20Funding/Cash%20Advances/P1%20April</t>
  </si>
  <si>
    <t>https://birminghamcitycouncil.sharepoint.com/sites/SchoolFairfundingTeam/Shared%20Documents/Schools%20Funding%20Team%202025-26/School%20Funding/Cash%20Advances/P2%20May</t>
  </si>
  <si>
    <t>https://birminghamcitycouncil.sharepoint.com/sites/SchoolFairfundingTeam/Shared%20Documents/Schools%20Funding%20Team%202025-26/School%20Funding/Cash%20Advances/P3%20Jun</t>
  </si>
  <si>
    <t>https://birminghamcitycouncil.sharepoint.com/sites/SchoolFairfundingTeam/Shared%20Documents/Schools%20Funding%20Team%202025-26/School%20Funding/Cash%20Advances/P4%20Jul</t>
  </si>
  <si>
    <t>External Banking Deficits Owed</t>
  </si>
  <si>
    <t>Budget Share Advances</t>
  </si>
  <si>
    <t>Bank</t>
  </si>
  <si>
    <t>Final 24/25 Revenue Balance</t>
  </si>
  <si>
    <t>Final 24/25 Capital Balance</t>
  </si>
  <si>
    <t>Final 24/25 Reserve Position</t>
  </si>
  <si>
    <t>Deficit to be repaid by school</t>
  </si>
  <si>
    <t>Total amount owed by school</t>
  </si>
  <si>
    <t>External</t>
  </si>
  <si>
    <t>Barclays</t>
  </si>
  <si>
    <t xml:space="preserve"> Barclays</t>
  </si>
  <si>
    <t>EPA</t>
  </si>
  <si>
    <t>Non Chq Bk</t>
  </si>
  <si>
    <t>Control Check</t>
  </si>
  <si>
    <t xml:space="preserve"> DFF-WGA CounterParty ID (CPID)</t>
  </si>
  <si>
    <t>Source</t>
  </si>
  <si>
    <t>Line Reference</t>
  </si>
  <si>
    <t>Accruals Tab</t>
  </si>
  <si>
    <t>DMAA</t>
  </si>
  <si>
    <t>CFR Return - System Accruals</t>
  </si>
  <si>
    <t>170</t>
  </si>
  <si>
    <t>DY00</t>
  </si>
  <si>
    <t>171</t>
  </si>
  <si>
    <t>FMAA</t>
  </si>
  <si>
    <t>174</t>
  </si>
  <si>
    <t>FY00</t>
  </si>
  <si>
    <t>175</t>
  </si>
  <si>
    <t>177</t>
  </si>
  <si>
    <t>178</t>
  </si>
  <si>
    <t>All cells to be populated as necessary</t>
  </si>
  <si>
    <t>BCC</t>
  </si>
  <si>
    <t>Select from drop down list</t>
  </si>
  <si>
    <t>Non BCC</t>
  </si>
  <si>
    <t xml:space="preserve"> </t>
  </si>
  <si>
    <t>Accrual Details</t>
  </si>
  <si>
    <t>Select Type</t>
  </si>
  <si>
    <t>BCC or Non BCC</t>
  </si>
  <si>
    <t>CFR Code</t>
  </si>
  <si>
    <t>Amount excl. VAT (Positive Values)</t>
  </si>
  <si>
    <r>
      <t xml:space="preserve">Name of supplier, BCC service or BCC school
(Max 50 Characters) 
</t>
    </r>
    <r>
      <rPr>
        <b/>
        <sz val="10"/>
        <color rgb="FFFF0000"/>
        <rFont val="Arial"/>
        <family val="2"/>
      </rPr>
      <t>Do not use punctuation</t>
    </r>
  </si>
  <si>
    <r>
      <t xml:space="preserve">Description (Max 50 Characters) 
</t>
    </r>
    <r>
      <rPr>
        <b/>
        <sz val="10"/>
        <color rgb="FFFF0000"/>
        <rFont val="Arial"/>
        <family val="2"/>
      </rPr>
      <t>Do not use punctuation</t>
    </r>
  </si>
  <si>
    <t>Type of Creditor / Income in Advance</t>
  </si>
  <si>
    <t>Type of Debtor / Payment in Advance</t>
  </si>
  <si>
    <t xml:space="preserve">CPID required </t>
  </si>
  <si>
    <t>CPID 
(if required)</t>
  </si>
  <si>
    <t>RELPTY 
(if necessary)</t>
  </si>
  <si>
    <t>CPID / RELPTY Reference</t>
  </si>
  <si>
    <t xml:space="preserve">Back Up ref.no. </t>
  </si>
  <si>
    <t>KEEP FOR BBC ACCRUALS</t>
  </si>
  <si>
    <t>Birmingham City Council</t>
  </si>
  <si>
    <t>FY00 - Internal creditors</t>
  </si>
  <si>
    <t>BCC SF1</t>
  </si>
  <si>
    <t>BCC SF2</t>
  </si>
  <si>
    <t>BCC SF3</t>
  </si>
  <si>
    <t>BCC SF4</t>
  </si>
  <si>
    <t>BCC SF5</t>
  </si>
  <si>
    <t>BCC SF6</t>
  </si>
  <si>
    <t>BCC SF7</t>
  </si>
  <si>
    <t>BCC SF8</t>
  </si>
  <si>
    <t>BCC SF9</t>
  </si>
  <si>
    <t>BCC SF10</t>
  </si>
  <si>
    <t>BCC SF11</t>
  </si>
  <si>
    <t>BCC SF12</t>
  </si>
  <si>
    <t>BCC SF13</t>
  </si>
  <si>
    <t>BCC SF14</t>
  </si>
  <si>
    <t>BCC SF15</t>
  </si>
  <si>
    <t>BCC SF16</t>
  </si>
  <si>
    <t>BCC SF17</t>
  </si>
  <si>
    <t>BCC SF18</t>
  </si>
  <si>
    <t>BCC SF19</t>
  </si>
  <si>
    <t>BCC SF20</t>
  </si>
  <si>
    <t>BCC SF21</t>
  </si>
  <si>
    <t>BCC SF22</t>
  </si>
  <si>
    <t>BCC SF23</t>
  </si>
  <si>
    <t>BCC SF24</t>
  </si>
  <si>
    <t>BCC SF25</t>
  </si>
  <si>
    <t>BCC SF26</t>
  </si>
  <si>
    <t>BCC SF27</t>
  </si>
  <si>
    <t>BCC SF28</t>
  </si>
  <si>
    <t>BCC SF29</t>
  </si>
  <si>
    <t>BCC SF30</t>
  </si>
  <si>
    <t>BCC SF31</t>
  </si>
  <si>
    <t>BCC SF32</t>
  </si>
  <si>
    <t>BCC SF33</t>
  </si>
  <si>
    <t>BCC SF34</t>
  </si>
  <si>
    <t>BCC SF35</t>
  </si>
  <si>
    <t>BCC SF36</t>
  </si>
  <si>
    <t>BCC SF37</t>
  </si>
  <si>
    <t>BCC SF38</t>
  </si>
  <si>
    <t>BCC SF39</t>
  </si>
  <si>
    <t>BCC SF40</t>
  </si>
  <si>
    <t>BCC SF41</t>
  </si>
  <si>
    <t>BCC SF42</t>
  </si>
  <si>
    <t>BCC SF43</t>
  </si>
  <si>
    <t>BCC SF44</t>
  </si>
  <si>
    <t>BCC SF45</t>
  </si>
  <si>
    <t>BCC SF46</t>
  </si>
  <si>
    <t>BCC SF47</t>
  </si>
  <si>
    <t>BCC SF48</t>
  </si>
  <si>
    <t>BCC SF49</t>
  </si>
  <si>
    <t>BCC SF50</t>
  </si>
  <si>
    <t>BCC SF51</t>
  </si>
  <si>
    <t>BCC SF52</t>
  </si>
  <si>
    <t>BCC SF53</t>
  </si>
  <si>
    <t>BCC SF54</t>
  </si>
  <si>
    <t>BCC SF55</t>
  </si>
  <si>
    <t>BCC SF56</t>
  </si>
  <si>
    <t>BCC SF57</t>
  </si>
  <si>
    <t>BCC SF58</t>
  </si>
  <si>
    <t>BCC SF59</t>
  </si>
  <si>
    <t>BCC SF60</t>
  </si>
  <si>
    <t>BCC SF61</t>
  </si>
  <si>
    <t>BCC SF62</t>
  </si>
  <si>
    <t>BCC SF63</t>
  </si>
  <si>
    <t>BCC SF64</t>
  </si>
  <si>
    <t>BCC SF65</t>
  </si>
  <si>
    <t>BCC SF66</t>
  </si>
  <si>
    <t>BCC SF67</t>
  </si>
  <si>
    <t>BCC SF68</t>
  </si>
  <si>
    <t>Passenger Transport service</t>
  </si>
  <si>
    <t>Apprenticeship Levy  February- March 22/23</t>
  </si>
  <si>
    <t>Free school meal Feb - March</t>
  </si>
  <si>
    <t xml:space="preserve">Term 3 Pay and Contracts </t>
  </si>
  <si>
    <t>Insurance 2021/22</t>
  </si>
  <si>
    <t>Waste Collection - General Waste Collection Charge</t>
  </si>
  <si>
    <t>PFI</t>
  </si>
  <si>
    <t>Waste Collection - Fleet Services</t>
  </si>
  <si>
    <t>Pool Hire - Spring Term 2026</t>
  </si>
  <si>
    <t>City Serve Spring 26</t>
  </si>
  <si>
    <t xml:space="preserve">E19 </t>
  </si>
  <si>
    <t>Schools Name</t>
  </si>
  <si>
    <t>Amount</t>
  </si>
  <si>
    <t>Department</t>
  </si>
  <si>
    <t>Description</t>
  </si>
  <si>
    <t xml:space="preserve">Total </t>
  </si>
  <si>
    <t>General Waste collection charge 2025-26</t>
  </si>
  <si>
    <t>2 x 1100 litres continental containers@£14.96 x 50 weeks</t>
  </si>
  <si>
    <t>Q4 Electricty Recharge - PFI</t>
  </si>
  <si>
    <t>Q4 Gas Recharge - PFI</t>
  </si>
  <si>
    <t>Q4 Water Recharge - PFI</t>
  </si>
  <si>
    <t>6 x 1100 litres continental containers@£14.96 x 50 weeks</t>
  </si>
  <si>
    <t>7 x 1100 litres continental containers@£14.96 x 42 weeks</t>
  </si>
  <si>
    <t>Cityserve - 3rd term Catering Estimate - Jan 26 to Mar 26</t>
  </si>
  <si>
    <t>10.1 x 1100 litres continental containers@£14.96 x 46 weeks</t>
  </si>
  <si>
    <t>Pool Hire - Spring 2026</t>
  </si>
  <si>
    <t xml:space="preserve">Hire of pool at Linden Road £118.00 per week total weeks vary due to site closure - Spring Term 2026 </t>
  </si>
  <si>
    <t>Hire of Pool at Linden Road £236.00 per week. Total weeks this term vary due to site closure - Spring Term 2026</t>
  </si>
  <si>
    <t>3 x 1100 litres continental containers@£19.20 x 46 weeks</t>
  </si>
  <si>
    <t>2 x 1100 litres continental containers@£14.96 x 52 weeks</t>
  </si>
  <si>
    <t>Hire of Pool at Linden Road £59.00 per week. Total weeks this term vary due to site closure - Spring Term 2026</t>
  </si>
  <si>
    <t>Hire of Pool at Handsworth Wellbeing Centre £236 per wk x 11 wks this term - Spring Term 2026</t>
  </si>
  <si>
    <t>1 x 1100 litres continental containers@£14.96 x 52 weeks</t>
  </si>
  <si>
    <t>6 x 1100 litres continental containers@£14.96 x 39 weeks</t>
  </si>
  <si>
    <t>5 x 1100 litres continental containers@£14.96 x 48 weeks</t>
  </si>
  <si>
    <t>14 x 1100 litres continental containers@£14.96 x 46 weeks</t>
  </si>
  <si>
    <t>Hire of Pool at Handsworth Wellbeing Centre £708 per wk x 11 wks this term - Spring Term 2026</t>
  </si>
  <si>
    <t>Cityserve - Select provisions estimate for Nov25, Dec25, Jan26,Feb26 &amp; Mar26</t>
  </si>
  <si>
    <t>4 x 1100 litres continental containers@£14.96 x 46 weeks</t>
  </si>
  <si>
    <t>4 x 1100 litres continental containers@£14.96 x 43 weeks</t>
  </si>
  <si>
    <t>Hire of Pool at Handsworth Wellbeing Centre £59.00 per Wk x 11 wks this term - Spring Term 2026</t>
  </si>
  <si>
    <t>3 x 1100 litres continental containers@£14.96 x 39 weeks</t>
  </si>
  <si>
    <t>5 x 1100 litres continental containers@£19.20 x 42 weeks</t>
  </si>
  <si>
    <t>Hire of Pool at Handsworth Wellbeing Centre £118.00 per Wk x 11 wks this term - Spring Term 2026</t>
  </si>
  <si>
    <t>7 x 1100 litres continental containers@£14.96 x 40 weeks</t>
  </si>
  <si>
    <t>Hire of Pool at Kingstanding Wellbeing Centre £236 per wk x 11 wks this term - Spring Term 2026</t>
  </si>
  <si>
    <t>5 x 1100 litres continental containers@£14.96 x 42 weeks</t>
  </si>
  <si>
    <t>4 x 1100 litres continental containers@£14.96 x 40 weeks</t>
  </si>
  <si>
    <t>6 x 1100 litres continental containers@£14.96 x 42 weeks</t>
  </si>
  <si>
    <t>2 x 1100 litres continental containers@£14.96 x 46 weeks</t>
  </si>
  <si>
    <t>3 x 1100 litres continental containers@£14.96 x 46 weeks</t>
  </si>
  <si>
    <t>8 x 1100 litres continental containers@£14.96 x 46 weeks</t>
  </si>
  <si>
    <t>5 x 1100 litres continental containers@£14.96 x 46 weeks</t>
  </si>
  <si>
    <t>2 x 1100 litres continental containers@£14.96 x 40 weeks</t>
  </si>
  <si>
    <t>3 x 1100 litres continental containers@£14.96 x 41 weeks</t>
  </si>
  <si>
    <t>Hire of Pool at Linden Road £236.00  per week. Total weeks this term vary due to site closure - Spring Term 2026</t>
  </si>
  <si>
    <t>3 x 1100 litres continental containers@£14.96 x 47 weeks</t>
  </si>
  <si>
    <t>2 x 1100 litres continental containers@£14.96 x 41 weeks</t>
  </si>
  <si>
    <t>7 x 1100 litres continental containers@£14.96 x 46 weeks</t>
  </si>
  <si>
    <t>Vehicle Maintenance Charges 25/26</t>
  </si>
  <si>
    <t>3 x 1100 litres continental containers@£14.96 x 48 weeks</t>
  </si>
  <si>
    <t>4 x 1100 litres continental containers@£14.96 x 42 weeks</t>
  </si>
  <si>
    <t>3 x 1100 litres continental containers@£14.96 x 40 weeks</t>
  </si>
  <si>
    <t>10 x 1100 litres continental containers@£14.96 x 47 weeks</t>
  </si>
  <si>
    <t>Hire of Pool at Handsworth Wellbeing Centre £77.00 per Wk x 11 wks this term plus £330 additional teacher - Spring Term 2026</t>
  </si>
  <si>
    <t>Cityserve - Select provisions estimate for Feb26 &amp; Mar26</t>
  </si>
  <si>
    <t>1 x 1280 litres continental containers@£14.96 x 39 weeks</t>
  </si>
  <si>
    <t xml:space="preserve">Hire of Pool at Linden Road £177.00 per week. Total weeks this term vary due to site closure - Spring Term 2026 </t>
  </si>
  <si>
    <t>7 x 1100 litres continental containers@£14.96 x 45 weeks</t>
  </si>
  <si>
    <t>4 x 1100 litres continental containers@£14.96 x 44 weeks</t>
  </si>
  <si>
    <t xml:space="preserve">BANK POSITION - PAYROLL </t>
  </si>
  <si>
    <t>Date copied</t>
  </si>
  <si>
    <t>income from the COVID-19 catch-up</t>
  </si>
  <si>
    <t>Income from other additional grants</t>
  </si>
  <si>
    <t>VAT Reimbursement Outstanding - Feb 2022</t>
  </si>
  <si>
    <t>Debtors Non LBR</t>
  </si>
  <si>
    <t>Debtors LBR</t>
  </si>
  <si>
    <t>Payment in advance Non LBR</t>
  </si>
  <si>
    <t>Payment in advance LBR</t>
  </si>
  <si>
    <t>Creditors Non LBR</t>
  </si>
  <si>
    <t>Creditors LBR</t>
  </si>
  <si>
    <t>Income in advance Non LBR</t>
  </si>
  <si>
    <t>Income in advance LBR</t>
  </si>
  <si>
    <t>NON LBR Payroll March creditor balance</t>
  </si>
  <si>
    <t>NON LBR Payroll March debtor balance</t>
  </si>
  <si>
    <t>I18C</t>
  </si>
  <si>
    <t>I18D</t>
  </si>
  <si>
    <t>2022-23 Outturn</t>
  </si>
  <si>
    <t>Income from the Coronavirus Job Retention Scheme</t>
  </si>
  <si>
    <t>Income from the DfE grant scheme for reimbursing exceptional costs</t>
  </si>
  <si>
    <t>ICT learning resources</t>
  </si>
  <si>
    <t>Information and communication technology</t>
  </si>
  <si>
    <t>I18A</t>
  </si>
  <si>
    <t>I18B</t>
  </si>
  <si>
    <t>Schools Finance Budget Monitoring - Quarter 4 2022-23</t>
  </si>
  <si>
    <t>2025/26 Budget after Virements</t>
  </si>
  <si>
    <t>Estab Number</t>
  </si>
  <si>
    <t>CC</t>
  </si>
  <si>
    <t>BalanceSheet</t>
  </si>
  <si>
    <t>Payment in advance</t>
  </si>
  <si>
    <t>Income in advance</t>
  </si>
  <si>
    <t>FAAA - Creditors central gov</t>
  </si>
  <si>
    <t>CPID Required</t>
  </si>
  <si>
    <t>DAAA - Debtors Central Government</t>
  </si>
  <si>
    <t>Quarter 1</t>
  </si>
  <si>
    <t>Accrual</t>
  </si>
  <si>
    <t>YES</t>
  </si>
  <si>
    <t>FAAA</t>
  </si>
  <si>
    <t>Creditors central gov</t>
  </si>
  <si>
    <t>DAAA</t>
  </si>
  <si>
    <t>Debtors Central Government</t>
  </si>
  <si>
    <t>HMRA - LT creditors revenue</t>
  </si>
  <si>
    <t>DBAA - Other Local Authorities</t>
  </si>
  <si>
    <t>Quarter 2</t>
  </si>
  <si>
    <t>NO</t>
  </si>
  <si>
    <t>HMRA</t>
  </si>
  <si>
    <t>LT creditors revenue</t>
  </si>
  <si>
    <t>DBAA</t>
  </si>
  <si>
    <t>Other Local Authorities</t>
  </si>
  <si>
    <t>FBCF - Other local auth</t>
  </si>
  <si>
    <t>DCAA - NHS</t>
  </si>
  <si>
    <t>Quarter 3</t>
  </si>
  <si>
    <t>FBCF</t>
  </si>
  <si>
    <t>Other local auth</t>
  </si>
  <si>
    <t>DCAA</t>
  </si>
  <si>
    <t>NHS</t>
  </si>
  <si>
    <t>FCAA - Creditors NHS</t>
  </si>
  <si>
    <t>DCAC - Other Public Sector</t>
  </si>
  <si>
    <t>Payment_in_advance</t>
  </si>
  <si>
    <t>FCAA</t>
  </si>
  <si>
    <t>Creditors NHS</t>
  </si>
  <si>
    <t>DCAC</t>
  </si>
  <si>
    <t>Other Public Sector</t>
  </si>
  <si>
    <t>FCAC - Cred other public sector</t>
  </si>
  <si>
    <t>DMAA - Non-Public Sector</t>
  </si>
  <si>
    <t>Income_in_advance</t>
  </si>
  <si>
    <t>Devolved Formula Capital</t>
  </si>
  <si>
    <t>FCAC</t>
  </si>
  <si>
    <t>Cred other public sector</t>
  </si>
  <si>
    <t>Non-Public Sector</t>
  </si>
  <si>
    <t xml:space="preserve">FMAA - Cred non public sector </t>
  </si>
  <si>
    <t>DMAD - Payment in Advance</t>
  </si>
  <si>
    <t>Other Capital</t>
  </si>
  <si>
    <t xml:space="preserve">Cred non public sector </t>
  </si>
  <si>
    <t>DMAD</t>
  </si>
  <si>
    <t>FMAD - Creditors reciept in adv</t>
  </si>
  <si>
    <t>DY00 - Curr Asst Debtors-Internal BCC</t>
  </si>
  <si>
    <t>FMAD</t>
  </si>
  <si>
    <t>Creditors reciept in adv</t>
  </si>
  <si>
    <t>Curr Asst Debtors-Internal BCC</t>
  </si>
  <si>
    <t>FMP2 - Acivico/BCC -manual creditors-rev</t>
  </si>
  <si>
    <t>DMP2 - Acivico/BCC- Manual debtor Revenue</t>
  </si>
  <si>
    <t>FMP2</t>
  </si>
  <si>
    <t>Acivico/BCC -manual creditors-rev</t>
  </si>
  <si>
    <t>DMP2</t>
  </si>
  <si>
    <t>Acivico/BCC- Manual debtor Revenue</t>
  </si>
  <si>
    <t xml:space="preserve">FE00 - Cred salaries (6BA0)- NOT for agency </t>
  </si>
  <si>
    <t>DE00 - Salaries and Wages</t>
  </si>
  <si>
    <t>FE00</t>
  </si>
  <si>
    <t xml:space="preserve">Cred salaries (6BA0)- NOT for agency </t>
  </si>
  <si>
    <t>DE00</t>
  </si>
  <si>
    <t>Salaries and Wages</t>
  </si>
  <si>
    <t>DMV0 - Housing Benefits</t>
  </si>
  <si>
    <t>Internal creditors</t>
  </si>
  <si>
    <t>DMV0</t>
  </si>
  <si>
    <t>Housing Benefits</t>
  </si>
  <si>
    <t>FKAA - Creditor where BCC is accountable body</t>
  </si>
  <si>
    <t>DMT0 - Rents</t>
  </si>
  <si>
    <t>FKAA</t>
  </si>
  <si>
    <t>Creditor where BCC is accountable body</t>
  </si>
  <si>
    <t>DMT0</t>
  </si>
  <si>
    <t>Rents</t>
  </si>
  <si>
    <t>DMG0 - Council HSE Tenants</t>
  </si>
  <si>
    <t>DMG0</t>
  </si>
  <si>
    <t>Council HSE Tenants</t>
  </si>
  <si>
    <t>DMM1 - Carefirst debt Non-BCC</t>
  </si>
  <si>
    <t>DMM1</t>
  </si>
  <si>
    <t>Carefirst debt Non-BCC</t>
  </si>
  <si>
    <t>DKAA - BCC is Accountable Body</t>
  </si>
  <si>
    <t>DKAA</t>
  </si>
  <si>
    <t>BCC is Accountable Body</t>
  </si>
  <si>
    <t>BKAA - Long Term Assets Long Term Debtors</t>
  </si>
  <si>
    <t>BKAA</t>
  </si>
  <si>
    <t>Long Term Assets Long Term Debtors</t>
  </si>
  <si>
    <t>DDEA - EuroRegDevFund</t>
  </si>
  <si>
    <t>AX00K</t>
  </si>
  <si>
    <t>Benson Community School</t>
  </si>
  <si>
    <t>DDEA</t>
  </si>
  <si>
    <t>EuroRegDevFund</t>
  </si>
  <si>
    <t>EME0 - Cash in Transit</t>
  </si>
  <si>
    <t>EME0</t>
  </si>
  <si>
    <t>Cash in Transit</t>
  </si>
  <si>
    <t>AX01L</t>
  </si>
  <si>
    <t>Court Farm Primary School</t>
  </si>
  <si>
    <t>AX01N</t>
  </si>
  <si>
    <t>Deykin Avenue Junior and Infant School</t>
  </si>
  <si>
    <t>Kings Heath Boys</t>
  </si>
  <si>
    <t>AX04H</t>
  </si>
  <si>
    <t>Paget Primary School</t>
  </si>
  <si>
    <t>AX06M</t>
  </si>
  <si>
    <t>St Peter's Catholic Primary School</t>
  </si>
  <si>
    <t>AX070</t>
  </si>
  <si>
    <t>Story Wood School</t>
  </si>
  <si>
    <t>AX071</t>
  </si>
  <si>
    <t>Summerfield School</t>
  </si>
  <si>
    <t>AX0C8</t>
  </si>
  <si>
    <t>Swanshurst School</t>
  </si>
  <si>
    <t>AX07F</t>
  </si>
  <si>
    <t>Wattville Primary School</t>
  </si>
  <si>
    <t>Schools Finance Budget Monitoring - Closure 2024-25</t>
  </si>
  <si>
    <t>Employes</t>
  </si>
  <si>
    <t>Running</t>
  </si>
  <si>
    <t>Agency</t>
  </si>
  <si>
    <t>Sales, Fees &amp; charges</t>
  </si>
  <si>
    <t>Other income</t>
  </si>
  <si>
    <t>System Accruals</t>
  </si>
  <si>
    <t xml:space="preserve">Total accruals </t>
  </si>
  <si>
    <t>Capital A</t>
  </si>
  <si>
    <t>Capital B</t>
  </si>
  <si>
    <t>2024-25 Outturn</t>
  </si>
  <si>
    <t>784,552.79</t>
  </si>
  <si>
    <t>181,585.30</t>
  </si>
  <si>
    <t>0.00</t>
  </si>
  <si>
    <t>351,829.02</t>
  </si>
  <si>
    <t>164,136.54</t>
  </si>
  <si>
    <t>TOTAL</t>
  </si>
  <si>
    <t>Training School</t>
  </si>
  <si>
    <t>Schools Year-end Outturn (CFR)</t>
  </si>
  <si>
    <t>Estab #</t>
  </si>
  <si>
    <t>3301027</t>
  </si>
  <si>
    <t>3302010</t>
  </si>
  <si>
    <t>3305949</t>
  </si>
  <si>
    <t>3301017</t>
  </si>
  <si>
    <t>3302153</t>
  </si>
  <si>
    <t>3302062</t>
  </si>
  <si>
    <t>3302479</t>
  </si>
  <si>
    <t>3302300</t>
  </si>
  <si>
    <t>3302014</t>
  </si>
  <si>
    <t>3307016</t>
  </si>
  <si>
    <t>3307052</t>
  </si>
  <si>
    <t>13.03.26</t>
  </si>
  <si>
    <t>3302017</t>
  </si>
  <si>
    <t>09.03.2026</t>
  </si>
  <si>
    <t>3302016</t>
  </si>
  <si>
    <t>3302239</t>
  </si>
  <si>
    <t>13.3.26</t>
  </si>
  <si>
    <t>3302241</t>
  </si>
  <si>
    <t>3302456</t>
  </si>
  <si>
    <t>3305413</t>
  </si>
  <si>
    <t>3302254</t>
  </si>
  <si>
    <t>13th March 2026</t>
  </si>
  <si>
    <t>3301025</t>
  </si>
  <si>
    <t>3302402</t>
  </si>
  <si>
    <t>3302401</t>
  </si>
  <si>
    <t>3301001</t>
  </si>
  <si>
    <t>3304115</t>
  </si>
  <si>
    <t>3302030</t>
  </si>
  <si>
    <t>13.03.2026</t>
  </si>
  <si>
    <t>3303353</t>
  </si>
  <si>
    <t>3307030</t>
  </si>
  <si>
    <t>3301002</t>
  </si>
  <si>
    <t>3302465</t>
  </si>
  <si>
    <t>3304801</t>
  </si>
  <si>
    <t>3301048</t>
  </si>
  <si>
    <t>3302312</t>
  </si>
  <si>
    <t>3307051</t>
  </si>
  <si>
    <t>3302040</t>
  </si>
  <si>
    <t>3302251</t>
  </si>
  <si>
    <t>3303002</t>
  </si>
  <si>
    <t>3303319</t>
  </si>
  <si>
    <t>3301100</t>
  </si>
  <si>
    <t>3303432</t>
  </si>
  <si>
    <t>3302289</t>
  </si>
  <si>
    <t>3302185</t>
  </si>
  <si>
    <t>3305416</t>
  </si>
  <si>
    <t>3302054</t>
  </si>
  <si>
    <t>3302053</t>
  </si>
  <si>
    <t>3302464</t>
  </si>
  <si>
    <t>3303320</t>
  </si>
  <si>
    <t>3302055</t>
  </si>
  <si>
    <t>3301802</t>
  </si>
  <si>
    <t>3302454</t>
  </si>
  <si>
    <t>3303321</t>
  </si>
  <si>
    <t>3301026</t>
  </si>
  <si>
    <t>3302294</t>
  </si>
  <si>
    <t>3302486</t>
  </si>
  <si>
    <t>18.03.26</t>
  </si>
  <si>
    <t>3303435</t>
  </si>
  <si>
    <t>3307050</t>
  </si>
  <si>
    <t>3301006</t>
  </si>
  <si>
    <t>3302079</t>
  </si>
  <si>
    <t>3302081</t>
  </si>
  <si>
    <t>3302296</t>
  </si>
  <si>
    <t>3301015</t>
  </si>
  <si>
    <t>3301022</t>
  </si>
  <si>
    <t>3302087</t>
  </si>
  <si>
    <t>3302466</t>
  </si>
  <si>
    <t>3302091</t>
  </si>
  <si>
    <t>3302093</t>
  </si>
  <si>
    <t>3302092</t>
  </si>
  <si>
    <t>3307006</t>
  </si>
  <si>
    <t>3302477</t>
  </si>
  <si>
    <t>3303436</t>
  </si>
  <si>
    <t>3302099</t>
  </si>
  <si>
    <t>3301010</t>
  </si>
  <si>
    <t>3301021</t>
  </si>
  <si>
    <t>3304201</t>
  </si>
  <si>
    <t>3304015</t>
  </si>
  <si>
    <t>3303411</t>
  </si>
  <si>
    <t>3302474</t>
  </si>
  <si>
    <t>3304223</t>
  </si>
  <si>
    <t>3303317</t>
  </si>
  <si>
    <t>3301023</t>
  </si>
  <si>
    <t>3302015</t>
  </si>
  <si>
    <t>3303352</t>
  </si>
  <si>
    <t>3304063</t>
  </si>
  <si>
    <t>3302005</t>
  </si>
  <si>
    <t>3301016</t>
  </si>
  <si>
    <t>3302115</t>
  </si>
  <si>
    <t>3302441</t>
  </si>
  <si>
    <t>3302321</t>
  </si>
  <si>
    <t>3302189</t>
  </si>
  <si>
    <t>3307060</t>
  </si>
  <si>
    <t>3301024</t>
  </si>
  <si>
    <t>3307062</t>
  </si>
  <si>
    <t>3302462</t>
  </si>
  <si>
    <t>3307012</t>
  </si>
  <si>
    <t>3302127</t>
  </si>
  <si>
    <t>3302129</t>
  </si>
  <si>
    <t>3302128</t>
  </si>
  <si>
    <t>3302420</t>
  </si>
  <si>
    <t>3302004</t>
  </si>
  <si>
    <t>3301012</t>
  </si>
  <si>
    <t>3302133</t>
  </si>
  <si>
    <t>3302406</t>
  </si>
  <si>
    <t>3302416</t>
  </si>
  <si>
    <t>3303003</t>
  </si>
  <si>
    <t>16.03.2026</t>
  </si>
  <si>
    <t>3304245</t>
  </si>
  <si>
    <t>3302457</t>
  </si>
  <si>
    <t>3302142</t>
  </si>
  <si>
    <t>3302469</t>
  </si>
  <si>
    <t>3301028</t>
  </si>
  <si>
    <t>3301049</t>
  </si>
  <si>
    <t>3303351</t>
  </si>
  <si>
    <t>3303328</t>
  </si>
  <si>
    <t>3302150</t>
  </si>
  <si>
    <t>3302425</t>
  </si>
  <si>
    <t>3301008</t>
  </si>
  <si>
    <t>3307034</t>
  </si>
  <si>
    <t>3304173</t>
  </si>
  <si>
    <t>3302157</t>
  </si>
  <si>
    <t>3302159</t>
  </si>
  <si>
    <t>3302161</t>
  </si>
  <si>
    <t>3302160</t>
  </si>
  <si>
    <t>3302063</t>
  </si>
  <si>
    <t>3301018</t>
  </si>
  <si>
    <t>3301000</t>
  </si>
  <si>
    <t>3307033</t>
  </si>
  <si>
    <t>3304177</t>
  </si>
  <si>
    <t>3302169</t>
  </si>
  <si>
    <t>3302008</t>
  </si>
  <si>
    <t>3301038</t>
  </si>
  <si>
    <t>3302174</t>
  </si>
  <si>
    <t>3302176</t>
  </si>
  <si>
    <t>3307047</t>
  </si>
  <si>
    <t>3303410</t>
  </si>
  <si>
    <t>3303381</t>
  </si>
  <si>
    <t>3303335</t>
  </si>
  <si>
    <t>3302183</t>
  </si>
  <si>
    <t>3303372</t>
  </si>
  <si>
    <t>3303375</t>
  </si>
  <si>
    <t>3303331</t>
  </si>
  <si>
    <t>3303386</t>
  </si>
  <si>
    <t>3303363</t>
  </si>
  <si>
    <t>3303355</t>
  </si>
  <si>
    <t>3303367</t>
  </si>
  <si>
    <t>3303010</t>
  </si>
  <si>
    <t>3304625</t>
  </si>
  <si>
    <t>3303377</t>
  </si>
  <si>
    <t>3303371</t>
  </si>
  <si>
    <t>3303307</t>
  </si>
  <si>
    <t>3303361</t>
  </si>
  <si>
    <t>3303382</t>
  </si>
  <si>
    <t>3303344</t>
  </si>
  <si>
    <t>3303025</t>
  </si>
  <si>
    <t>3303016</t>
  </si>
  <si>
    <t>3303346</t>
  </si>
  <si>
    <t>3304606</t>
  </si>
  <si>
    <t>3303428</t>
  </si>
  <si>
    <t>3303019</t>
  </si>
  <si>
    <t>3301009</t>
  </si>
  <si>
    <t>3302178</t>
  </si>
  <si>
    <t>3302184</t>
  </si>
  <si>
    <t>3302190</t>
  </si>
  <si>
    <t>3307035</t>
  </si>
  <si>
    <t>3307045</t>
  </si>
  <si>
    <t>12.03.26</t>
  </si>
  <si>
    <t>3302192</t>
  </si>
  <si>
    <t>3307014</t>
  </si>
  <si>
    <t>3307009</t>
  </si>
  <si>
    <t>3305203</t>
  </si>
  <si>
    <t>3305202</t>
  </si>
  <si>
    <t>3302108</t>
  </si>
  <si>
    <t>3301019</t>
  </si>
  <si>
    <t>3302306</t>
  </si>
  <si>
    <t>3302308</t>
  </si>
  <si>
    <t>3302245</t>
  </si>
  <si>
    <t>3301020</t>
  </si>
  <si>
    <t>3301014</t>
  </si>
  <si>
    <t>3302019</t>
  </si>
  <si>
    <t>3302011</t>
  </si>
  <si>
    <t>3304193</t>
  </si>
  <si>
    <t>3302478</t>
  </si>
  <si>
    <t>3302293</t>
  </si>
  <si>
    <t>3302445</t>
  </si>
  <si>
    <t>3302278</t>
  </si>
  <si>
    <t>3302317</t>
  </si>
  <si>
    <t>3302225</t>
  </si>
  <si>
    <t>3302412</t>
  </si>
  <si>
    <t>3303421</t>
  </si>
  <si>
    <t>3302227</t>
  </si>
  <si>
    <t>3302231</t>
  </si>
  <si>
    <t>Items populated by schools. This includes reapportionments of CFR codes for amounts pre-populated in the return by Schools Finance, plus school level income and expenditure.</t>
  </si>
  <si>
    <t>Oracle Ledger Codes</t>
  </si>
  <si>
    <t>Establishment</t>
  </si>
  <si>
    <t>2025/26</t>
  </si>
  <si>
    <t>Establishment Information</t>
  </si>
  <si>
    <t xml:space="preserve">Needs to be completed by every schools </t>
  </si>
  <si>
    <t xml:space="preserve">Teaching staff  </t>
  </si>
  <si>
    <t xml:space="preserve">Non Teaching staff  </t>
  </si>
  <si>
    <t xml:space="preserve">Teaching staff FTE </t>
  </si>
  <si>
    <t>Non teaching Staff FTE</t>
  </si>
  <si>
    <t>Employers National Insurance</t>
  </si>
  <si>
    <t>Employers Pension Contribution</t>
  </si>
  <si>
    <t>Apprenticeship Levy</t>
  </si>
  <si>
    <t>Voluntary Redundancy</t>
  </si>
  <si>
    <t>Compulsory Redundancy</t>
  </si>
  <si>
    <t>£0.00 - £39,999</t>
  </si>
  <si>
    <t>£40,000 - £49,999</t>
  </si>
  <si>
    <t>£50,000 - £59,999</t>
  </si>
  <si>
    <t>£60,000 - £69,999</t>
  </si>
  <si>
    <t>£70,000 - £79,999</t>
  </si>
  <si>
    <t>£80,000 - £89,999</t>
  </si>
  <si>
    <t>£90,000 - £99,999</t>
  </si>
  <si>
    <t>£100,000 - £109,999</t>
  </si>
  <si>
    <t>£110,000 - 119,999</t>
  </si>
  <si>
    <t>£120,000 +</t>
  </si>
  <si>
    <t>£</t>
  </si>
  <si>
    <t xml:space="preserve">Contingent Assets and Liabilities </t>
  </si>
  <si>
    <t>No of claims</t>
  </si>
  <si>
    <t>Provisions £</t>
  </si>
  <si>
    <t>Advertising &amp; Publicity</t>
  </si>
  <si>
    <t>2024/25</t>
  </si>
  <si>
    <t xml:space="preserve">Staff Advertising </t>
  </si>
  <si>
    <t>Publicity, Information, Promotion</t>
  </si>
  <si>
    <t>Publications - Non Promotional</t>
  </si>
  <si>
    <t>Public Relations</t>
  </si>
  <si>
    <t>Use of Resources</t>
  </si>
  <si>
    <t>Fund Type</t>
  </si>
  <si>
    <t xml:space="preserve">Projects / commitments description </t>
  </si>
  <si>
    <t>Amount
£</t>
  </si>
  <si>
    <t>Supplier / Contractor (if known)</t>
  </si>
  <si>
    <t>Expected date of delivery (DD/MM/YYYY)</t>
  </si>
  <si>
    <t>Total Revenue</t>
  </si>
  <si>
    <t>Total Devolved Formula Capital</t>
  </si>
  <si>
    <t xml:space="preserve">Total Other Capital </t>
  </si>
  <si>
    <t xml:space="preserve">Total Revenue Commitments </t>
  </si>
  <si>
    <t xml:space="preserve">Total Devolved Formula Capital Commitments </t>
  </si>
  <si>
    <t xml:space="preserve">Total Other Capital Commitments </t>
  </si>
  <si>
    <t>Debtor GL</t>
  </si>
  <si>
    <t>Creditor GL</t>
  </si>
  <si>
    <t>All ledger / journal TEXT lines MUST begin with CPID (Copy and Paste below):</t>
  </si>
  <si>
    <t>CPID</t>
  </si>
  <si>
    <t>Name (Search / filter on this cell to find any organisation):</t>
  </si>
  <si>
    <t>Type</t>
  </si>
  <si>
    <t>Commonly used by BCC</t>
  </si>
  <si>
    <t>Common Comment</t>
  </si>
  <si>
    <t>CPID 22/23 list vs 23/24 list (both BCC Internal)</t>
  </si>
  <si>
    <t>CPIDCAD022 Academies</t>
  </si>
  <si>
    <t>CPIDCAD022</t>
  </si>
  <si>
    <t>CAD022</t>
  </si>
  <si>
    <t>Academies</t>
  </si>
  <si>
    <t>Commonly used</t>
  </si>
  <si>
    <t>All academy schools use this single CPID</t>
  </si>
  <si>
    <t>No Change</t>
  </si>
  <si>
    <t>CPIDBBC048 BBC Free to View (Satellite) Ltd</t>
  </si>
  <si>
    <t>CPIDBBC048</t>
  </si>
  <si>
    <t>BBC048</t>
  </si>
  <si>
    <t>BBC Free to View (Satellite) Ltd</t>
  </si>
  <si>
    <t>British Broadcasting Corporation</t>
  </si>
  <si>
    <t>CPIDBBC048 BBC Free to View Ltd</t>
  </si>
  <si>
    <t>BBC Free to View Ltd</t>
  </si>
  <si>
    <t>CPIDBBC048 BBC Licence Fee</t>
  </si>
  <si>
    <t>BBC Licence Fee</t>
  </si>
  <si>
    <t>CPIDBBC048 BBC News Ltd</t>
  </si>
  <si>
    <t>BBC News Ltd</t>
  </si>
  <si>
    <t>CPIDBBC048 BBC Property Development Ltd</t>
  </si>
  <si>
    <t>BBC Property Development Ltd</t>
  </si>
  <si>
    <t>CPIDBBC048 BBC Property Investment Ltd</t>
  </si>
  <si>
    <t>BBC Property Investment Ltd</t>
  </si>
  <si>
    <t>CPIDBBC048 BBC Property Ltd</t>
  </si>
  <si>
    <t>BBC Property Ltd</t>
  </si>
  <si>
    <t>CPIDBBC048 BBC World Service</t>
  </si>
  <si>
    <t>BBC World Service</t>
  </si>
  <si>
    <t>CPIDBBC048 British Broadcasting Corporation</t>
  </si>
  <si>
    <t>CPIDBBC048 Broadcasters’ Audience Research Board Ltd</t>
  </si>
  <si>
    <t>Broadcasters’ Audience Research Board Ltd</t>
  </si>
  <si>
    <t>CPIDBBC048 Children in Need Ltd</t>
  </si>
  <si>
    <t>Children in Need Ltd</t>
  </si>
  <si>
    <t>CPIDBBC048 DSHS Ltd</t>
  </si>
  <si>
    <t>DSHS Ltd</t>
  </si>
  <si>
    <t>CPIDBBC048 DTT Multiplex Operators Ltd</t>
  </si>
  <si>
    <t>DTT Multiplex Operators Ltd</t>
  </si>
  <si>
    <t>CPIDBBC048 Joint Industry Grading Scheme Ltd</t>
  </si>
  <si>
    <t>Joint Industry Grading Scheme Ltd</t>
  </si>
  <si>
    <t>CPIDBBC048 Media Applications Technologies Ltd</t>
  </si>
  <si>
    <t>Media Applications Technologies Ltd</t>
  </si>
  <si>
    <t>CPIDBBC048 Mortimer Productions Ltd</t>
  </si>
  <si>
    <t>Mortimer Productions Ltd</t>
  </si>
  <si>
    <t>CPIDBBC048 The Commonwealth Broadcasting Association</t>
  </si>
  <si>
    <t>The Commonwealth Broadcasting Association</t>
  </si>
  <si>
    <t>CPIDCAB010 Advisory Committee on Business Appointments</t>
  </si>
  <si>
    <t>CPIDCAB010</t>
  </si>
  <si>
    <t>CAB010</t>
  </si>
  <si>
    <t>Advisory Committee on Business Appointments</t>
  </si>
  <si>
    <t>Cabinet Office</t>
  </si>
  <si>
    <t>CPIDCAB010 Boundary Commission for England</t>
  </si>
  <si>
    <t>Boundary Commission for England</t>
  </si>
  <si>
    <t>CPIDCAB010 Boundary Commission for Wales</t>
  </si>
  <si>
    <t>Boundary Commission for Wales</t>
  </si>
  <si>
    <t>CPIDCAB010 Cabinet Office</t>
  </si>
  <si>
    <t>CPIDCAB010 Committee on Standards in Public Life</t>
  </si>
  <si>
    <t>Committee on Standards in Public Life</t>
  </si>
  <si>
    <t>CPIDCAB010 House of Lords Appointments Commission</t>
  </si>
  <si>
    <t>House of Lords Appointments Commission</t>
  </si>
  <si>
    <t>CPIDCAB010 Main Honours Advisory Committee</t>
  </si>
  <si>
    <t>Main Honours Advisory Committee</t>
  </si>
  <si>
    <t>CPIDCAB010 Office of the Commissioner for Public Appointments</t>
  </si>
  <si>
    <t>Office of the Commissioner for Public Appointments</t>
  </si>
  <si>
    <t>CPIDCAB010 Security Vetting Appeals Panel</t>
  </si>
  <si>
    <t>Security Vetting Appeals Panel</t>
  </si>
  <si>
    <t>CPIDCAB010 Senior Salaries Review Body</t>
  </si>
  <si>
    <t>Senior Salaries Review Body</t>
  </si>
  <si>
    <t>CPIDCSS010 Civil Service Commission</t>
  </si>
  <si>
    <t>CPIDCSS010</t>
  </si>
  <si>
    <t>CSS010</t>
  </si>
  <si>
    <t>Civil Service Commission</t>
  </si>
  <si>
    <t>CPIDEHR064 Equality and Human Rights Commission</t>
  </si>
  <si>
    <t>CPIDEHR064</t>
  </si>
  <si>
    <t>EHR064</t>
  </si>
  <si>
    <t>Equality and Human Rights Commission</t>
  </si>
  <si>
    <t>CPIDGPA010 Government Property Agency</t>
  </si>
  <si>
    <t>CPIDGPA010</t>
  </si>
  <si>
    <t>GPA010</t>
  </si>
  <si>
    <t>Government Property Agency</t>
  </si>
  <si>
    <t>CPIDORC010 The Registrar of Consultant Lobbyists</t>
  </si>
  <si>
    <t>CPIDORC010</t>
  </si>
  <si>
    <t>ORC010</t>
  </si>
  <si>
    <t>The Registrar of Consultant Lobbyists</t>
  </si>
  <si>
    <t>CPIDCOF888 Consolidated Fund</t>
  </si>
  <si>
    <t>CPIDCOF888</t>
  </si>
  <si>
    <t>COF888</t>
  </si>
  <si>
    <t>Consolidated Fund</t>
  </si>
  <si>
    <t>Central Fund</t>
  </si>
  <si>
    <t>CPIDCTF888 Contingencies Fund</t>
  </si>
  <si>
    <t>CPIDCTF888</t>
  </si>
  <si>
    <t>CTF888</t>
  </si>
  <si>
    <t>Contingencies Fund</t>
  </si>
  <si>
    <t>CPIDDMA888 Debt Management Accounts</t>
  </si>
  <si>
    <t>CPIDDMA888</t>
  </si>
  <si>
    <t>DMA888</t>
  </si>
  <si>
    <t>Debt Management Accounts</t>
  </si>
  <si>
    <t>CPIDEEA888 Exchange Equalisation Account</t>
  </si>
  <si>
    <t>CPIDEEA888</t>
  </si>
  <si>
    <t>EEA888</t>
  </si>
  <si>
    <t>Exchange Equalisation Account</t>
  </si>
  <si>
    <t>CPIDHLF048 National Lottery Heritage Fund (formerly Heritage Lottery Fund)</t>
  </si>
  <si>
    <t>CPIDHLF048</t>
  </si>
  <si>
    <t>HLF048</t>
  </si>
  <si>
    <t>National Lottery Heritage Fund (formerly Heritage Lottery Fund)</t>
  </si>
  <si>
    <t>CPIDIIF848 Northern Ireland National Insurance Fund</t>
  </si>
  <si>
    <t>CPIDIIF848</t>
  </si>
  <si>
    <t>IIF848</t>
  </si>
  <si>
    <t>Northern Ireland National Insurance Fund</t>
  </si>
  <si>
    <t>CPIDNIF822 National Insurance Fund</t>
  </si>
  <si>
    <t>CPIDNIF822</t>
  </si>
  <si>
    <t>NIF822</t>
  </si>
  <si>
    <t>National Insurance Fund</t>
  </si>
  <si>
    <t>CPIDNLF888 National Loans Fund</t>
  </si>
  <si>
    <t>CPIDNLF888</t>
  </si>
  <si>
    <t>NLF888</t>
  </si>
  <si>
    <t>National Loans Fund</t>
  </si>
  <si>
    <t>CPIDNLL048 National Lottery: UK Sport Lottery</t>
  </si>
  <si>
    <t>CPIDNLL048</t>
  </si>
  <si>
    <t>NLL048</t>
  </si>
  <si>
    <t>National Lottery: UK Sport Lottery</t>
  </si>
  <si>
    <t>CPIDNSI049 National Savings and Investments</t>
  </si>
  <si>
    <t>CPIDNSI049</t>
  </si>
  <si>
    <t>NSI049</t>
  </si>
  <si>
    <t>National Savings and Investments</t>
  </si>
  <si>
    <t>CPIDPWL888 Public Works Loans Board</t>
  </si>
  <si>
    <t>CPIDPWL888</t>
  </si>
  <si>
    <t>PWL888</t>
  </si>
  <si>
    <t>Public Works Loans Board</t>
  </si>
  <si>
    <t>CPIDCAP074 CMA Trust Statement</t>
  </si>
  <si>
    <t>CPIDCAP074</t>
  </si>
  <si>
    <t>CAP074</t>
  </si>
  <si>
    <t>CMA Trust Statement</t>
  </si>
  <si>
    <t>Central Government</t>
  </si>
  <si>
    <t>CPIDCSF047 HM Court Service fines and penalties trust stateme</t>
  </si>
  <si>
    <t>CPIDCSF047</t>
  </si>
  <si>
    <t>CSF047</t>
  </si>
  <si>
    <t>HM Court Service fines and penalties trust stateme</t>
  </si>
  <si>
    <t>CPIDE5105X Museum of London</t>
  </si>
  <si>
    <t>CPIDE5105X</t>
  </si>
  <si>
    <t>E5105X</t>
  </si>
  <si>
    <t>Museum of London</t>
  </si>
  <si>
    <t>CPIDFFA085 NNDR Trust Statement</t>
  </si>
  <si>
    <t>CPIDFFA085</t>
  </si>
  <si>
    <t>FFA085</t>
  </si>
  <si>
    <t>NNDR Trust Statement</t>
  </si>
  <si>
    <t>CPIDGAD031 Government Actuary's Department</t>
  </si>
  <si>
    <t>CPIDGAD031</t>
  </si>
  <si>
    <t>GAD031</t>
  </si>
  <si>
    <t>Government Actuary's Department</t>
  </si>
  <si>
    <t>CPIDHGT089 Government Legal Department</t>
  </si>
  <si>
    <t>CPIDHGT089</t>
  </si>
  <si>
    <t>HGT089</t>
  </si>
  <si>
    <t>Government Legal Department</t>
  </si>
  <si>
    <t>CPIDNAF017 Navy, Army and Air Force Institute</t>
  </si>
  <si>
    <t>CPIDNAF017</t>
  </si>
  <si>
    <t>NAF017</t>
  </si>
  <si>
    <t>Navy, Army and Air Force Institute</t>
  </si>
  <si>
    <t>CPIDNCA073 National Crime Agency</t>
  </si>
  <si>
    <t>CPIDNCA073</t>
  </si>
  <si>
    <t>NCA073</t>
  </si>
  <si>
    <t>National Crime Agency</t>
  </si>
  <si>
    <t>CPIDOGE020 Office of Gas and Electricity Markets</t>
  </si>
  <si>
    <t>CPIDOGE020</t>
  </si>
  <si>
    <t>OGE020</t>
  </si>
  <si>
    <t>Office of Gas and Electricity Markets</t>
  </si>
  <si>
    <t>CPIDONS005 Office for National Statistics</t>
  </si>
  <si>
    <t>CPIDONS005</t>
  </si>
  <si>
    <t>ONS005</t>
  </si>
  <si>
    <t>Office for National Statistics</t>
  </si>
  <si>
    <t>CPIDORR088 Office of Rail Regulation</t>
  </si>
  <si>
    <t>CPIDORR088</t>
  </si>
  <si>
    <t>ORR088</t>
  </si>
  <si>
    <t>Office of Rail Regulation</t>
  </si>
  <si>
    <t>CPIDOSE072 Office for Std in Ed Children's Services &amp; Skills</t>
  </si>
  <si>
    <t>CPIDOSE072</t>
  </si>
  <si>
    <t>OSE072</t>
  </si>
  <si>
    <t>Office for Std in Ed Children's Services &amp; Skills</t>
  </si>
  <si>
    <t>CPIDSFO019 Serious Fraud Office</t>
  </si>
  <si>
    <t>CPIDSFO019</t>
  </si>
  <si>
    <t>SFO019</t>
  </si>
  <si>
    <t>Serious Fraud Office</t>
  </si>
  <si>
    <t>CPIDSFT019 Serious Fraud Office Trust Statement</t>
  </si>
  <si>
    <t>CPIDSFT019</t>
  </si>
  <si>
    <t>SFT019</t>
  </si>
  <si>
    <t>Serious Fraud Office Trust Statement</t>
  </si>
  <si>
    <t>CPIDSIV007 General Communications Headquarters</t>
  </si>
  <si>
    <t>CPIDSIV007</t>
  </si>
  <si>
    <t>SIV007</t>
  </si>
  <si>
    <t>General Communications Headquarters</t>
  </si>
  <si>
    <t>CPIDSIV007 Security and Intelligence Agencies</t>
  </si>
  <si>
    <t>Security and Intelligence Agencies</t>
  </si>
  <si>
    <t>CPIDSUP072 Supreme Court of the UK</t>
  </si>
  <si>
    <t>CPIDSUP072</t>
  </si>
  <si>
    <t>SUP072</t>
  </si>
  <si>
    <t>Supreme Court of the UK</t>
  </si>
  <si>
    <t>CPIDTNA067 The National Archives</t>
  </si>
  <si>
    <t>CPIDTNA067</t>
  </si>
  <si>
    <t>TNA067</t>
  </si>
  <si>
    <t>The National Archives</t>
  </si>
  <si>
    <t>CPIDVED837 Vehicle Excise Duty</t>
  </si>
  <si>
    <t>CPIDVED837</t>
  </si>
  <si>
    <t>VED837</t>
  </si>
  <si>
    <t>Vehicle Excise Duty</t>
  </si>
  <si>
    <t>CPIDWSR057 Water Services Regulation Authority</t>
  </si>
  <si>
    <t>CPIDWSR057</t>
  </si>
  <si>
    <t>WSR057</t>
  </si>
  <si>
    <t>Water Services Regulation Authority</t>
  </si>
  <si>
    <t>CPIDCHC009 Charity Commission</t>
  </si>
  <si>
    <t>CPIDCHC009</t>
  </si>
  <si>
    <t>CHC009</t>
  </si>
  <si>
    <t>Charity Commission</t>
  </si>
  <si>
    <t>CPIDACA084 Advisory Conciliation and Arbitration Service ACAS</t>
  </si>
  <si>
    <t>CPIDACA084</t>
  </si>
  <si>
    <t>ACA084</t>
  </si>
  <si>
    <t>Advisory Conciliation and Arbitration Service ACAS</t>
  </si>
  <si>
    <t>Department for Business, Energy and Industrial Strategy</t>
  </si>
  <si>
    <t>CPIDAHC084 Arts and Humanities Research Council</t>
  </si>
  <si>
    <t>CPIDAHC084</t>
  </si>
  <si>
    <t>AHC084</t>
  </si>
  <si>
    <t>Arts and Humanities Research Council</t>
  </si>
  <si>
    <t>CPIDBBB084 British Business Bank Plc</t>
  </si>
  <si>
    <t>CPIDBBB084</t>
  </si>
  <si>
    <t>BBB084</t>
  </si>
  <si>
    <t>British Business Bank Plc</t>
  </si>
  <si>
    <t>CPIDBIS084 Committee on Fuel Poverty Group</t>
  </si>
  <si>
    <t>CPIDBIS084</t>
  </si>
  <si>
    <t>BIS084</t>
  </si>
  <si>
    <t>Committee on Fuel Poverty Group</t>
  </si>
  <si>
    <t>CPIDBIS084 Committee on Radioactive Waste Management</t>
  </si>
  <si>
    <t>Committee on Radioactive Waste Management</t>
  </si>
  <si>
    <t>CPIDBIS084 Competition Appeal Tribunal</t>
  </si>
  <si>
    <t>Competition Appeal Tribunal</t>
  </si>
  <si>
    <t>CPIDBIS084 Competition Service</t>
  </si>
  <si>
    <t>Competition Service</t>
  </si>
  <si>
    <t>CPIDBIS084 Copyright Tribunal</t>
  </si>
  <si>
    <t>Copyright Tribunal</t>
  </si>
  <si>
    <t>CPIDBIS084 Council for Science and Technology</t>
  </si>
  <si>
    <t>Council for Science and Technology</t>
  </si>
  <si>
    <t>CPIDBIS084 Dept. for Business, Energy &amp; Industrial Strategy</t>
  </si>
  <si>
    <t>Dept. for Business, Energy &amp; Industrial Strategy</t>
  </si>
  <si>
    <t>CPIDBIS084 Industrial Development Advisory Board</t>
  </si>
  <si>
    <t>Industrial Development Advisory Board</t>
  </si>
  <si>
    <t>CPIDBIS084 Low Pay Commission</t>
  </si>
  <si>
    <t>Low Pay Commission</t>
  </si>
  <si>
    <t>CPIDBIS084 Nuclear Liabilities Financing Assurance Board</t>
  </si>
  <si>
    <t>Nuclear Liabilities Financing Assurance Board</t>
  </si>
  <si>
    <t>CPIDBIS084 Office of Manpower Economics</t>
  </si>
  <si>
    <t>Office of Manpower Economics</t>
  </si>
  <si>
    <t>CPIDBIS084 Regulatory Policy Committee</t>
  </si>
  <si>
    <t>Regulatory Policy Committee</t>
  </si>
  <si>
    <t>CPIDBPA084 BIS (Postal Services Act 2011) Company Limited</t>
  </si>
  <si>
    <t>CPIDBPA084</t>
  </si>
  <si>
    <t>BPA084</t>
  </si>
  <si>
    <t>BIS (Postal Services Act 2011) Company Limited</t>
  </si>
  <si>
    <t>CPIDBRC084 Biotechnology &amp; Biological Sciences Res Council</t>
  </si>
  <si>
    <t>CPIDBRC084</t>
  </si>
  <si>
    <t>BRC084</t>
  </si>
  <si>
    <t>Biotechnology &amp; Biological Sciences Res Council</t>
  </si>
  <si>
    <t>CPIDBTI084 British Technology Investment Limited</t>
  </si>
  <si>
    <t>CPIDBTI084</t>
  </si>
  <si>
    <t>BTI084</t>
  </si>
  <si>
    <t>British Technology Investment Limited</t>
  </si>
  <si>
    <t>CPIDCIS084 Cornwall and Isles of Scilly Investments Limited</t>
  </si>
  <si>
    <t>CPIDCIS084</t>
  </si>
  <si>
    <t>CIS084</t>
  </si>
  <si>
    <t>Cornwall and Isles of Scilly Investments Limited</t>
  </si>
  <si>
    <t>CPIDCNC084 Civil Nuclear Police Authority and Constabulary</t>
  </si>
  <si>
    <t>CPIDCNC084</t>
  </si>
  <si>
    <t>CNC084</t>
  </si>
  <si>
    <t>Civil Nuclear Police Authority and Constabulary</t>
  </si>
  <si>
    <t>CPIDCOL084 Coal Authority</t>
  </si>
  <si>
    <t>CPIDCOL084</t>
  </si>
  <si>
    <t>COL084</t>
  </si>
  <si>
    <t>Coal Authority</t>
  </si>
  <si>
    <t>CPIDDLS084 Diamond Light Source Ltd</t>
  </si>
  <si>
    <t>CPIDDLS084</t>
  </si>
  <si>
    <t>DLS084</t>
  </si>
  <si>
    <t>Diamond Light Source Ltd</t>
  </si>
  <si>
    <t>CPIDDSR084 Dounreay Site Restoration Limited</t>
  </si>
  <si>
    <t>CPIDDSR084</t>
  </si>
  <si>
    <t>DSR084</t>
  </si>
  <si>
    <t>Dounreay Site Restoration Limited</t>
  </si>
  <si>
    <t>CPIDEAT084 EU Emissions Allowance trust statement</t>
  </si>
  <si>
    <t>CPIDEAT084</t>
  </si>
  <si>
    <t>EAT084</t>
  </si>
  <si>
    <t>EU Emissions Allowance trust statement</t>
  </si>
  <si>
    <t>CPIDEHL084 Enrichment Holdings Ltd</t>
  </si>
  <si>
    <t>CPIDEHL084</t>
  </si>
  <si>
    <t>EHL084</t>
  </si>
  <si>
    <t>Enrichment Holdings Ltd</t>
  </si>
  <si>
    <t>CPIDEPS084 Engineering and Physical Sciences Research Council</t>
  </si>
  <si>
    <t>CPIDEPS084</t>
  </si>
  <si>
    <t>EPS084</t>
  </si>
  <si>
    <t>Engineering and Physical Sciences Research Council</t>
  </si>
  <si>
    <t>CPIDESC084 Electricity Settlements Company Limited</t>
  </si>
  <si>
    <t>CPIDESC084</t>
  </si>
  <si>
    <t>ESC084</t>
  </si>
  <si>
    <t>Electricity Settlements Company Limited</t>
  </si>
  <si>
    <t>CPIDESR084 Economic and Social Research Council</t>
  </si>
  <si>
    <t>CPIDESR084</t>
  </si>
  <si>
    <t>ESR084</t>
  </si>
  <si>
    <t>Economic and Social Research Council</t>
  </si>
  <si>
    <t>CPIDFFL084 Fleetbank Funding Limited</t>
  </si>
  <si>
    <t>CPIDFFL084</t>
  </si>
  <si>
    <t>FFL084</t>
  </si>
  <si>
    <t>Fleetbank Funding Limited</t>
  </si>
  <si>
    <t>CPIDFRC084 Financial Reporting Council</t>
  </si>
  <si>
    <t>CPIDFRC084</t>
  </si>
  <si>
    <t>FRC084</t>
  </si>
  <si>
    <t>Financial Reporting Council</t>
  </si>
  <si>
    <t>CPIDHSI084 Harwell Science and Innovation Campus PS LP</t>
  </si>
  <si>
    <t>CPIDHSI084</t>
  </si>
  <si>
    <t>HSI084</t>
  </si>
  <si>
    <t>Harwell Science and Innovation Campus PS LP</t>
  </si>
  <si>
    <t>CPIDINN084 Innovate UK</t>
  </si>
  <si>
    <t>CPIDINN084</t>
  </si>
  <si>
    <t>INN084</t>
  </si>
  <si>
    <t>Innovate UK</t>
  </si>
  <si>
    <t>CPIDISE084 Insolvency Service</t>
  </si>
  <si>
    <t>CPIDISE084</t>
  </si>
  <si>
    <t>ISE084</t>
  </si>
  <si>
    <t>Insolvency Service</t>
  </si>
  <si>
    <t>CPIDLCC084 Low Carbon Contracts Company Limited</t>
  </si>
  <si>
    <t>CPIDLCC084</t>
  </si>
  <si>
    <t>LCC084</t>
  </si>
  <si>
    <t>Low Carbon Contracts Company Limited</t>
  </si>
  <si>
    <t>CPIDLLW084 LLW Repository Limited</t>
  </si>
  <si>
    <t>CPIDLLW084</t>
  </si>
  <si>
    <t>LLW084</t>
  </si>
  <si>
    <t>LLW Repository Limited</t>
  </si>
  <si>
    <t>CPIDMAL084 Magnox Limited</t>
  </si>
  <si>
    <t>CPIDMAL084</t>
  </si>
  <si>
    <t>MAL084</t>
  </si>
  <si>
    <t>Magnox Limited</t>
  </si>
  <si>
    <t>CPIDMEI084 Midlands Engine Investments Limited</t>
  </si>
  <si>
    <t>CPIDMEI084</t>
  </si>
  <si>
    <t>MEI084</t>
  </si>
  <si>
    <t>Midlands Engine Investments Limited</t>
  </si>
  <si>
    <t>CPIDMRC084 Medical Research Council</t>
  </si>
  <si>
    <t>CPIDMRC084</t>
  </si>
  <si>
    <t>MRC084</t>
  </si>
  <si>
    <t>Medical Research Council</t>
  </si>
  <si>
    <t>CPIDNDA084 Nuclear Decommissioning Authority</t>
  </si>
  <si>
    <t>CPIDNDA084</t>
  </si>
  <si>
    <t>NDA084</t>
  </si>
  <si>
    <t>Nuclear Decommissioning Authority</t>
  </si>
  <si>
    <t>CPIDNER084 Natural Environment Research Council</t>
  </si>
  <si>
    <t>CPIDNER084</t>
  </si>
  <si>
    <t>NER084</t>
  </si>
  <si>
    <t>Natural Environment Research Council</t>
  </si>
  <si>
    <t>CPIDNES084 The NESTA Trust</t>
  </si>
  <si>
    <t>CPIDNES084</t>
  </si>
  <si>
    <t>NES084</t>
  </si>
  <si>
    <t>The NESTA Trust</t>
  </si>
  <si>
    <t>CPIDNPI084 Northern Powerhouse Investments Limited</t>
  </si>
  <si>
    <t>CPIDNPI084</t>
  </si>
  <si>
    <t>NPI084</t>
  </si>
  <si>
    <t>Northern Powerhouse Investments Limited</t>
  </si>
  <si>
    <t>CPIDNPL084 National Physics Laboratory</t>
  </si>
  <si>
    <t>CPIDNPL084</t>
  </si>
  <si>
    <t>NPL084</t>
  </si>
  <si>
    <t>National Physics Laboratory</t>
  </si>
  <si>
    <t>CPIDNUL084 Nuclear Liabilities Fund</t>
  </si>
  <si>
    <t>CPIDNUL084</t>
  </si>
  <si>
    <t>NUL084</t>
  </si>
  <si>
    <t>Nuclear Liabilities Fund</t>
  </si>
  <si>
    <t xml:space="preserve">CPIDOGA084 Oil and Gas Authority Trust Statement </t>
  </si>
  <si>
    <t>CPIDOGA084</t>
  </si>
  <si>
    <t>OGA084</t>
  </si>
  <si>
    <t xml:space="preserve">Oil and Gas Authority Trust Statement </t>
  </si>
  <si>
    <t>CPIDOGT084 Oil and Gas Authority</t>
  </si>
  <si>
    <t>CPIDOGT084</t>
  </si>
  <si>
    <t>OGT084</t>
  </si>
  <si>
    <t>Oil and Gas Authority</t>
  </si>
  <si>
    <t>CPIDPSH084 Postal Services Holding Company Limited</t>
  </si>
  <si>
    <t>CPIDPSH084</t>
  </si>
  <si>
    <t>PSH084</t>
  </si>
  <si>
    <t>Postal Services Holding Company Limited</t>
  </si>
  <si>
    <t>CPIDREN084 Research England</t>
  </si>
  <si>
    <t>CPIDREN084</t>
  </si>
  <si>
    <t>REN084</t>
  </si>
  <si>
    <t>Research England</t>
  </si>
  <si>
    <t>CPIDRWM084 Radioactive Waste Management Limited</t>
  </si>
  <si>
    <t>CPIDRWM084</t>
  </si>
  <si>
    <t>RWM084</t>
  </si>
  <si>
    <t>Radioactive Waste Management Limited</t>
  </si>
  <si>
    <t>CPIDSFL084 Sellafield Limited</t>
  </si>
  <si>
    <t>CPIDSFL084</t>
  </si>
  <si>
    <t>SFL084</t>
  </si>
  <si>
    <t>Sellafield Limited</t>
  </si>
  <si>
    <t xml:space="preserve">CPIDSSC084 UK Shared Business Services Limited               </t>
  </si>
  <si>
    <t>CPIDSSC084</t>
  </si>
  <si>
    <t>SSC084</t>
  </si>
  <si>
    <t xml:space="preserve">UK Shared Business Services Limited               </t>
  </si>
  <si>
    <t>CPIDSTF084 Science and Technology Facilities Council</t>
  </si>
  <si>
    <t>CPIDSTF084</t>
  </si>
  <si>
    <t>STF084</t>
  </si>
  <si>
    <t>Science and Technology Facilities Council</t>
  </si>
  <si>
    <t>CPIDUCI084 UK Climate Investments LLP</t>
  </si>
  <si>
    <t>CPIDUCI084</t>
  </si>
  <si>
    <t>UCI084</t>
  </si>
  <si>
    <t>UK Climate Investments LLP</t>
  </si>
  <si>
    <t>CPIDUKA084 United Kingdom Atomic Energy Authority</t>
  </si>
  <si>
    <t>CPIDUKA084</t>
  </si>
  <si>
    <t>UKA084</t>
  </si>
  <si>
    <t>United Kingdom Atomic Energy Authority</t>
  </si>
  <si>
    <t>CPIDUKS084 UK Space Agency</t>
  </si>
  <si>
    <t>CPIDUKS084</t>
  </si>
  <si>
    <t>UKS084</t>
  </si>
  <si>
    <t>UK Space Agency</t>
  </si>
  <si>
    <t>CPIDACE048 Arts Council</t>
  </si>
  <si>
    <t>CPIDACE048</t>
  </si>
  <si>
    <t>ACE048</t>
  </si>
  <si>
    <t>Arts Council</t>
  </si>
  <si>
    <t>Department for Digital, Culture, Media &amp; Sport</t>
  </si>
  <si>
    <t>CPIDACL048 Arts Council of England Lottery</t>
  </si>
  <si>
    <t>CPIDACL048</t>
  </si>
  <si>
    <t>ACL048</t>
  </si>
  <si>
    <t>Arts Council of England Lottery</t>
  </si>
  <si>
    <t>CPIDANT048 UK Anti-Doping</t>
  </si>
  <si>
    <t>CPIDANT048</t>
  </si>
  <si>
    <t>ANT048</t>
  </si>
  <si>
    <t>UK Anti-Doping</t>
  </si>
  <si>
    <t>CPIDBFI048 British Film Institute</t>
  </si>
  <si>
    <t>CPIDBFI048</t>
  </si>
  <si>
    <t>BFI048</t>
  </si>
  <si>
    <t>British Film Institute</t>
  </si>
  <si>
    <t>CPIDBRL048 British Library</t>
  </si>
  <si>
    <t>CPIDBRL048</t>
  </si>
  <si>
    <t>BRL048</t>
  </si>
  <si>
    <t>British Library</t>
  </si>
  <si>
    <t>CPIDBRM048 British Museum</t>
  </si>
  <si>
    <t>CPIDBRM048</t>
  </si>
  <si>
    <t>BRM048</t>
  </si>
  <si>
    <t>British Museum</t>
  </si>
  <si>
    <t>CPIDCCT048 Churches Conservation Trust</t>
  </si>
  <si>
    <t>CPIDCCT048</t>
  </si>
  <si>
    <t>CCT048</t>
  </si>
  <si>
    <t>Churches Conservation Trust</t>
  </si>
  <si>
    <t>CPIDCWG048 Birmingham Organising Committee for 2022 Commonwealth Games</t>
  </si>
  <si>
    <t>CPIDCWG048</t>
  </si>
  <si>
    <t>CWG048</t>
  </si>
  <si>
    <t>Birmingham Organising Committee for 2022 Commonwealth Games</t>
  </si>
  <si>
    <t>CPIDDCM048 Department for Digital, Culture, Media and Sport</t>
  </si>
  <si>
    <t>CPIDDCM048</t>
  </si>
  <si>
    <t>DCM048</t>
  </si>
  <si>
    <t>Department for Digital, Culture, Media and Sport</t>
  </si>
  <si>
    <t>CPIDFCL048 British Film Institute Lottery</t>
  </si>
  <si>
    <t>CPIDFCL048</t>
  </si>
  <si>
    <t>FCL048</t>
  </si>
  <si>
    <t>British Film Institute Lottery</t>
  </si>
  <si>
    <t>CPIDGBG048 The Gambling Commission</t>
  </si>
  <si>
    <t>CPIDGBG048</t>
  </si>
  <si>
    <t>GBG048</t>
  </si>
  <si>
    <t>The Gambling Commission</t>
  </si>
  <si>
    <t>CPIDGFF048 Geffrye Museum</t>
  </si>
  <si>
    <t>CPIDGFF048</t>
  </si>
  <si>
    <t>GFF048</t>
  </si>
  <si>
    <t>Geffrye Museum</t>
  </si>
  <si>
    <t>CPIDHBL048 Horserace Betting Levy Board</t>
  </si>
  <si>
    <t>CPIDHBL048</t>
  </si>
  <si>
    <t>HBL048</t>
  </si>
  <si>
    <t>Horserace Betting Levy Board</t>
  </si>
  <si>
    <t>CPIDHBM048 The Historic Buildings and Monuments Comm for Eng (note: operates as Historic England)</t>
  </si>
  <si>
    <t>CPIDHBM048</t>
  </si>
  <si>
    <t>HBM048</t>
  </si>
  <si>
    <t>The Historic Buildings and Monuments Comm for Eng (note: operates as Historic England)</t>
  </si>
  <si>
    <t>CPIDHMM048 Horniman Museum</t>
  </si>
  <si>
    <t>CPIDHMM048</t>
  </si>
  <si>
    <t>HMM048</t>
  </si>
  <si>
    <t>Horniman Museum</t>
  </si>
  <si>
    <t>CPIDICO048 Information Commissioners Office (note: operates as Information Commission)</t>
  </si>
  <si>
    <t>CPIDICO048</t>
  </si>
  <si>
    <t>ICO048</t>
  </si>
  <si>
    <t>Information Commissioners Office (note: operates as Information Commission)</t>
  </si>
  <si>
    <t>CPIDIWM048 Imperial War Museum</t>
  </si>
  <si>
    <t>CPIDIWM048</t>
  </si>
  <si>
    <t>IWM048</t>
  </si>
  <si>
    <t>Imperial War Museum</t>
  </si>
  <si>
    <t>CPIDNCS048 National Citizen Service Trust</t>
  </si>
  <si>
    <t>CPIDNCS048</t>
  </si>
  <si>
    <t>NCS048</t>
  </si>
  <si>
    <t>National Citizen Service Trust</t>
  </si>
  <si>
    <t>CPIDNGL048 National Gallery</t>
  </si>
  <si>
    <t>CPIDNGL048</t>
  </si>
  <si>
    <t>NGL048</t>
  </si>
  <si>
    <t>National Gallery</t>
  </si>
  <si>
    <t>CPIDNHF048 National Heritage Memorial Fund</t>
  </si>
  <si>
    <t>CPIDNHF048</t>
  </si>
  <si>
    <t>NHF048</t>
  </si>
  <si>
    <t>National Heritage Memorial Fund</t>
  </si>
  <si>
    <t>CPIDNHM048 Natural History Museum</t>
  </si>
  <si>
    <t>CPIDNHM048</t>
  </si>
  <si>
    <t>NHM048</t>
  </si>
  <si>
    <t>Natural History Museum</t>
  </si>
  <si>
    <t>CPIDNLB048 Big Lottery Fund</t>
  </si>
  <si>
    <t>CPIDNLB048</t>
  </si>
  <si>
    <t>NLB048</t>
  </si>
  <si>
    <t>Big Lottery Fund</t>
  </si>
  <si>
    <t>CPIDNMG048 National Museums Liverpool</t>
  </si>
  <si>
    <t>CPIDNMG048</t>
  </si>
  <si>
    <t>NMG048</t>
  </si>
  <si>
    <t>National Museums Liverpool</t>
  </si>
  <si>
    <t>CPIDNMM048 National Maritime Museum</t>
  </si>
  <si>
    <t>CPIDNMM048</t>
  </si>
  <si>
    <t>NMM048</t>
  </si>
  <si>
    <t>National Maritime Museum</t>
  </si>
  <si>
    <t>CPIDNPG048 National Portrait Gallery</t>
  </si>
  <si>
    <t>CPIDNPG048</t>
  </si>
  <si>
    <t>NPG048</t>
  </si>
  <si>
    <t>National Portrait Gallery</t>
  </si>
  <si>
    <t>CPIDOFC048 Ofcom</t>
  </si>
  <si>
    <t>CPIDOFC048</t>
  </si>
  <si>
    <t>OFC048</t>
  </si>
  <si>
    <t>Ofcom</t>
  </si>
  <si>
    <t>CPIDPPP048 Phone-paid Services Authority Limited</t>
  </si>
  <si>
    <t>CPIDPPP048</t>
  </si>
  <si>
    <t>PPP048</t>
  </si>
  <si>
    <t>Phone-paid Services Authority Limited</t>
  </si>
  <si>
    <t>CPIDRAM048 Royal Armouries</t>
  </si>
  <si>
    <t>CPIDRAM048</t>
  </si>
  <si>
    <t>RAM048</t>
  </si>
  <si>
    <t>Royal Armouries</t>
  </si>
  <si>
    <t>CPIDSEL048 Sport England Lottery</t>
  </si>
  <si>
    <t>CPIDSEL048</t>
  </si>
  <si>
    <t>SEL048</t>
  </si>
  <si>
    <t>Sport England Lottery</t>
  </si>
  <si>
    <t>CPIDSGS048 Sports Grounds Safety Authority</t>
  </si>
  <si>
    <t>CPIDSGS048</t>
  </si>
  <si>
    <t>SGS048</t>
  </si>
  <si>
    <t>Sports Grounds Safety Authority</t>
  </si>
  <si>
    <t>CPIDSJS048 Sir John Soane's Museum</t>
  </si>
  <si>
    <t>CPIDSJS048</t>
  </si>
  <si>
    <t>SJS048</t>
  </si>
  <si>
    <t>Sir John Soane's Museum</t>
  </si>
  <si>
    <t>CPIDSMG048 Science Museum Group</t>
  </si>
  <si>
    <t>CPIDSMG048</t>
  </si>
  <si>
    <t>SMG048</t>
  </si>
  <si>
    <t>Science Museum Group</t>
  </si>
  <si>
    <t>CPIDSPE048 Sport England</t>
  </si>
  <si>
    <t>CPIDSPE048</t>
  </si>
  <si>
    <t>SPE048</t>
  </si>
  <si>
    <t>Sport England</t>
  </si>
  <si>
    <t>CPIDTGL048 Tate Gallery</t>
  </si>
  <si>
    <t>CPIDTGL048</t>
  </si>
  <si>
    <t>TGL048</t>
  </si>
  <si>
    <t>Tate Gallery</t>
  </si>
  <si>
    <t>CPIDUKS048 United Kingdom Sports Council</t>
  </si>
  <si>
    <t>CPIDUKS048</t>
  </si>
  <si>
    <t>UKS048</t>
  </si>
  <si>
    <t>United Kingdom Sports Council</t>
  </si>
  <si>
    <t>CPIDVAM048 Victoria and Albert Museum</t>
  </si>
  <si>
    <t>CPIDVAM048</t>
  </si>
  <si>
    <t>VAM048</t>
  </si>
  <si>
    <t>Victoria and Albert Museum</t>
  </si>
  <si>
    <t>CPIDVGB048 British Tourist Authority</t>
  </si>
  <si>
    <t>CPIDVGB048</t>
  </si>
  <si>
    <t>VGB048</t>
  </si>
  <si>
    <t>British Tourist Authority</t>
  </si>
  <si>
    <t>CPIDWCO048 Wallace Collection</t>
  </si>
  <si>
    <t>CPIDWCO048</t>
  </si>
  <si>
    <t>WCO048</t>
  </si>
  <si>
    <t>Wallace Collection</t>
  </si>
  <si>
    <t>CPIDWFC048 S4C (Formerly known as Welsh Fourth Channel Authority)</t>
  </si>
  <si>
    <t>CPIDWFC048</t>
  </si>
  <si>
    <t>WFC048</t>
  </si>
  <si>
    <t>S4C (Formerly known as Welsh Fourth Channel Authority)</t>
  </si>
  <si>
    <t>CPIDAGG022 Aggregator Vehicle PLC</t>
  </si>
  <si>
    <t>CPIDAGG022</t>
  </si>
  <si>
    <t>AGG022</t>
  </si>
  <si>
    <t>Aggregator Vehicle PLC</t>
  </si>
  <si>
    <t>Department for Education</t>
  </si>
  <si>
    <t>CPIDCIT022 Construction Industry Training Board</t>
  </si>
  <si>
    <t>CPIDCIT022</t>
  </si>
  <si>
    <t>CIT022</t>
  </si>
  <si>
    <t>Construction Industry Training Board</t>
  </si>
  <si>
    <t>CPIDDFE022 Department for Education</t>
  </si>
  <si>
    <t>CPIDDFE022</t>
  </si>
  <si>
    <t>DFE022</t>
  </si>
  <si>
    <t>CPIDDFE022 Education and Skills Funding Agency</t>
  </si>
  <si>
    <t>Education and Skills Funding Agency</t>
  </si>
  <si>
    <t>CPIDDFE022 Standards and Testing Agency</t>
  </si>
  <si>
    <t>Standards and Testing Agency</t>
  </si>
  <si>
    <t>CPIDDFE022 Teaching Regulaton Agency</t>
  </si>
  <si>
    <t>Teaching Regulaton Agency</t>
  </si>
  <si>
    <t>CPIDEIT022 Engineering Construction Industry Training Board</t>
  </si>
  <si>
    <t>CPIDEIT022</t>
  </si>
  <si>
    <t>EIT022</t>
  </si>
  <si>
    <t>Engineering Construction Industry Training Board</t>
  </si>
  <si>
    <t>CPIDIFA022 Institute for Apprenticeships &amp; Technical Education (formerly Institute for Apprenticeships)</t>
  </si>
  <si>
    <t>CPIDIFA022</t>
  </si>
  <si>
    <t>IFA022</t>
  </si>
  <si>
    <t>Institute for Apprenticeships &amp; Technical Education (formerly Institute for Apprenticeships)</t>
  </si>
  <si>
    <t>CPIDLED022 LocaTED</t>
  </si>
  <si>
    <t>CPIDLED022</t>
  </si>
  <si>
    <t>LED022</t>
  </si>
  <si>
    <t>LocaTED</t>
  </si>
  <si>
    <t>CPIDOFS022 Office for Students</t>
  </si>
  <si>
    <t>CPIDOFS022</t>
  </si>
  <si>
    <t>OFS022</t>
  </si>
  <si>
    <t>Office for Students</t>
  </si>
  <si>
    <t>CPIDSLC022 Student Loans Company</t>
  </si>
  <si>
    <t>CPIDSLC022</t>
  </si>
  <si>
    <t>SLC022</t>
  </si>
  <si>
    <t>Student Loans Company</t>
  </si>
  <si>
    <t>CPIDSWE022 Social Work England</t>
  </si>
  <si>
    <t>CPIDSWE022</t>
  </si>
  <si>
    <t>SWE022</t>
  </si>
  <si>
    <t>Social Work England</t>
  </si>
  <si>
    <t>CPIDAHD003 Agriculture &amp; Horticulture Development Board</t>
  </si>
  <si>
    <t>CPIDAHD003</t>
  </si>
  <si>
    <t>AHD003</t>
  </si>
  <si>
    <t>Agriculture &amp; Horticulture Development Board</t>
  </si>
  <si>
    <t>Department for Environment, Food and Rural Affairs</t>
  </si>
  <si>
    <t>CPIDAHD003 Livestock Information Ltd</t>
  </si>
  <si>
    <t>Livestock Information Ltd</t>
  </si>
  <si>
    <t>CPIDAHD003 Sutton Bridge Experimental Unit Limited</t>
  </si>
  <si>
    <t>Sutton Bridge Experimental Unit Limited</t>
  </si>
  <si>
    <t>CPIDCFW003 Consumer Council for Water</t>
  </si>
  <si>
    <t>CPIDCFW003</t>
  </si>
  <si>
    <t>CFW003</t>
  </si>
  <si>
    <t>Consumer Council for Water</t>
  </si>
  <si>
    <t>CPIDCGM003 Covent Garden Market Authority</t>
  </si>
  <si>
    <t>CPIDCGM003</t>
  </si>
  <si>
    <t>CGM003</t>
  </si>
  <si>
    <t>Covent Garden Market Authority</t>
  </si>
  <si>
    <t>CPIDEFR003 Advisory Committee on Releases to the Environment</t>
  </si>
  <si>
    <t>CPIDEFR003</t>
  </si>
  <si>
    <t>EFR003</t>
  </si>
  <si>
    <t>Advisory Committee on Releases to the Environment</t>
  </si>
  <si>
    <t>CPIDEFR003 Animal &amp; Plant Health Agency (formerly Animal Health and Veterinary Laboratories Agency)</t>
  </si>
  <si>
    <t>Animal &amp; Plant Health Agency (formerly Animal Health and Veterinary Laboratories Agency)</t>
  </si>
  <si>
    <t>CPIDEFR003 Centre for Environment, Fisheries, Aquaculture &amp; Science</t>
  </si>
  <si>
    <t>Centre for Environment, Fisheries, Aquaculture &amp; Science</t>
  </si>
  <si>
    <t>CPIDEFR003 Department for Environment Food and Rural Affairs</t>
  </si>
  <si>
    <t>Department for Environment Food and Rural Affairs</t>
  </si>
  <si>
    <t>CPIDEFR003 Independent Agricultural Appeals Panel</t>
  </si>
  <si>
    <t>Independent Agricultural Appeals Panel</t>
  </si>
  <si>
    <t>CPIDEFR003 Rural Payments Agency</t>
  </si>
  <si>
    <t>Rural Payments Agency</t>
  </si>
  <si>
    <t>CPIDEFR003 Science Advisory Council</t>
  </si>
  <si>
    <t>Science Advisory Council</t>
  </si>
  <si>
    <t>CPIDEFR003 UK Expert Committee on Pesticides (ECP)</t>
  </si>
  <si>
    <t>UK Expert Committee on Pesticides (ECP)</t>
  </si>
  <si>
    <t>CPIDEFR003 Veterinary Medicines Directorate</t>
  </si>
  <si>
    <t>Veterinary Medicines Directorate</t>
  </si>
  <si>
    <t>CPIDEFR003 Veterinary Products Committee</t>
  </si>
  <si>
    <t>Veterinary Products Committee</t>
  </si>
  <si>
    <t>CPIDENV003 Environment Agency</t>
  </si>
  <si>
    <t>CPIDENV003</t>
  </si>
  <si>
    <t>ENV003</t>
  </si>
  <si>
    <t>Environment Agency</t>
  </si>
  <si>
    <t>CPIDFCM003 Forestry Commission</t>
  </si>
  <si>
    <t>CPIDFCM003</t>
  </si>
  <si>
    <t>FCM003</t>
  </si>
  <si>
    <t>Forestry Commission</t>
  </si>
  <si>
    <t>CPIDFRE003 Flood Re</t>
  </si>
  <si>
    <t>CPIDFRE003</t>
  </si>
  <si>
    <t>FRE003</t>
  </si>
  <si>
    <t>Flood Re</t>
  </si>
  <si>
    <t>CPIDJNC003 Joint Nature Conservation Committee</t>
  </si>
  <si>
    <t>CPIDJNC003</t>
  </si>
  <si>
    <t>JNC003</t>
  </si>
  <si>
    <t>Joint Nature Conservation Committee</t>
  </si>
  <si>
    <t>CPIDKEW003 Royal Botanic Gardens, Kew</t>
  </si>
  <si>
    <t>CPIDKEW003</t>
  </si>
  <si>
    <t>KEW003</t>
  </si>
  <si>
    <t>Royal Botanic Gardens, Kew</t>
  </si>
  <si>
    <t>CPIDMMO003 Marine Management Organisation</t>
  </si>
  <si>
    <t>CPIDMMO003</t>
  </si>
  <si>
    <t>MMO003</t>
  </si>
  <si>
    <t>Marine Management Organisation</t>
  </si>
  <si>
    <t>CPIDNEN003 Natural England</t>
  </si>
  <si>
    <t>CPIDNEN003</t>
  </si>
  <si>
    <t>NEN003</t>
  </si>
  <si>
    <t>Natural England</t>
  </si>
  <si>
    <t>CPIDNFC003 National Forest Company</t>
  </si>
  <si>
    <t>CPIDNFC003</t>
  </si>
  <si>
    <t>NFC003</t>
  </si>
  <si>
    <t>National Forest Company</t>
  </si>
  <si>
    <t>CPIDOEP003 Office for Environmental Protection</t>
  </si>
  <si>
    <t>CPIDOEP003</t>
  </si>
  <si>
    <t>OEP003</t>
  </si>
  <si>
    <t>Office for Environmental Protection</t>
  </si>
  <si>
    <t>CPIDSIA003 Sea Fish Industry Authority</t>
  </si>
  <si>
    <t>CPIDSIA003</t>
  </si>
  <si>
    <t>SIA003</t>
  </si>
  <si>
    <t>Sea Fish Industry Authority</t>
  </si>
  <si>
    <t>CPIDUKT013 Department for International Trade</t>
  </si>
  <si>
    <t>CPIDUKT013</t>
  </si>
  <si>
    <t>UKT013</t>
  </si>
  <si>
    <t>Department for International Trade</t>
  </si>
  <si>
    <t>CPIDCLA085 Commission for Local Administration</t>
  </si>
  <si>
    <t>CPIDCLA085</t>
  </si>
  <si>
    <t>CLA085</t>
  </si>
  <si>
    <t>Commission for Local Administration</t>
  </si>
  <si>
    <t>Department for Levelling Up, Housing and Communities</t>
  </si>
  <si>
    <t>CPIDCOM085 Bristol &amp; Bath Science Park Estate Management Consultancy Ltd</t>
  </si>
  <si>
    <t>CPIDCOM085</t>
  </si>
  <si>
    <t>COM085</t>
  </si>
  <si>
    <t>Bristol &amp; Bath Science Park Estate Management Consultancy Ltd</t>
  </si>
  <si>
    <t>CPIDCOM085 Building Regulations Advisory Committee</t>
  </si>
  <si>
    <t>Building Regulations Advisory Committee</t>
  </si>
  <si>
    <t>CPIDCOM085 Department for Levelling Up, Housing and Communities (Formerly MHCLG)</t>
  </si>
  <si>
    <t>Department for Levelling Up, Housing and Communities (Formerly MHCLG)</t>
  </si>
  <si>
    <t>i.e. DCLG, MHCLG</t>
  </si>
  <si>
    <t>CPIDCOM085 English Partnerships (LP) Limited</t>
  </si>
  <si>
    <t>English Partnerships (LP) Limited</t>
  </si>
  <si>
    <t>CPIDCOM085 Estuary Management Company Ltd</t>
  </si>
  <si>
    <t>Estuary Management Company Ltd</t>
  </si>
  <si>
    <t>CPIDHCA085 Homes England (formerly Home and Communities Agency)</t>
  </si>
  <si>
    <t>CPIDHCA085</t>
  </si>
  <si>
    <t>HCA085</t>
  </si>
  <si>
    <t>Homes England (formerly Home and Communities Agency)</t>
  </si>
  <si>
    <t>CPIDLAS085 The Leasehold Advisory Service</t>
  </si>
  <si>
    <t>CPIDLAS085</t>
  </si>
  <si>
    <t>LAS085</t>
  </si>
  <si>
    <t>The Leasehold Advisory Service</t>
  </si>
  <si>
    <t>CPIDPIN085 Planning Inspectorate</t>
  </si>
  <si>
    <t>CPIDPIN085</t>
  </si>
  <si>
    <t>PIN085</t>
  </si>
  <si>
    <t>Planning Inspectorate</t>
  </si>
  <si>
    <t>CPIDRSH085 Regulator for Social Housing</t>
  </si>
  <si>
    <t>CPIDRSH085</t>
  </si>
  <si>
    <t>RSH085</t>
  </si>
  <si>
    <t>Regulator for Social Housing</t>
  </si>
  <si>
    <t>CPIDTHO085 The Housing Ombudsman</t>
  </si>
  <si>
    <t>CPIDTHO085</t>
  </si>
  <si>
    <t>THO085</t>
  </si>
  <si>
    <t>The Housing Ombudsman</t>
  </si>
  <si>
    <t>CPIDVTE085 Valuation Tribunal For England</t>
  </si>
  <si>
    <t>CPIDVTE085</t>
  </si>
  <si>
    <t>VTE085</t>
  </si>
  <si>
    <t>Valuation Tribunal For England</t>
  </si>
  <si>
    <t>CPIDVTS085 Valuation Tribunals Service</t>
  </si>
  <si>
    <t>CPIDVTS085</t>
  </si>
  <si>
    <t>VTS085</t>
  </si>
  <si>
    <t>Valuation Tribunals Service</t>
  </si>
  <si>
    <t>CPIDDLH085 DLUHC Trust Statement</t>
  </si>
  <si>
    <t>CPIDDLH085</t>
  </si>
  <si>
    <t>DLH085</t>
  </si>
  <si>
    <t>DLUHC Trust Statement</t>
  </si>
  <si>
    <t>This is a New CPID Ref</t>
  </si>
  <si>
    <t>CPIDBTP004 British Transport Police Authority</t>
  </si>
  <si>
    <t>CPIDBTP004</t>
  </si>
  <si>
    <t>BTP004</t>
  </si>
  <si>
    <t>British Transport Police Authority</t>
  </si>
  <si>
    <t>Department for Transport</t>
  </si>
  <si>
    <t>CPIDDFT004 Air Safety Support International Limited</t>
  </si>
  <si>
    <t>CPIDDFT004</t>
  </si>
  <si>
    <t>DFT004</t>
  </si>
  <si>
    <t>Air Safety Support International Limited</t>
  </si>
  <si>
    <t>CPIDDFT004 Air Travel Trust Fund</t>
  </si>
  <si>
    <t>Air Travel Trust Fund</t>
  </si>
  <si>
    <t>CPIDDFT004 CTRL Section 1 Finance Plc</t>
  </si>
  <si>
    <t>CTRL Section 1 Finance Plc</t>
  </si>
  <si>
    <t>CPIDDFT004 Department for Transport</t>
  </si>
  <si>
    <t>CPIDDFT004 Directly Operated Railways</t>
  </si>
  <si>
    <t>Directly Operated Railways</t>
  </si>
  <si>
    <t>CPIDDFT004 Disabled Persons Transport Advisory Committee</t>
  </si>
  <si>
    <t>Disabled Persons Transport Advisory Committee</t>
  </si>
  <si>
    <t>CPIDDFT004 Driver &amp; Vehicle Standards Agency</t>
  </si>
  <si>
    <t>Driver &amp; Vehicle Standards Agency</t>
  </si>
  <si>
    <t>CPIDDFT004 East West Rail Company Limited</t>
  </si>
  <si>
    <t>East West Rail Company Limited</t>
  </si>
  <si>
    <t>CPIDDFT004 High Speed Two (HS2) Limited</t>
  </si>
  <si>
    <t>High Speed Two (HS2) Limited</t>
  </si>
  <si>
    <t>CPIDDFT004 LCR Finance Plc</t>
  </si>
  <si>
    <t>LCR Finance Plc</t>
  </si>
  <si>
    <t>CPIDDFT004 Maritime and Coastguard Agency</t>
  </si>
  <si>
    <t>Maritime and Coastguard Agency</t>
  </si>
  <si>
    <t>CPIDDFT004 National Highways (Formerly Highways England)</t>
  </si>
  <si>
    <t>National Highways (Formerly Highways England)</t>
  </si>
  <si>
    <t>CPIDDFT004 Passenger Focus</t>
  </si>
  <si>
    <t>Passenger Focus</t>
  </si>
  <si>
    <t>CPIDDFT004 The Commissioners of Irish Lights</t>
  </si>
  <si>
    <t>The Commissioners of Irish Lights</t>
  </si>
  <si>
    <t>CPIDDFT004 The Commissioners of Northern Lighthouses</t>
  </si>
  <si>
    <t>The Commissioners of Northern Lighthouses</t>
  </si>
  <si>
    <t>CPIDDFT004 Train Fleet</t>
  </si>
  <si>
    <t>Train Fleet</t>
  </si>
  <si>
    <t>CPIDDFT004 Trinity House Lighthouse Service</t>
  </si>
  <si>
    <t>Trinity House Lighthouse Service</t>
  </si>
  <si>
    <t>CPIDDFT004 Vehicle Certification Agency</t>
  </si>
  <si>
    <t>Vehicle Certification Agency</t>
  </si>
  <si>
    <t>CPIDDVL004 Driver and Vehicle Licensing Agency</t>
  </si>
  <si>
    <t>CPIDDVL004</t>
  </si>
  <si>
    <t>DVL004</t>
  </si>
  <si>
    <t>Driver and Vehicle Licensing Agency</t>
  </si>
  <si>
    <t>CPIDNWR004 Network Rail</t>
  </si>
  <si>
    <t>CPIDNWR004</t>
  </si>
  <si>
    <t>NWR004</t>
  </si>
  <si>
    <t>Network Rail</t>
  </si>
  <si>
    <t>CPIDDWP032 BPDTS (Ltd)</t>
  </si>
  <si>
    <t>CPIDDWP032</t>
  </si>
  <si>
    <t>DWP032</t>
  </si>
  <si>
    <t>BPDTS (Ltd)</t>
  </si>
  <si>
    <t>Department for Work and Pensions (DWP)</t>
  </si>
  <si>
    <t>CPIDDWP032 Department for Work and Pensions</t>
  </si>
  <si>
    <t>Department for Work and Pensions</t>
  </si>
  <si>
    <t>CPIDDWP032 Disabled People's Employment Programme (DPEC)</t>
  </si>
  <si>
    <t>Disabled People's Employment Programme (DPEC)</t>
  </si>
  <si>
    <t>CPIDDWP032 Health and Safety Executive (HSE)</t>
  </si>
  <si>
    <t>Health and Safety Executive (HSE)</t>
  </si>
  <si>
    <t>CPIDDWP032 Industrial Injuries Advisory Council (IIAC)</t>
  </si>
  <si>
    <t>Industrial Injuries Advisory Council (IIAC)</t>
  </si>
  <si>
    <t>CPIDDWP032 Ombudsman for the Board of the Pension Protection Fund (OPPF)</t>
  </si>
  <si>
    <t>Ombudsman for the Board of the Pension Protection Fund (OPPF)</t>
  </si>
  <si>
    <t>CPIDDWP032 Social Security Advisory Committee (SSAC)</t>
  </si>
  <si>
    <t>Social Security Advisory Committee (SSAC)</t>
  </si>
  <si>
    <t>CPIDDWP032 The Money and Pensions Service</t>
  </si>
  <si>
    <t>The Money and Pensions Service</t>
  </si>
  <si>
    <t>CPIDDWP032 The Pensions Ombudsman (TPO)</t>
  </si>
  <si>
    <t>The Pensions Ombudsman (TPO)</t>
  </si>
  <si>
    <t>CPIDTPR032 The Pensions Regulator</t>
  </si>
  <si>
    <t>CPIDTPR032</t>
  </si>
  <si>
    <t>TPR032</t>
  </si>
  <si>
    <t>The Pensions Regulator</t>
  </si>
  <si>
    <t>CPIDAXG033 Wiltshire Health and Care LLP</t>
  </si>
  <si>
    <t>CPIDAXG033</t>
  </si>
  <si>
    <t>AXG033</t>
  </si>
  <si>
    <t>Wiltshire Health and Care LLP</t>
  </si>
  <si>
    <t>Department of Health and Social Care</t>
  </si>
  <si>
    <t>CPIDBSA033 NHS Business Services Authority</t>
  </si>
  <si>
    <t>CPIDBSA033</t>
  </si>
  <si>
    <t>BSA033</t>
  </si>
  <si>
    <t>NHS Business Services Authority</t>
  </si>
  <si>
    <t>CPIDCBA033 NHS England</t>
  </si>
  <si>
    <t>CPIDCBA033</t>
  </si>
  <si>
    <t>CBA033</t>
  </si>
  <si>
    <t>NHS England</t>
  </si>
  <si>
    <t>Use for Commisioning Support  Units</t>
  </si>
  <si>
    <t>CPIDCFA033 NHS Counter Fraud Authority</t>
  </si>
  <si>
    <t>CPIDCFA033</t>
  </si>
  <si>
    <t>CFA033</t>
  </si>
  <si>
    <t>NHS Counter Fraud Authority</t>
  </si>
  <si>
    <t>CPIDCHP033 Community Health Partnerships Ltd</t>
  </si>
  <si>
    <t>CPIDCHP033</t>
  </si>
  <si>
    <t>CHP033</t>
  </si>
  <si>
    <t>Community Health Partnerships Ltd</t>
  </si>
  <si>
    <t>CPIDCQC033 Care Quality Commission</t>
  </si>
  <si>
    <t>CPIDCQC033</t>
  </si>
  <si>
    <t>CQC033</t>
  </si>
  <si>
    <t>Care Quality Commission</t>
  </si>
  <si>
    <t>CPIDDOH033 Administration of Radioactive Substances Advisory Committee</t>
  </si>
  <si>
    <t>CPIDDOH033</t>
  </si>
  <si>
    <t>DOH033</t>
  </si>
  <si>
    <t>Administration of Radioactive Substances Advisory Committee</t>
  </si>
  <si>
    <t>CPIDDOH033 Advisory Committee on Antimicrobial Resistance and Healthcare Associated Infection</t>
  </si>
  <si>
    <t>Advisory Committee on Antimicrobial Resistance and Healthcare Associated Infection</t>
  </si>
  <si>
    <t>CPIDDOH033 Advisory Committee on Borderline Substances</t>
  </si>
  <si>
    <t>Advisory Committee on Borderline Substances</t>
  </si>
  <si>
    <t>CPIDDOH033 Advisory Committee on Clinical Excellence Awards</t>
  </si>
  <si>
    <t>Advisory Committee on Clinical Excellence Awards</t>
  </si>
  <si>
    <t>CPIDDOH033 Advisory Committee on Dangerous Pathogens</t>
  </si>
  <si>
    <t>Advisory Committee on Dangerous Pathogens</t>
  </si>
  <si>
    <t>CPIDDOH033 Advisory Committee on the Safety of Blood, Tissues and Organs</t>
  </si>
  <si>
    <t>Advisory Committee on the Safety of Blood, Tissues and Organs</t>
  </si>
  <si>
    <t>CPIDDOH033 Advisory Group on Hepatitis</t>
  </si>
  <si>
    <t>Advisory Group on Hepatitis</t>
  </si>
  <si>
    <t>CPIDDOH033 Committee on Carcinogenicity of Chemicals in Food, Consumer Products and the Environment</t>
  </si>
  <si>
    <t>Committee on Carcinogenicity of Chemicals in Food, Consumer Products and the Environment</t>
  </si>
  <si>
    <t>CPIDDOH033 Committee on the Medical Aspects of Radiation in the Environment</t>
  </si>
  <si>
    <t>Committee on the Medical Aspects of Radiation in the Environment</t>
  </si>
  <si>
    <t>CPIDDOH033 Committee on the Medical Effects of Air Pollutants</t>
  </si>
  <si>
    <t>Committee on the Medical Effects of Air Pollutants</t>
  </si>
  <si>
    <t>CPIDDOH033 Committee on the Mutagenicity of Chemicals in Food, Consumer Products and the Environment</t>
  </si>
  <si>
    <t>Committee on the Mutagenicity of Chemicals in Food, Consumer Products and the Environment</t>
  </si>
  <si>
    <t>CPIDDOH033 Department of Health and Social Care (formerly Department of Health)</t>
  </si>
  <si>
    <t>Department of Health and Social Care (formerly Department of Health)</t>
  </si>
  <si>
    <t>Include all PCTs and all SHAs</t>
  </si>
  <si>
    <t>CPIDDOH033 Expert Advisory Group on AIDS</t>
  </si>
  <si>
    <t>Expert Advisory Group on AIDS</t>
  </si>
  <si>
    <t>CPIDDOH033 Healthwatch England</t>
  </si>
  <si>
    <t>Healthwatch England</t>
  </si>
  <si>
    <t>CPIDDOH033 Independent Reconfiguration Panel</t>
  </si>
  <si>
    <t>Independent Reconfiguration Panel</t>
  </si>
  <si>
    <t>CPIDDOH033 Joint Committee on Vaccination and Immunisation</t>
  </si>
  <si>
    <t>Joint Committee on Vaccination and Immunisation</t>
  </si>
  <si>
    <t>CPIDDOH033 Review Body on Doctors’ and Dentists’ Remuneration</t>
  </si>
  <si>
    <t>Review Body on Doctors’ and Dentists’ Remuneration</t>
  </si>
  <si>
    <t>CPIDDOH033 Scientific Advisory Committee on Nutrition</t>
  </si>
  <si>
    <t>Scientific Advisory Committee on Nutrition</t>
  </si>
  <si>
    <t>CPIDDOH033 The NHS Pay Review Body</t>
  </si>
  <si>
    <t>The NHS Pay Review Body</t>
  </si>
  <si>
    <t>CPIDGEL033 Genomics England Limited</t>
  </si>
  <si>
    <t>CPIDGEL033</t>
  </si>
  <si>
    <t>GEL033</t>
  </si>
  <si>
    <t>Genomics England Limited</t>
  </si>
  <si>
    <t>CPIDHEE033 Health Education England</t>
  </si>
  <si>
    <t>CPIDHEE033</t>
  </si>
  <si>
    <t>HEE033</t>
  </si>
  <si>
    <t>Health Education England</t>
  </si>
  <si>
    <t>CPIDHFE033 Human Fertilisation and Embryology Authority</t>
  </si>
  <si>
    <t>CPIDHFE033</t>
  </si>
  <si>
    <t>HFE033</t>
  </si>
  <si>
    <t>Human Fertilisation and Embryology Authority</t>
  </si>
  <si>
    <t>CPIDHIC033 NHS Digital</t>
  </si>
  <si>
    <t>CPIDHIC033</t>
  </si>
  <si>
    <t>HIC033</t>
  </si>
  <si>
    <t>NHS Digital</t>
  </si>
  <si>
    <t>CPIDHPC033 Health &amp; Care Professions Council</t>
  </si>
  <si>
    <t>CPIDHPC033</t>
  </si>
  <si>
    <t>HPC033</t>
  </si>
  <si>
    <t>Health &amp; Care Professions Council</t>
  </si>
  <si>
    <t>CPIDHRA033 Health Research Authority</t>
  </si>
  <si>
    <t>CPIDHRA033</t>
  </si>
  <si>
    <t>HRA033</t>
  </si>
  <si>
    <t>Health Research Authority</t>
  </si>
  <si>
    <t>CPIDHSA033 UK Health and Security Agency</t>
  </si>
  <si>
    <t>CPIDHSA033</t>
  </si>
  <si>
    <t>HSA033</t>
  </si>
  <si>
    <t>UK Health and Security Agency</t>
  </si>
  <si>
    <t>CPIDHTA033 Human Tissue Authority</t>
  </si>
  <si>
    <t>CPIDHTA033</t>
  </si>
  <si>
    <t>HTA033</t>
  </si>
  <si>
    <t>Human Tissue Authority</t>
  </si>
  <si>
    <t>CPIDMIR033 Indp Regulator for NHS Found Trusts (Monitor)</t>
  </si>
  <si>
    <t>CPIDMIR033</t>
  </si>
  <si>
    <t>MIR033</t>
  </si>
  <si>
    <t>Indp Regulator for NHS Found Trusts (Monitor)</t>
  </si>
  <si>
    <t>CPIDNCE033 National Institute for Health &amp; Care Excellence</t>
  </si>
  <si>
    <t>CPIDNCE033</t>
  </si>
  <si>
    <t>NCE033</t>
  </si>
  <si>
    <t>National Institute for Health &amp; Care Excellence</t>
  </si>
  <si>
    <t>CPIDNFTCHR NHS Charitable Trusts</t>
  </si>
  <si>
    <t>CPIDNFTCHR</t>
  </si>
  <si>
    <t>NFTCHR</t>
  </si>
  <si>
    <t>NHS Charitable Trusts</t>
  </si>
  <si>
    <t>CPIDNMC033 The Nursing and Midwifery Council</t>
  </si>
  <si>
    <t>CPIDNMC033</t>
  </si>
  <si>
    <t>NMC033</t>
  </si>
  <si>
    <t>The Nursing and Midwifery Council</t>
  </si>
  <si>
    <t>CPIDNPS033 NHS Property Services Ltd</t>
  </si>
  <si>
    <t>CPIDNPS033</t>
  </si>
  <si>
    <t>NPS033</t>
  </si>
  <si>
    <t>NHS Property Services Ltd</t>
  </si>
  <si>
    <t>CPIDPSA033 Professional Standards Auth for Health &amp; Soc Care</t>
  </si>
  <si>
    <t>CPIDPSA033</t>
  </si>
  <si>
    <t>PSA033</t>
  </si>
  <si>
    <t>Professional Standards Auth for Health &amp; Soc Care</t>
  </si>
  <si>
    <t>CPIDRES033 NHS Resolution (also known as NHS Litigation Authority)</t>
  </si>
  <si>
    <t>CPIDRES033</t>
  </si>
  <si>
    <t>RES033</t>
  </si>
  <si>
    <t>NHS Resolution (also known as NHS Litigation Authority)</t>
  </si>
  <si>
    <t>CPIDSCC033 Supply Chain Coordination Ltd</t>
  </si>
  <si>
    <t>CPIDSCC033</t>
  </si>
  <si>
    <t>SCC033</t>
  </si>
  <si>
    <t>Supply Chain Coordination Ltd</t>
  </si>
  <si>
    <t>CPIDSKF033 Skipton Fund Limited</t>
  </si>
  <si>
    <t>CPIDSKF033</t>
  </si>
  <si>
    <t>SKF033</t>
  </si>
  <si>
    <t>Skipton Fund Limited</t>
  </si>
  <si>
    <t>CPIDTDA033 NHS Trust Development Authority</t>
  </si>
  <si>
    <t>CPIDTDA033</t>
  </si>
  <si>
    <t>TDA033</t>
  </si>
  <si>
    <t>NHS Trust Development Authority</t>
  </si>
  <si>
    <t>CPIDCOH084 Companies House</t>
  </si>
  <si>
    <t>CPIDCOH084</t>
  </si>
  <si>
    <t>COH084</t>
  </si>
  <si>
    <t>Companies House</t>
  </si>
  <si>
    <t>Dept for Business, Energy &amp; Industrial Strategy</t>
  </si>
  <si>
    <t>CPIDFSA026 Advisory Committee for Social Science (formerly Social Science Research Committee)</t>
  </si>
  <si>
    <t>CPIDFSA026</t>
  </si>
  <si>
    <t>FSA026</t>
  </si>
  <si>
    <t>Advisory Committee for Social Science (formerly Social Science Research Committee)</t>
  </si>
  <si>
    <t>Food Standards Agency</t>
  </si>
  <si>
    <t>CPIDFSA026 Advisory Committee on Animal Feedingstuffs</t>
  </si>
  <si>
    <t>Advisory Committee on Animal Feedingstuffs</t>
  </si>
  <si>
    <t>CPIDFSA026 Advisory Committee on Novel Foods and Processes</t>
  </si>
  <si>
    <t>Advisory Committee on Novel Foods and Processes</t>
  </si>
  <si>
    <t>CPIDFSA026 Advisory Committee on the Microbiological Safety of Food</t>
  </si>
  <si>
    <t>Advisory Committee on the Microbiological Safety of Food</t>
  </si>
  <si>
    <t>CPIDFSA026 Committee on Toxicity of Chemicals in Food, Consumer Products and the Environment</t>
  </si>
  <si>
    <t>Committee on Toxicity of Chemicals in Food, Consumer Products and the Environment</t>
  </si>
  <si>
    <t>CPIDFSA026 Food Standards Agency</t>
  </si>
  <si>
    <t>CPIDFSA026 Science Council</t>
  </si>
  <si>
    <t>Science Council</t>
  </si>
  <si>
    <t>CPIDFCD030 Marshall Aid Commemoration Commission</t>
  </si>
  <si>
    <t>CPIDFCD030</t>
  </si>
  <si>
    <t>FCD030</t>
  </si>
  <si>
    <t>Marshall Aid Commemoration Commission</t>
  </si>
  <si>
    <t>Foreign and Commonwealth Office</t>
  </si>
  <si>
    <t>CPIDFCD030 The Great Britain-China Centre</t>
  </si>
  <si>
    <t>The Great Britain-China Centre</t>
  </si>
  <si>
    <t>CPIDFCD030 The Westminster Foundation for Democracy Limited</t>
  </si>
  <si>
    <t>The Westminster Foundation for Democracy Limited</t>
  </si>
  <si>
    <t>CPIDCSC030 Commonwealth Scholarship Commission in the UK</t>
  </si>
  <si>
    <t>CPIDCSC030</t>
  </si>
  <si>
    <t>CSC030</t>
  </si>
  <si>
    <t>Commonwealth Scholarship Commission in the UK</t>
  </si>
  <si>
    <t>Foreign, Commonwealth and Development Office</t>
  </si>
  <si>
    <t>CPIDFCD030 Foreign, Commonwealth and Development Office</t>
  </si>
  <si>
    <t>CPIDFCS030 FCO Services</t>
  </si>
  <si>
    <t>CPIDFCS030</t>
  </si>
  <si>
    <t>FCS030</t>
  </si>
  <si>
    <t>FCO Services</t>
  </si>
  <si>
    <t>CPIDICA030 The Independent Commission for Aid Impact</t>
  </si>
  <si>
    <t>CPIDICA030</t>
  </si>
  <si>
    <t>ICA030</t>
  </si>
  <si>
    <t>The Independent Commission for Aid Impact</t>
  </si>
  <si>
    <t>CPIDHMR041 HM Revenue &amp; Customs</t>
  </si>
  <si>
    <t>CPIDHMR041</t>
  </si>
  <si>
    <t>HMR041</t>
  </si>
  <si>
    <t>HM Revenue &amp; Customs</t>
  </si>
  <si>
    <t>HM Revenue and Customs</t>
  </si>
  <si>
    <r>
      <rPr>
        <b/>
        <sz val="11"/>
        <color rgb="FFFF0000"/>
        <rFont val="Calibri"/>
        <family val="2"/>
        <scheme val="minor"/>
      </rPr>
      <t>NOT</t>
    </r>
    <r>
      <rPr>
        <sz val="11"/>
        <rFont val="Calibri"/>
        <family val="2"/>
        <scheme val="minor"/>
      </rPr>
      <t xml:space="preserve"> for Tax - see below. Use for HMRC as a dept - e.g. if you have seconded staff to them.</t>
    </r>
  </si>
  <si>
    <t>CPIDHMR041 RCDTS</t>
  </si>
  <si>
    <t>RCDTS</t>
  </si>
  <si>
    <t>CPIDHMR041 Valuation Office Agency</t>
  </si>
  <si>
    <t>Valuation Office Agency</t>
  </si>
  <si>
    <t>CPIDDMO087 UK Debt Management Office</t>
  </si>
  <si>
    <t>CPIDDMO087</t>
  </si>
  <si>
    <t>DMO087</t>
  </si>
  <si>
    <t>UK Debt Management Office</t>
  </si>
  <si>
    <t>HM Treasury</t>
  </si>
  <si>
    <t>CPIDGIA087 Government Internal Audit Agency</t>
  </si>
  <si>
    <t>CPIDGIA087</t>
  </si>
  <si>
    <t>GIA087</t>
  </si>
  <si>
    <t>Government Internal Audit Agency</t>
  </si>
  <si>
    <t>CPIDHMT087 Financial Reporting Advisory Board</t>
  </si>
  <si>
    <t>CPIDHMT087</t>
  </si>
  <si>
    <t>HMT087</t>
  </si>
  <si>
    <t>Financial Reporting Advisory Board</t>
  </si>
  <si>
    <t>CPIDHMT087 HM Treasury</t>
  </si>
  <si>
    <t>CPIDHMT087 IUK Investments Holdings Limited</t>
  </si>
  <si>
    <t>IUK Investments Holdings Limited</t>
  </si>
  <si>
    <t>CPIDHMT087 IUK Investments Limited</t>
  </si>
  <si>
    <t>IUK Investments Limited</t>
  </si>
  <si>
    <t>CPIDHMT087 Local Partnerships LLP</t>
  </si>
  <si>
    <t>Local Partnerships LLP</t>
  </si>
  <si>
    <t>CPIDHMT087 National Infrastructure Commission</t>
  </si>
  <si>
    <t>National Infrastructure Commission</t>
  </si>
  <si>
    <t>CPIDHMT087 Royal Mint Advisory Committee on the Design of Coins, Medals, Seals and Decorations</t>
  </si>
  <si>
    <t>Royal Mint Advisory Committee on the Design of Coins, Medals, Seals and Decorations</t>
  </si>
  <si>
    <t>CPIDHMT087 UK Government Investments</t>
  </si>
  <si>
    <t>UK Government Investments</t>
  </si>
  <si>
    <t>CPIDHTB087 Help to Buy (HMT) Limited</t>
  </si>
  <si>
    <t>CPIDHTB087</t>
  </si>
  <si>
    <t>HTB087</t>
  </si>
  <si>
    <t>Help to Buy (HMT) Limited</t>
  </si>
  <si>
    <t>CPIDOBR087 Office for Budget Responsibility</t>
  </si>
  <si>
    <t>CPIDOBR087</t>
  </si>
  <si>
    <t>OBR087</t>
  </si>
  <si>
    <t>Office for Budget Responsibility</t>
  </si>
  <si>
    <t>CPIDRFL087 Reclaim Fund Ltd</t>
  </si>
  <si>
    <t>CPIDRFL087</t>
  </si>
  <si>
    <t>RFL087</t>
  </si>
  <si>
    <t>Reclaim Fund Ltd</t>
  </si>
  <si>
    <t>CPIDRHH087 Royal Household</t>
  </si>
  <si>
    <t>CPIDRHH087</t>
  </si>
  <si>
    <t>RHH087</t>
  </si>
  <si>
    <t>Royal Household</t>
  </si>
  <si>
    <t>CPIDSUK087 UK Sovereign Sukuk</t>
  </si>
  <si>
    <t>CPIDSUK087</t>
  </si>
  <si>
    <t>SUK087</t>
  </si>
  <si>
    <t>UK Sovereign Sukuk</t>
  </si>
  <si>
    <t>CPIDUIB087 UK Infrastructure Bank</t>
  </si>
  <si>
    <t>CPIDUIB087</t>
  </si>
  <si>
    <t>UIB087</t>
  </si>
  <si>
    <t>UK Infrastructure Bank</t>
  </si>
  <si>
    <t>CPIDUKR087 UKAR Asset Resolution Limited</t>
  </si>
  <si>
    <t>CPIDUKR087</t>
  </si>
  <si>
    <t>UKR087</t>
  </si>
  <si>
    <t>UKAR Asset Resolution Limited</t>
  </si>
  <si>
    <t>CPIDCOP034 College of Policing</t>
  </si>
  <si>
    <t>CPIDCOP034</t>
  </si>
  <si>
    <t>COP034</t>
  </si>
  <si>
    <t>College of Policing</t>
  </si>
  <si>
    <t>Home Office</t>
  </si>
  <si>
    <t>CPIDDBS034 Disclosure and Barring Service</t>
  </si>
  <si>
    <t>CPIDDBS034</t>
  </si>
  <si>
    <t>DBS034</t>
  </si>
  <si>
    <t>Disclosure and Barring Service</t>
  </si>
  <si>
    <t>CPIDGLA034 Gangmasters and Labour Abuse Authority</t>
  </si>
  <si>
    <t>CPIDGLA034</t>
  </si>
  <si>
    <t>GLA034</t>
  </si>
  <si>
    <t>Gangmasters and Labour Abuse Authority</t>
  </si>
  <si>
    <t>CPIDHOF034 Advisory Council on the Misuse of Drugs (formerly The Advisory Council on the Misuse of Drugs)</t>
  </si>
  <si>
    <t>CPIDHOF034</t>
  </si>
  <si>
    <t>HOF034</t>
  </si>
  <si>
    <t>Advisory Council on the Misuse of Drugs (formerly The Advisory Council on the Misuse of Drugs)</t>
  </si>
  <si>
    <t>CPIDHOF034 Animals in Science Committee</t>
  </si>
  <si>
    <t>Animals in Science Committee</t>
  </si>
  <si>
    <t>CPIDHOF034 His Majesty's Inspectorate of Constabulary and Fire &amp; Rescue Services</t>
  </si>
  <si>
    <t>His Majesty's Inspectorate of Constabulary and Fire &amp; Rescue Services</t>
  </si>
  <si>
    <t>CPIDHOF034 Home Office</t>
  </si>
  <si>
    <t>CPIDHOF034 Independent Chief Inspector of Borders and Immigration</t>
  </si>
  <si>
    <t>Independent Chief Inspector of Borders and Immigration</t>
  </si>
  <si>
    <t>CPIDHOF034 Investigatory Powers Tribunal</t>
  </si>
  <si>
    <t>Investigatory Powers Tribunal</t>
  </si>
  <si>
    <t>CPIDHOF034 Migration Advisory Committee</t>
  </si>
  <si>
    <t>Migration Advisory Committee</t>
  </si>
  <si>
    <t>CPIDHOF034 National DNA Database Ethics Group</t>
  </si>
  <si>
    <t>National DNA Database Ethics Group</t>
  </si>
  <si>
    <t>CPIDHOF034 Police (Discipline) Appeals Tribunal</t>
  </si>
  <si>
    <t>Police (Discipline) Appeals Tribunal</t>
  </si>
  <si>
    <t>CPIDHOF034 Police Advisory Board for England and Wales</t>
  </si>
  <si>
    <t>Police Advisory Board for England and Wales</t>
  </si>
  <si>
    <t>CPIDHOF034 Technical Advisory Board</t>
  </si>
  <si>
    <t>Technical Advisory Board</t>
  </si>
  <si>
    <t>CPIDHTS034 Home Office Trust Statement</t>
  </si>
  <si>
    <t>CPIDHTS034</t>
  </si>
  <si>
    <t>HTS034</t>
  </si>
  <si>
    <t>Home Office Trust Statement</t>
  </si>
  <si>
    <t>CPIDIPO034 Independent Office for Policy Conduct</t>
  </si>
  <si>
    <t>CPIDIPO034</t>
  </si>
  <si>
    <t>IPO034</t>
  </si>
  <si>
    <t>Independent Office for Policy Conduct</t>
  </si>
  <si>
    <t>CPIDOIS034 Office of the Immigration Services Commissioner</t>
  </si>
  <si>
    <t>CPIDOIS034</t>
  </si>
  <si>
    <t>OIS034</t>
  </si>
  <si>
    <t>Office of the Immigration Services Commissioner</t>
  </si>
  <si>
    <t>CPIDSIY034 Security Industry Authority</t>
  </si>
  <si>
    <t>CPIDSIY034</t>
  </si>
  <si>
    <t>SIY034</t>
  </si>
  <si>
    <t>Security Industry Authority</t>
  </si>
  <si>
    <t>CPIDMOD017 Advisory Committee on Conscientious Objectors</t>
  </si>
  <si>
    <t>CPIDMOD017</t>
  </si>
  <si>
    <t>MOD017</t>
  </si>
  <si>
    <t>Advisory Committee on Conscientious Objectors</t>
  </si>
  <si>
    <t>Ministry of Defence</t>
  </si>
  <si>
    <t>CPIDMOD017 Advisory Group on Military Medicine</t>
  </si>
  <si>
    <t>Advisory Group on Military Medicine</t>
  </si>
  <si>
    <t>CPIDMOD017 Armed Forces Covenant Fund Trust</t>
  </si>
  <si>
    <t>Armed Forces Covenant Fund Trust</t>
  </si>
  <si>
    <t>CPIDMOD017 Armed Forces Pay Review Body</t>
  </si>
  <si>
    <t>Armed Forces Pay Review Body</t>
  </si>
  <si>
    <t>CPIDMOD017 Central Advisory Committee on Compensation</t>
  </si>
  <si>
    <t>Central Advisory Committee on Compensation</t>
  </si>
  <si>
    <t>CPIDMOD017 Commonwealth War Graves Commission</t>
  </si>
  <si>
    <t>Commonwealth War Graves Commission</t>
  </si>
  <si>
    <t>CPIDMOD017 Council of Reserve Forces and Cadet Associations</t>
  </si>
  <si>
    <t>Council of Reserve Forces and Cadet Associations</t>
  </si>
  <si>
    <t>CPIDMOD017 Defence Nuclear Safety Committee</t>
  </si>
  <si>
    <t>Defence Nuclear Safety Committee</t>
  </si>
  <si>
    <t>CPIDMOD017 Defence Scientific Advisory Council</t>
  </si>
  <si>
    <t>Defence Scientific Advisory Council</t>
  </si>
  <si>
    <t>CPIDMOD017 Independent Monitoring Board for the Military Corrective Training Centre (MCTC) Colchester</t>
  </si>
  <si>
    <t>Independent Monitoring Board for the Military Corrective Training Centre (MCTC) Colchester</t>
  </si>
  <si>
    <t>CPIDMOD017 International Military Services Ltd</t>
  </si>
  <si>
    <t>International Military Services Ltd</t>
  </si>
  <si>
    <t>CPIDMOD017 Ministry of Defence</t>
  </si>
  <si>
    <t>CPIDMOD017 National Employer Advisory Board</t>
  </si>
  <si>
    <t>National Employer Advisory Board</t>
  </si>
  <si>
    <t>CPIDMOD017 National Museum of the Royal Navy</t>
  </si>
  <si>
    <t>National Museum of the Royal Navy</t>
  </si>
  <si>
    <t>CPIDMOD017 Nuclear Research Advisory Council</t>
  </si>
  <si>
    <t>Nuclear Research Advisory Council</t>
  </si>
  <si>
    <t>CPIDMOD017 Science Advisory Committee on the Medical Implications of Less Lethal Weapons</t>
  </si>
  <si>
    <t>Science Advisory Committee on the Medical Implications of Less Lethal Weapons</t>
  </si>
  <si>
    <t>CPIDMOD017 Service Complaints Ombudsman</t>
  </si>
  <si>
    <t>Service Complaints Ombudsman</t>
  </si>
  <si>
    <t>CPIDMOD017 Service Prosecuting Authority</t>
  </si>
  <si>
    <t>Service Prosecuting Authority</t>
  </si>
  <si>
    <t>CPIDMOD017 Single Source Regulations Office</t>
  </si>
  <si>
    <t>Single Source Regulations Office</t>
  </si>
  <si>
    <t>CPIDMOD017 Veterans Advisory and Pensions Committees</t>
  </si>
  <si>
    <t>Veterans Advisory and Pensions Committees</t>
  </si>
  <si>
    <t>CPIDNAM017 National Army Museum</t>
  </si>
  <si>
    <t>CPIDNAM017</t>
  </si>
  <si>
    <t>NAM017</t>
  </si>
  <si>
    <t>National Army Museum</t>
  </si>
  <si>
    <t>CPIDRAF017 Royal Air Force Museum</t>
  </si>
  <si>
    <t>CPIDRAF017</t>
  </si>
  <si>
    <t>RAF017</t>
  </si>
  <si>
    <t>Royal Air Force Museum</t>
  </si>
  <si>
    <t>CPIDRHC017 Royal Hospital Chelsea</t>
  </si>
  <si>
    <t>CPIDRHC017</t>
  </si>
  <si>
    <t>RHC017</t>
  </si>
  <si>
    <t>Royal Hospital Chelsea</t>
  </si>
  <si>
    <t>CPIDMOJ047 Advisory Committee on Civil Costs</t>
  </si>
  <si>
    <t>CPIDMOJ047</t>
  </si>
  <si>
    <t>MOJ047</t>
  </si>
  <si>
    <t>Advisory Committee on Civil Costs</t>
  </si>
  <si>
    <t>Ministry of Justice</t>
  </si>
  <si>
    <t>CPIDMOJ047 Advisory Committees on Justices of the Peace in England and Wales</t>
  </si>
  <si>
    <t>Advisory Committees on Justices of the Peace in England and Wales</t>
  </si>
  <si>
    <t>CPIDMOJ047 Assessor for Compensation of Miscarriages of Justice</t>
  </si>
  <si>
    <t>Assessor for Compensation of Miscarriages of Justice</t>
  </si>
  <si>
    <t>CPIDMOJ047 Chief Coroner's Office</t>
  </si>
  <si>
    <t>Chief Coroner's Office</t>
  </si>
  <si>
    <t>CPIDMOJ047 Children and Family Court Advisory and Support Service</t>
  </si>
  <si>
    <t>Children and Family Court Advisory and Support Service</t>
  </si>
  <si>
    <t>CPIDMOJ047 Civil Justice Council</t>
  </si>
  <si>
    <t>Civil Justice Council</t>
  </si>
  <si>
    <t>CPIDMOJ047 Civil Procedure Rule Committee</t>
  </si>
  <si>
    <t>Civil Procedure Rule Committee</t>
  </si>
  <si>
    <t>CPIDMOJ047 Criminal Cases Review Commission</t>
  </si>
  <si>
    <t>Criminal Cases Review Commission</t>
  </si>
  <si>
    <t>CPIDMOJ047 Criminal Injuries Compensation Authority</t>
  </si>
  <si>
    <t>Criminal Injuries Compensation Authority</t>
  </si>
  <si>
    <t>CPIDMOJ047 Criminal Procedure Rule Committee</t>
  </si>
  <si>
    <t>Criminal Procedure Rule Committee</t>
  </si>
  <si>
    <t>CPIDMOJ047 Family Justice Council</t>
  </si>
  <si>
    <t>Family Justice Council</t>
  </si>
  <si>
    <t>CPIDMOJ047 Family Procedure Rules Committee</t>
  </si>
  <si>
    <t>Family Procedure Rules Committee</t>
  </si>
  <si>
    <t>CPIDMOJ047 Government Facility Services Limited</t>
  </si>
  <si>
    <t>Government Facility Services Limited</t>
  </si>
  <si>
    <t>CPIDMOJ047 Her Majesty's Courts &amp; Tribunals Service</t>
  </si>
  <si>
    <t>Her Majesty's Courts &amp; Tribunals Service</t>
  </si>
  <si>
    <t>CPIDMOJ047 HM Prison &amp; Probation Service (HMPPS)</t>
  </si>
  <si>
    <t>HM Prison &amp; Probation Service (HMPPS)</t>
  </si>
  <si>
    <t>CPIDMOJ047 Independent Advisory Panel on Deaths in Custody</t>
  </si>
  <si>
    <t>Independent Advisory Panel on Deaths in Custody</t>
  </si>
  <si>
    <t>CPIDMOJ047 Independent Monitoring Authority for the Citizens' Rights Agreements</t>
  </si>
  <si>
    <t>Independent Monitoring Authority for the Citizens' Rights Agreements</t>
  </si>
  <si>
    <t>CPIDMOJ047 Independent Monitoring Boards of Prisons, Immigration Removal Centres and Immigration Holding Facilities</t>
  </si>
  <si>
    <t>Independent Monitoring Boards of Prisons, Immigration Removal Centres and Immigration Holding Facilities</t>
  </si>
  <si>
    <t>CPIDMOJ047 Judicial Appointments and Conduct Ombudsman</t>
  </si>
  <si>
    <t>Judicial Appointments and Conduct Ombudsman</t>
  </si>
  <si>
    <t>CPIDMOJ047 Judicial Appointments Commission</t>
  </si>
  <si>
    <t>Judicial Appointments Commission</t>
  </si>
  <si>
    <t>CPIDMOJ047 Judicial College</t>
  </si>
  <si>
    <t>Judicial College</t>
  </si>
  <si>
    <t>CPIDMOJ047 Judicial Office</t>
  </si>
  <si>
    <t>Judicial Office</t>
  </si>
  <si>
    <t>CPIDMOJ047 Law Commission</t>
  </si>
  <si>
    <t>Law Commission</t>
  </si>
  <si>
    <t>CPIDMOJ047 Legal Aid Agency</t>
  </si>
  <si>
    <t>Legal Aid Agency</t>
  </si>
  <si>
    <t>CPIDMOJ047 Legal Services Board</t>
  </si>
  <si>
    <t>Legal Services Board</t>
  </si>
  <si>
    <t>CPIDMOJ047 Ministry of Justice</t>
  </si>
  <si>
    <t>CPIDMOJ047 Office for Legal Complaints</t>
  </si>
  <si>
    <t>Office for Legal Complaints</t>
  </si>
  <si>
    <t>CPIDMOJ047 Office of HM Inspectorate of Prisons</t>
  </si>
  <si>
    <t>Office of HM Inspectorate of Prisons</t>
  </si>
  <si>
    <t>CPIDMOJ047 Office of HM Inspectorate of Probation</t>
  </si>
  <si>
    <t>Office of HM Inspectorate of Probation</t>
  </si>
  <si>
    <t>CPIDMOJ047 Office of the Commissioner for Victims and Witnesses</t>
  </si>
  <si>
    <t>Office of the Commissioner for Victims and Witnesses</t>
  </si>
  <si>
    <t>CPIDMOJ047 Office of the Judge Advocate General</t>
  </si>
  <si>
    <t>Office of the Judge Advocate General</t>
  </si>
  <si>
    <t>CPIDMOJ047 Office of the Public Guardian</t>
  </si>
  <si>
    <t>Office of the Public Guardian</t>
  </si>
  <si>
    <t>CPIDMOJ047 Official Solicitor and Public Trustee</t>
  </si>
  <si>
    <t>Official Solicitor and Public Trustee</t>
  </si>
  <si>
    <t>CPIDMOJ047 Parole Board for England and Wales</t>
  </si>
  <si>
    <t>Parole Board for England and Wales</t>
  </si>
  <si>
    <t>CPIDMOJ047 Press Recognitional Panel</t>
  </si>
  <si>
    <t>Press Recognitional Panel</t>
  </si>
  <si>
    <t>CPIDMOJ047 Prison Service Pay Review Body</t>
  </si>
  <si>
    <t>Prison Service Pay Review Body</t>
  </si>
  <si>
    <t>CPIDMOJ047 Prisons and Probation Ombudsman</t>
  </si>
  <si>
    <t>Prisons and Probation Ombudsman</t>
  </si>
  <si>
    <t>CPIDMOJ047 Probation Trusts (as established under section 5 of the Offender Management Act 2007)</t>
  </si>
  <si>
    <t>Probation Trusts (as established under section 5 of the Offender Management Act 2007)</t>
  </si>
  <si>
    <t>CPIDMOJ047 Sentencing Council for England and Wales</t>
  </si>
  <si>
    <t>Sentencing Council for England and Wales</t>
  </si>
  <si>
    <t>CPIDMOJ047 Tribunal Procedure Committee</t>
  </si>
  <si>
    <t>Tribunal Procedure Committee</t>
  </si>
  <si>
    <t>CPIDMOJ047 Youth Justice Board for England and Wales</t>
  </si>
  <si>
    <t>Youth Justice Board for England and Wales</t>
  </si>
  <si>
    <t>CPIDARI201 Agrifood and Biosciences Institute of NIE</t>
  </si>
  <si>
    <t>CPIDARI201</t>
  </si>
  <si>
    <t>ARI201</t>
  </si>
  <si>
    <t>Agrifood and Biosciences Institute of NIE</t>
  </si>
  <si>
    <t>Northern Ireland</t>
  </si>
  <si>
    <t>CPIDCEA203 NIE Council for the Curriculum Exam &amp; Assess</t>
  </si>
  <si>
    <t>CPIDCEA203</t>
  </si>
  <si>
    <t>CEA203</t>
  </si>
  <si>
    <t>NIE Council for the Curriculum Exam &amp; Assess</t>
  </si>
  <si>
    <t>CPIDDAE205 Dept of Agriculture Environ and Rural Affairs -NI</t>
  </si>
  <si>
    <t>CPIDDAE205</t>
  </si>
  <si>
    <t>DAE205</t>
  </si>
  <si>
    <t>Dept of Agriculture Environ and Rural Affairs -NI</t>
  </si>
  <si>
    <t>CPIDDEY205 Department for The Economy - NI</t>
  </si>
  <si>
    <t>CPIDDEY205</t>
  </si>
  <si>
    <t>DEY205</t>
  </si>
  <si>
    <t>Department for The Economy - NI</t>
  </si>
  <si>
    <t>CPIDDFC205 Department for Communities - NI</t>
  </si>
  <si>
    <t>CPIDDFC205</t>
  </si>
  <si>
    <t>DFC205</t>
  </si>
  <si>
    <t>Department for Communities - NI</t>
  </si>
  <si>
    <t>CPIDDFI205 Department for Infrastructure - NI</t>
  </si>
  <si>
    <t>CPIDDFI205</t>
  </si>
  <si>
    <t>DFI205</t>
  </si>
  <si>
    <t>Department for Infrastructure - NI</t>
  </si>
  <si>
    <t>CPIDDOF205 Department of Finance - NI</t>
  </si>
  <si>
    <t>CPIDDOF205</t>
  </si>
  <si>
    <t>DOF205</t>
  </si>
  <si>
    <t>Department of Finance - NI</t>
  </si>
  <si>
    <t>CPIDDOJ213 Department of Justice - Northern Ireland</t>
  </si>
  <si>
    <t>CPIDDOJ213</t>
  </si>
  <si>
    <t>DOJ213</t>
  </si>
  <si>
    <t>Department of Justice - Northern Ireland</t>
  </si>
  <si>
    <t>CPIDEDA203 Education Authority</t>
  </si>
  <si>
    <t>CPIDEDA203</t>
  </si>
  <si>
    <t>EDA203</t>
  </si>
  <si>
    <t>Education Authority</t>
  </si>
  <si>
    <t>CPIDENI203 Department of Education - Northern Ireland</t>
  </si>
  <si>
    <t>CPIDENI203</t>
  </si>
  <si>
    <t>ENI203</t>
  </si>
  <si>
    <t>Department of Education - Northern Ireland</t>
  </si>
  <si>
    <t>CPIDFHA201 Northern Ireland Fishery Harbour Authority</t>
  </si>
  <si>
    <t>CPIDFHA201</t>
  </si>
  <si>
    <t>FHA201</t>
  </si>
  <si>
    <t>Northern Ireland Fishery Harbour Authority</t>
  </si>
  <si>
    <t>CPIDFIA208 Northern Ireland Fire and Rescue Service</t>
  </si>
  <si>
    <t>CPIDFIA208</t>
  </si>
  <si>
    <t>FIA208</t>
  </si>
  <si>
    <t>Northern Ireland Fire and Rescue Service</t>
  </si>
  <si>
    <t>CPIDHSP208 Department of Health - NI</t>
  </si>
  <si>
    <t>CPIDHSP208</t>
  </si>
  <si>
    <t>HSP208</t>
  </si>
  <si>
    <t>Department of Health - NI</t>
  </si>
  <si>
    <t>CPIDINL204 Invest Northern Ireland</t>
  </si>
  <si>
    <t>CPIDINL204</t>
  </si>
  <si>
    <t>INL204</t>
  </si>
  <si>
    <t>Invest Northern Ireland</t>
  </si>
  <si>
    <t>CPIDLPS205 DoF - Land and Property Services Trust Statement</t>
  </si>
  <si>
    <t>CPIDLPS205</t>
  </si>
  <si>
    <t>LPS205</t>
  </si>
  <si>
    <t>DoF - Land and Property Services Trust Statement</t>
  </si>
  <si>
    <t>CPIDNCF843 Northern Ireland Consolidated Fund</t>
  </si>
  <si>
    <t>CPIDNCF843</t>
  </si>
  <si>
    <t>NCF843</t>
  </si>
  <si>
    <t>Northern Ireland Consolidated Fund</t>
  </si>
  <si>
    <t>CPIDNIS202 Northern Ireland Screen Commission</t>
  </si>
  <si>
    <t>CPIDNIS202</t>
  </si>
  <si>
    <t>NIS202</t>
  </si>
  <si>
    <t>Northern Ireland Screen Commission</t>
  </si>
  <si>
    <t>CPIDNLY202 Northern Ireland Library Authority</t>
  </si>
  <si>
    <t>CPIDNLY202</t>
  </si>
  <si>
    <t>NLY202</t>
  </si>
  <si>
    <t>Northern Ireland Library Authority</t>
  </si>
  <si>
    <t>CPIDNMN202 National Museums and Galleries of Northern Ireland</t>
  </si>
  <si>
    <t>CPIDNMN202</t>
  </si>
  <si>
    <t>NMN202</t>
  </si>
  <si>
    <t>National Museums and Galleries of Northern Ireland</t>
  </si>
  <si>
    <t>CPIDNTB204 Northern Ireland Tourist Board</t>
  </si>
  <si>
    <t>CPIDNTB204</t>
  </si>
  <si>
    <t>NTB204</t>
  </si>
  <si>
    <t>Northern Ireland Tourist Board</t>
  </si>
  <si>
    <t>CPIDPBN097 Probation Board for Northern Ireland</t>
  </si>
  <si>
    <t>CPIDPBN097</t>
  </si>
  <si>
    <t>PBN097</t>
  </si>
  <si>
    <t>Probation Board for Northern Ireland</t>
  </si>
  <si>
    <t>CPIDPMD208 Northern Ireland Medical and Dental Training Agency</t>
  </si>
  <si>
    <t>CPIDPMD208</t>
  </si>
  <si>
    <t>PMD208</t>
  </si>
  <si>
    <t>Northern Ireland Medical and Dental Training Agency</t>
  </si>
  <si>
    <t>CPIDPRS214 Public Prosecution Service - Northern Ireland</t>
  </si>
  <si>
    <t>CPIDPRS214</t>
  </si>
  <si>
    <t>PRS214</t>
  </si>
  <si>
    <t>Public Prosecution Service - Northern Ireland</t>
  </si>
  <si>
    <t>CPIDPSN097 Police Service of Northern Ireland</t>
  </si>
  <si>
    <t>CPIDPSN097</t>
  </si>
  <si>
    <t>PSN097</t>
  </si>
  <si>
    <t>Police Service of Northern Ireland</t>
  </si>
  <si>
    <t>CPIDSIB211 Strategic Investment Board</t>
  </si>
  <si>
    <t>CPIDSIB211</t>
  </si>
  <si>
    <t>SIB211</t>
  </si>
  <si>
    <t>Strategic Investment Board</t>
  </si>
  <si>
    <t>CPIDTEO205 The Executive Office - NI</t>
  </si>
  <si>
    <t>CPIDTEO205</t>
  </si>
  <si>
    <t>TEO205</t>
  </si>
  <si>
    <t>The Executive Office - NI</t>
  </si>
  <si>
    <t>CPIDVTA206 Driver &amp; Vehicle Agcy NIE (formerly Driver &amp; Vehicle Agcy (Trad Fnd element only) NIE)</t>
  </si>
  <si>
    <t>CPIDVTA206</t>
  </si>
  <si>
    <t>VTA206</t>
  </si>
  <si>
    <t>Driver &amp; Vehicle Agcy NIE (formerly Driver &amp; Vehicle Agcy (Trad Fnd element only) NIE)</t>
  </si>
  <si>
    <t>CPIDBMC207 Belfast Metropolitan College</t>
  </si>
  <si>
    <t>CPIDBMC207</t>
  </si>
  <si>
    <t>BMC207</t>
  </si>
  <si>
    <t>Belfast Metropolitan College</t>
  </si>
  <si>
    <t>Northern Ireland Office</t>
  </si>
  <si>
    <t>CPIDNIO097 Northern Ireland Boundary Commission</t>
  </si>
  <si>
    <t>CPIDNIO097</t>
  </si>
  <si>
    <t>NIO097</t>
  </si>
  <si>
    <t>Northern Ireland Boundary Commission</t>
  </si>
  <si>
    <t>CPIDNIO097 Northern Ireland Office</t>
  </si>
  <si>
    <t>CPIDNRC207 Northern Regional College</t>
  </si>
  <si>
    <t>CPIDNRC207</t>
  </si>
  <si>
    <t>NRC207</t>
  </si>
  <si>
    <t>Northern Regional College</t>
  </si>
  <si>
    <t>CPIDNWC207 North West Regional College</t>
  </si>
  <si>
    <t>CPIDNWC207</t>
  </si>
  <si>
    <t>NWC207</t>
  </si>
  <si>
    <t>North West Regional College</t>
  </si>
  <si>
    <t>CPIDSEC207 South Eastern Regional College</t>
  </si>
  <si>
    <t>CPIDSEC207</t>
  </si>
  <si>
    <t>SEC207</t>
  </si>
  <si>
    <t>South Eastern Regional College</t>
  </si>
  <si>
    <t>CPIDSRC207 Southern Regional College</t>
  </si>
  <si>
    <t>CPIDSRC207</t>
  </si>
  <si>
    <t>SRC207</t>
  </si>
  <si>
    <t>Southern Regional College</t>
  </si>
  <si>
    <t>CPIDSUC207 Stranmillis University College</t>
  </si>
  <si>
    <t>CPIDSUC207</t>
  </si>
  <si>
    <t>SUC207</t>
  </si>
  <si>
    <t>Stranmillis University College</t>
  </si>
  <si>
    <t>CPIDSWC207 South West College</t>
  </si>
  <si>
    <t>CPIDSWC207</t>
  </si>
  <si>
    <t>SWC207</t>
  </si>
  <si>
    <t>South West College</t>
  </si>
  <si>
    <t>CPIDNIW099 Northern Ireland Water Ltd</t>
  </si>
  <si>
    <t>CPIDNIW099</t>
  </si>
  <si>
    <t>NIW099</t>
  </si>
  <si>
    <t>Northern Ireland Water Ltd</t>
  </si>
  <si>
    <t>Northern Ireland Public Corporation</t>
  </si>
  <si>
    <t>CPIDTHC209 Northern Ireland Transport Holding Company</t>
  </si>
  <si>
    <t>CPIDTHC209</t>
  </si>
  <si>
    <t>THC209</t>
  </si>
  <si>
    <t>Northern Ireland Transport Holding Company</t>
  </si>
  <si>
    <t>CPIDSCO042 Scotland Office and Office of the Advocate General</t>
  </si>
  <si>
    <t>CPIDSCO042</t>
  </si>
  <si>
    <t>SCO042</t>
  </si>
  <si>
    <t>Scotland Office and Office of the Advocate General</t>
  </si>
  <si>
    <t>Scotland Office</t>
  </si>
  <si>
    <t>CPIDSCF842 Scottish Consolidated Fund</t>
  </si>
  <si>
    <t>CPIDSCF842</t>
  </si>
  <si>
    <t>SCF842</t>
  </si>
  <si>
    <t>Scottish Consolidated Fund</t>
  </si>
  <si>
    <t>Scottish Central Fund</t>
  </si>
  <si>
    <t>CPIDCIS075 Care Inspectorate (SCSWIS)</t>
  </si>
  <si>
    <t>CPIDCIS075</t>
  </si>
  <si>
    <t>CIS075</t>
  </si>
  <si>
    <t>Care Inspectorate (SCSWIS)</t>
  </si>
  <si>
    <t>Scottish Central Government</t>
  </si>
  <si>
    <t>CPIDCRA075 Scottish Childrens Reporter Administration</t>
  </si>
  <si>
    <t>CPIDCRA075</t>
  </si>
  <si>
    <t>CRA075</t>
  </si>
  <si>
    <t>Scottish Childrens Reporter Administration</t>
  </si>
  <si>
    <t>CPIDCRC075 Scottish Court Service</t>
  </si>
  <si>
    <t>CPIDCRC075</t>
  </si>
  <si>
    <t>CRC075</t>
  </si>
  <si>
    <t>Scottish Court Service</t>
  </si>
  <si>
    <t>CPIDCRE075 Creative Scotland</t>
  </si>
  <si>
    <t>CPIDCRE075</t>
  </si>
  <si>
    <t>CRE075</t>
  </si>
  <si>
    <t>Creative Scotland</t>
  </si>
  <si>
    <t>CPIDCRF075 Creative Scotland National Lottery Distribut Fund</t>
  </si>
  <si>
    <t>CPIDCRF075</t>
  </si>
  <si>
    <t>CRF075</t>
  </si>
  <si>
    <t>Creative Scotland National Lottery Distribut Fund</t>
  </si>
  <si>
    <t>CPIDDMB075 David MacBrayne Ltd</t>
  </si>
  <si>
    <t>CPIDDMB075</t>
  </si>
  <si>
    <t>DMB075</t>
  </si>
  <si>
    <t>David MacBrayne Ltd</t>
  </si>
  <si>
    <t>CPIDEPA075 Scottish Environment Protection Agency</t>
  </si>
  <si>
    <t>CPIDEPA075</t>
  </si>
  <si>
    <t>EPA075</t>
  </si>
  <si>
    <t>Scottish Environment Protection Agency</t>
  </si>
  <si>
    <t>CPIDHES075 Historic Environment Scotland</t>
  </si>
  <si>
    <t>CPIDHES075</t>
  </si>
  <si>
    <t>HES075</t>
  </si>
  <si>
    <t>Historic Environment Scotland</t>
  </si>
  <si>
    <t>CPIDHIA075 Highlands and Islands Airports Ltd</t>
  </si>
  <si>
    <t>CPIDHIA075</t>
  </si>
  <si>
    <t>HIA075</t>
  </si>
  <si>
    <t>Highlands and Islands Airports Ltd</t>
  </si>
  <si>
    <t>CPIDHIE075 Highlands and Islands Enterprise</t>
  </si>
  <si>
    <t>CPIDHIE075</t>
  </si>
  <si>
    <t>HIE075</t>
  </si>
  <si>
    <t>Highlands and Islands Enterprise</t>
  </si>
  <si>
    <t>CPIDILF075 Independent Living Fund Scotland</t>
  </si>
  <si>
    <t>CPIDILF075</t>
  </si>
  <si>
    <t>ILF075</t>
  </si>
  <si>
    <t>Independent Living Fund Scotland</t>
  </si>
  <si>
    <t>CPIDLAB075 Scottish Legal Aid Board</t>
  </si>
  <si>
    <t>CPIDLAB075</t>
  </si>
  <si>
    <t>LAB075</t>
  </si>
  <si>
    <t>Scottish Legal Aid Board</t>
  </si>
  <si>
    <t>CPIDNGS075 National Galleries of Scotland</t>
  </si>
  <si>
    <t>CPIDNGS075</t>
  </si>
  <si>
    <t>NGS075</t>
  </si>
  <si>
    <t>National Galleries of Scotland</t>
  </si>
  <si>
    <t>CPIDNLS075 National Library of Scotland</t>
  </si>
  <si>
    <t>CPIDNLS075</t>
  </si>
  <si>
    <t>NLS075</t>
  </si>
  <si>
    <t>National Library of Scotland</t>
  </si>
  <si>
    <t>CPIDNMU075 National Museums of Scotland</t>
  </si>
  <si>
    <t>CPIDNMU075</t>
  </si>
  <si>
    <t>NMU075</t>
  </si>
  <si>
    <t>National Museums of Scotland</t>
  </si>
  <si>
    <t>CPIDNRS075 National Records of Scotland</t>
  </si>
  <si>
    <t>CPIDNRS075</t>
  </si>
  <si>
    <t>NRS075</t>
  </si>
  <si>
    <t>National Records of Scotland</t>
  </si>
  <si>
    <t>CPIDPFS075 Crown Office &amp; Procurator Fiscal Svc - Scotland</t>
  </si>
  <si>
    <t>CPIDPFS075</t>
  </si>
  <si>
    <t>PFS075</t>
  </si>
  <si>
    <t>Crown Office &amp; Procurator Fiscal Svc - Scotland</t>
  </si>
  <si>
    <t>CPIDRBG075 Royal Botanic Garden Edinburgh</t>
  </si>
  <si>
    <t>CPIDRBG075</t>
  </si>
  <si>
    <t>RBG075</t>
  </si>
  <si>
    <t>Royal Botanic Garden Edinburgh</t>
  </si>
  <si>
    <t>CPIDS200XX Scottish Fire and Rescue Service</t>
  </si>
  <si>
    <t>CPIDS200XX</t>
  </si>
  <si>
    <t>S200XX</t>
  </si>
  <si>
    <t>Scottish Fire and Rescue Service</t>
  </si>
  <si>
    <t>CPIDSCT075 Scottish Forestry</t>
  </si>
  <si>
    <t>CPIDSCT075</t>
  </si>
  <si>
    <t>SCT075</t>
  </si>
  <si>
    <t>Scottish Forestry</t>
  </si>
  <si>
    <t>CPIDSCT075 Scottish Government</t>
  </si>
  <si>
    <t>Scottish Government</t>
  </si>
  <si>
    <t>CPIDSDS075 Skills Development Scotland</t>
  </si>
  <si>
    <t>CPIDSDS075</t>
  </si>
  <si>
    <t>SDS075</t>
  </si>
  <si>
    <t>Skills Development Scotland</t>
  </si>
  <si>
    <t>CPIDSEN075 Scottish Enterprise</t>
  </si>
  <si>
    <t>CPIDSEN075</t>
  </si>
  <si>
    <t>SEN075</t>
  </si>
  <si>
    <t>Scottish Enterprise</t>
  </si>
  <si>
    <t>CPIDSFC075 Scottish Funding Council</t>
  </si>
  <si>
    <t>CPIDSFC075</t>
  </si>
  <si>
    <t>SFC075</t>
  </si>
  <si>
    <t>Scottish Funding Council</t>
  </si>
  <si>
    <t>CPIDSFE075 Scottish Further Education</t>
  </si>
  <si>
    <t>CPIDSFE075</t>
  </si>
  <si>
    <t>SFE075</t>
  </si>
  <si>
    <t>Scottish Further Education</t>
  </si>
  <si>
    <t>CPIDSNH075 Scottish Natural Heritage</t>
  </si>
  <si>
    <t>CPIDSNH075</t>
  </si>
  <si>
    <t>SNH075</t>
  </si>
  <si>
    <t>Scottish Natural Heritage</t>
  </si>
  <si>
    <t>CPIDSPA075 Scottish Police Authority</t>
  </si>
  <si>
    <t>CPIDSPA075</t>
  </si>
  <si>
    <t>SPA075</t>
  </si>
  <si>
    <t>Scottish Police Authority</t>
  </si>
  <si>
    <t>CPIDSPF075 SportScotland National Lottery Distribution Fund</t>
  </si>
  <si>
    <t>CPIDSPF075</t>
  </si>
  <si>
    <t>SPF075</t>
  </si>
  <si>
    <t>SportScotland National Lottery Distribution Fund</t>
  </si>
  <si>
    <t>CPIDSPS075 SportScotland</t>
  </si>
  <si>
    <t>CPIDSPS075</t>
  </si>
  <si>
    <t>SPS075</t>
  </si>
  <si>
    <t>SportScotland</t>
  </si>
  <si>
    <t>CPIDSQA075 Scottish Qualifications Authority</t>
  </si>
  <si>
    <t>CPIDSQA075</t>
  </si>
  <si>
    <t>SQA075</t>
  </si>
  <si>
    <t>Scottish Qualifications Authority</t>
  </si>
  <si>
    <t>CPIDSSO075 Scottish Social Services Council</t>
  </si>
  <si>
    <t>CPIDSSO075</t>
  </si>
  <si>
    <t>SSO075</t>
  </si>
  <si>
    <t>Scottish Social Services Council</t>
  </si>
  <si>
    <t>CPIDSTB075 Visit Scotland</t>
  </si>
  <si>
    <t>CPIDSTB075</t>
  </si>
  <si>
    <t>STB075</t>
  </si>
  <si>
    <t>Visit Scotland</t>
  </si>
  <si>
    <t>CPIDCPS016 The Crown Prosecution Service</t>
  </si>
  <si>
    <t>CPIDCPS016</t>
  </si>
  <si>
    <t>CPS016</t>
  </si>
  <si>
    <t>The Crown Prosecution Service</t>
  </si>
  <si>
    <t>CPIDWOF091 Wales Office</t>
  </si>
  <si>
    <t>CPIDWOF091</t>
  </si>
  <si>
    <t>WOF091</t>
  </si>
  <si>
    <t>Wales Office</t>
  </si>
  <si>
    <t>CPIDWCF854 Welsh Consolidated Fund</t>
  </si>
  <si>
    <t>CPIDWCF854</t>
  </si>
  <si>
    <t>WCF854</t>
  </si>
  <si>
    <t>Welsh Consolidated Fund</t>
  </si>
  <si>
    <t>Welsh Central Fund</t>
  </si>
  <si>
    <t>CPIDACW048 Arts Council of Wales Lottery</t>
  </si>
  <si>
    <t>CPIDACW048</t>
  </si>
  <si>
    <t>ACW048</t>
  </si>
  <si>
    <t>Arts Council of Wales Lottery</t>
  </si>
  <si>
    <t>Welsh Central Government</t>
  </si>
  <si>
    <t>CPIDACW090 Arts Council of Wales</t>
  </si>
  <si>
    <t>CPIDACW090</t>
  </si>
  <si>
    <t>ACW090</t>
  </si>
  <si>
    <t>Arts Council of Wales</t>
  </si>
  <si>
    <t>CPIDCLW090 Social Care Wales</t>
  </si>
  <si>
    <t>CPIDCLW090</t>
  </si>
  <si>
    <t>CLW090</t>
  </si>
  <si>
    <t>Social Care Wales</t>
  </si>
  <si>
    <t>CPIDDHC090 Digital Health and Care Wales</t>
  </si>
  <si>
    <t>CPIDDHC090</t>
  </si>
  <si>
    <t>DHC090</t>
  </si>
  <si>
    <t>Digital Health and Care Wales</t>
  </si>
  <si>
    <t>CPIDHEI090 Health Education and Improvement Wales</t>
  </si>
  <si>
    <t>CPIDHEI090</t>
  </si>
  <si>
    <t>HEI090</t>
  </si>
  <si>
    <t>Health Education and Improvement Wales</t>
  </si>
  <si>
    <t>CPIDHFW090 Higher Education Funding Council for Wales</t>
  </si>
  <si>
    <t>CPIDHFW090</t>
  </si>
  <si>
    <t>HFW090</t>
  </si>
  <si>
    <t>Higher Education Funding Council for Wales</t>
  </si>
  <si>
    <t>CPIDNLW090 National Library of Wales</t>
  </si>
  <si>
    <t>CPIDNLW090</t>
  </si>
  <si>
    <t>NLW090</t>
  </si>
  <si>
    <t>National Library of Wales</t>
  </si>
  <si>
    <t>CPIDNMW090 National Museums and Galleries of Wales</t>
  </si>
  <si>
    <t>CPIDNMW090</t>
  </si>
  <si>
    <t>NMW090</t>
  </si>
  <si>
    <t>National Museums and Galleries of Wales</t>
  </si>
  <si>
    <t>CPIDNRW090 Natural Resources Wales</t>
  </si>
  <si>
    <t>CPIDNRW090</t>
  </si>
  <si>
    <t>NRW090</t>
  </si>
  <si>
    <t>Natural Resources Wales</t>
  </si>
  <si>
    <t>CPIDSCL090 Sport Wales National Lottery</t>
  </si>
  <si>
    <t>CPIDSCL090</t>
  </si>
  <si>
    <t>SCL090</t>
  </si>
  <si>
    <t>Sport Wales National Lottery</t>
  </si>
  <si>
    <t>CPIDSCW090 Sport Wales</t>
  </si>
  <si>
    <t>CPIDSCW090</t>
  </si>
  <si>
    <t>SCW090</t>
  </si>
  <si>
    <t>Sport Wales</t>
  </si>
  <si>
    <t>CPIDWAG090 Welsh Government</t>
  </si>
  <si>
    <t>CPIDWAG090</t>
  </si>
  <si>
    <t>WAG090</t>
  </si>
  <si>
    <t>Welsh Government</t>
  </si>
  <si>
    <t>CPIDWOB001 Careers Wales Dewis Gyrfa Ltd</t>
  </si>
  <si>
    <t>CPIDWOB001</t>
  </si>
  <si>
    <t>WOB001</t>
  </si>
  <si>
    <t>Careers Wales Dewis Gyrfa Ltd</t>
  </si>
  <si>
    <t>CPIDWOB003 Development Bank of Wales Plc</t>
  </si>
  <si>
    <t>CPIDWOB003</t>
  </si>
  <si>
    <t>WOB003</t>
  </si>
  <si>
    <t>Development Bank of Wales Plc</t>
  </si>
  <si>
    <t>CPIDWTR090 Transport for Wales Limited</t>
  </si>
  <si>
    <t>CPIDWTR090</t>
  </si>
  <si>
    <t>WTR090</t>
  </si>
  <si>
    <t>Transport for Wales Limited</t>
  </si>
  <si>
    <t>CPIDWNHT13 Velindre NHS Trust</t>
  </si>
  <si>
    <t>CPIDWNHT13</t>
  </si>
  <si>
    <t>WNHT13</t>
  </si>
  <si>
    <t>Velindre NHS Trust</t>
  </si>
  <si>
    <t>CPIDWNHT14 Welsh Ambulance Service NHS Trust</t>
  </si>
  <si>
    <t>CPIDWNHT14</t>
  </si>
  <si>
    <t>WNHT14</t>
  </si>
  <si>
    <t>Welsh Ambulance Service NHS Trust</t>
  </si>
  <si>
    <t>CPIDWNHT15 Public Health Wales NHS Trust</t>
  </si>
  <si>
    <t>CPIDWNHT15</t>
  </si>
  <si>
    <t>WNHT15</t>
  </si>
  <si>
    <t>Public Health Wales NHS Trust</t>
  </si>
  <si>
    <t>CPIDE0101X Bath &amp; North East Somerset Council</t>
  </si>
  <si>
    <t>CPIDE0101X</t>
  </si>
  <si>
    <t>E0101X</t>
  </si>
  <si>
    <t>Bath &amp; North East Somerset Council</t>
  </si>
  <si>
    <t>English Local Government</t>
  </si>
  <si>
    <t>CPIDE0102X Bristol City Council</t>
  </si>
  <si>
    <t>CPIDE0102X</t>
  </si>
  <si>
    <t>E0102X</t>
  </si>
  <si>
    <t>Bristol City Council</t>
  </si>
  <si>
    <t>CPIDE0103X South Gloucestershire Council</t>
  </si>
  <si>
    <t>CPIDE0103X</t>
  </si>
  <si>
    <t>E0103X</t>
  </si>
  <si>
    <t>South Gloucestershire Council</t>
  </si>
  <si>
    <t>CPIDE0104X North Somerset Council</t>
  </si>
  <si>
    <t>CPIDE0104X</t>
  </si>
  <si>
    <t>E0104X</t>
  </si>
  <si>
    <t>North Somerset Council</t>
  </si>
  <si>
    <t>CPIDE0201X Luton Borough Council</t>
  </si>
  <si>
    <t>CPIDE0201X</t>
  </si>
  <si>
    <t>E0201X</t>
  </si>
  <si>
    <t>Luton Borough Council</t>
  </si>
  <si>
    <t>CPIDE0202X Bedford Unitary Authority</t>
  </si>
  <si>
    <t>CPIDE0202X</t>
  </si>
  <si>
    <t>E0202X</t>
  </si>
  <si>
    <t>Bedford Unitary Authority</t>
  </si>
  <si>
    <t>CPIDE0203X Central Bedfordshire Unitary Authority</t>
  </si>
  <si>
    <t>CPIDE0203X</t>
  </si>
  <si>
    <t>E0203X</t>
  </si>
  <si>
    <t>Central Bedfordshire Unitary Authority</t>
  </si>
  <si>
    <t>CPIDE0301X Bracknell Forest Borough Council</t>
  </si>
  <si>
    <t>CPIDE0301X</t>
  </si>
  <si>
    <t>E0301X</t>
  </si>
  <si>
    <t>Bracknell Forest Borough Council</t>
  </si>
  <si>
    <t>CPIDE0302X West Berkshire Council</t>
  </si>
  <si>
    <t>CPIDE0302X</t>
  </si>
  <si>
    <t>E0302X</t>
  </si>
  <si>
    <t>West Berkshire Council</t>
  </si>
  <si>
    <t>CPIDE0303X Reading Borough Council</t>
  </si>
  <si>
    <t>CPIDE0303X</t>
  </si>
  <si>
    <t>E0303X</t>
  </si>
  <si>
    <t>Reading Borough Council</t>
  </si>
  <si>
    <t>CPIDE0304X Slough Borough Council</t>
  </si>
  <si>
    <t>CPIDE0304X</t>
  </si>
  <si>
    <t>E0304X</t>
  </si>
  <si>
    <t>Slough Borough Council</t>
  </si>
  <si>
    <t>CPIDE0305X Windsor and Maidenhead (Royal Borough of)</t>
  </si>
  <si>
    <t>CPIDE0305X</t>
  </si>
  <si>
    <t>E0305X</t>
  </si>
  <si>
    <t>Windsor and Maidenhead (Royal Borough of)</t>
  </si>
  <si>
    <t>CPIDE0306X Wokingham Council</t>
  </si>
  <si>
    <t>CPIDE0306X</t>
  </si>
  <si>
    <t>E0306X</t>
  </si>
  <si>
    <t>Wokingham Council</t>
  </si>
  <si>
    <t>CPIDE0401X Milton Keynes Council</t>
  </si>
  <si>
    <t>CPIDE0401X</t>
  </si>
  <si>
    <t>E0401X</t>
  </si>
  <si>
    <t>Milton Keynes Council</t>
  </si>
  <si>
    <t>CPIDE0430X Buckinghamshire Council</t>
  </si>
  <si>
    <t>CPIDE0430X</t>
  </si>
  <si>
    <t>E0430X</t>
  </si>
  <si>
    <t>Buckinghamshire Council</t>
  </si>
  <si>
    <t>CPIDE0501X Peterborough City Council</t>
  </si>
  <si>
    <t>CPIDE0501X</t>
  </si>
  <si>
    <t>E0501X</t>
  </si>
  <si>
    <t>Peterborough City Council</t>
  </si>
  <si>
    <t>CPIDE0521X Cambridgeshire County Council</t>
  </si>
  <si>
    <t>CPIDE0521X</t>
  </si>
  <si>
    <t>E0521X</t>
  </si>
  <si>
    <t>Cambridgeshire County Council</t>
  </si>
  <si>
    <t>CPIDE0531X Cambridge City Council</t>
  </si>
  <si>
    <t>CPIDE0531X</t>
  </si>
  <si>
    <t>E0531X</t>
  </si>
  <si>
    <t>Cambridge City Council</t>
  </si>
  <si>
    <t>CPIDE0532X East Cambridgeshire District Council</t>
  </si>
  <si>
    <t>CPIDE0532X</t>
  </si>
  <si>
    <t>E0532X</t>
  </si>
  <si>
    <t>East Cambridgeshire District Council</t>
  </si>
  <si>
    <t>CPIDE0533X Fenland District Council</t>
  </si>
  <si>
    <t>CPIDE0533X</t>
  </si>
  <si>
    <t>E0533X</t>
  </si>
  <si>
    <t>Fenland District Council</t>
  </si>
  <si>
    <t>CPIDE0536X South Cambridgeshire District Council</t>
  </si>
  <si>
    <t>CPIDE0536X</t>
  </si>
  <si>
    <t>E0536X</t>
  </si>
  <si>
    <t>South Cambridgeshire District Council</t>
  </si>
  <si>
    <t>CPIDE0551X Huntingdonshire District Council</t>
  </si>
  <si>
    <t>CPIDE0551X</t>
  </si>
  <si>
    <t>E0551X</t>
  </si>
  <si>
    <t>Huntingdonshire District Council</t>
  </si>
  <si>
    <t>CPIDE0601X Halton Borough Council</t>
  </si>
  <si>
    <t>CPIDE0601X</t>
  </si>
  <si>
    <t>E0601X</t>
  </si>
  <si>
    <t>Halton Borough Council</t>
  </si>
  <si>
    <t>CPIDE0602X Warrington Borough Council</t>
  </si>
  <si>
    <t>CPIDE0602X</t>
  </si>
  <si>
    <t>E0602X</t>
  </si>
  <si>
    <t>Warrington Borough Council</t>
  </si>
  <si>
    <t>CPIDE0603X Cheshire East Unitary Authority</t>
  </si>
  <si>
    <t>CPIDE0603X</t>
  </si>
  <si>
    <t>E0603X</t>
  </si>
  <si>
    <t>Cheshire East Unitary Authority</t>
  </si>
  <si>
    <t>CPIDE0604X Cheshire West and Chester Unitary Authority</t>
  </si>
  <si>
    <t>CPIDE0604X</t>
  </si>
  <si>
    <t>E0604X</t>
  </si>
  <si>
    <t>Cheshire West and Chester Unitary Authority</t>
  </si>
  <si>
    <t>CPIDE0701X Hartlepool Borough Council</t>
  </si>
  <si>
    <t>CPIDE0701X</t>
  </si>
  <si>
    <t>E0701X</t>
  </si>
  <si>
    <t>Hartlepool Borough Council</t>
  </si>
  <si>
    <t>CPIDE0702X Middlesbrough Council</t>
  </si>
  <si>
    <t>CPIDE0702X</t>
  </si>
  <si>
    <t>E0702X</t>
  </si>
  <si>
    <t>Middlesbrough Council</t>
  </si>
  <si>
    <t>CPIDE0703X Redcar and Cleveland Borough Council</t>
  </si>
  <si>
    <t>CPIDE0703X</t>
  </si>
  <si>
    <t>E0703X</t>
  </si>
  <si>
    <t>Redcar and Cleveland Borough Council</t>
  </si>
  <si>
    <t>CPIDE0704X Stockton-on-Tees Borough Council</t>
  </si>
  <si>
    <t>CPIDE0704X</t>
  </si>
  <si>
    <t>E0704X</t>
  </si>
  <si>
    <t>Stockton-on-Tees Borough Council</t>
  </si>
  <si>
    <t>CPIDE0801X Cornwall Unitary Authority</t>
  </si>
  <si>
    <t>CPIDE0801X</t>
  </si>
  <si>
    <t>E0801X</t>
  </si>
  <si>
    <t>Cornwall Unitary Authority</t>
  </si>
  <si>
    <t>CPIDE0920X Cumbria County Council</t>
  </si>
  <si>
    <t>CPIDE0920X</t>
  </si>
  <si>
    <t>E0920X</t>
  </si>
  <si>
    <t>Cumbria County Council</t>
  </si>
  <si>
    <t>CPIDE0931X Allerdale Borough Council</t>
  </si>
  <si>
    <t>CPIDE0931X</t>
  </si>
  <si>
    <t>E0931X</t>
  </si>
  <si>
    <t>Allerdale Borough Council</t>
  </si>
  <si>
    <t>CPIDE0932X Barrow-in-Furness Borough Council</t>
  </si>
  <si>
    <t>CPIDE0932X</t>
  </si>
  <si>
    <t>E0932X</t>
  </si>
  <si>
    <t>Barrow-in-Furness Borough Council</t>
  </si>
  <si>
    <t>CPIDE0933X Carlisle City Council</t>
  </si>
  <si>
    <t>CPIDE0933X</t>
  </si>
  <si>
    <t>E0933X</t>
  </si>
  <si>
    <t>Carlisle City Council</t>
  </si>
  <si>
    <t>CPIDE0934X Copeland Borough Council</t>
  </si>
  <si>
    <t>CPIDE0934X</t>
  </si>
  <si>
    <t>E0934X</t>
  </si>
  <si>
    <t>Copeland Borough Council</t>
  </si>
  <si>
    <t>CPIDE0935X Eden District Council</t>
  </si>
  <si>
    <t>CPIDE0935X</t>
  </si>
  <si>
    <t>E0935X</t>
  </si>
  <si>
    <t>Eden District Council</t>
  </si>
  <si>
    <t>CPIDE0936X South Lakeland District Council</t>
  </si>
  <si>
    <t>CPIDE0936X</t>
  </si>
  <si>
    <t>E0936X</t>
  </si>
  <si>
    <t>South Lakeland District Council</t>
  </si>
  <si>
    <t>CPIDE1001X Derby City Council</t>
  </si>
  <si>
    <t>CPIDE1001X</t>
  </si>
  <si>
    <t>E1001X</t>
  </si>
  <si>
    <t>Derby City Council</t>
  </si>
  <si>
    <t>CPIDE1021X Derbyshire County Council</t>
  </si>
  <si>
    <t>CPIDE1021X</t>
  </si>
  <si>
    <t>E1021X</t>
  </si>
  <si>
    <t>Derbyshire County Council</t>
  </si>
  <si>
    <t>CPIDE1031X Amber Valley Borough Council</t>
  </si>
  <si>
    <t>CPIDE1031X</t>
  </si>
  <si>
    <t>E1031X</t>
  </si>
  <si>
    <t>Amber Valley Borough Council</t>
  </si>
  <si>
    <t>CPIDE1032X Bolsover District Council</t>
  </si>
  <si>
    <t>CPIDE1032X</t>
  </si>
  <si>
    <t>E1032X</t>
  </si>
  <si>
    <t>Bolsover District Council</t>
  </si>
  <si>
    <t>CPIDE1033X Chesterfield Borough Council</t>
  </si>
  <si>
    <t>CPIDE1033X</t>
  </si>
  <si>
    <t>E1033X</t>
  </si>
  <si>
    <t>Chesterfield Borough Council</t>
  </si>
  <si>
    <t>CPIDE1035X Derbyshire Dales District Council</t>
  </si>
  <si>
    <t>CPIDE1035X</t>
  </si>
  <si>
    <t>E1035X</t>
  </si>
  <si>
    <t>Derbyshire Dales District Council</t>
  </si>
  <si>
    <t>CPIDE1036X Erewash Borough Council</t>
  </si>
  <si>
    <t>CPIDE1036X</t>
  </si>
  <si>
    <t>E1036X</t>
  </si>
  <si>
    <t>Erewash Borough Council</t>
  </si>
  <si>
    <t>CPIDE1037X High Peak Borough Council</t>
  </si>
  <si>
    <t>CPIDE1037X</t>
  </si>
  <si>
    <t>E1037X</t>
  </si>
  <si>
    <t>High Peak Borough Council</t>
  </si>
  <si>
    <t>CPIDE1038X North East Derbyshire District Council</t>
  </si>
  <si>
    <t>CPIDE1038X</t>
  </si>
  <si>
    <t>E1038X</t>
  </si>
  <si>
    <t>North East Derbyshire District Council</t>
  </si>
  <si>
    <t>CPIDE1039X South Derbyshire District Council</t>
  </si>
  <si>
    <t>CPIDE1039X</t>
  </si>
  <si>
    <t>E1039X</t>
  </si>
  <si>
    <t>South Derbyshire District Council</t>
  </si>
  <si>
    <t>CPIDE1101X Plymouth City Council</t>
  </si>
  <si>
    <t>CPIDE1101X</t>
  </si>
  <si>
    <t>E1101X</t>
  </si>
  <si>
    <t>Plymouth City Council</t>
  </si>
  <si>
    <t>CPIDE1102X Torbay Council</t>
  </si>
  <si>
    <t>CPIDE1102X</t>
  </si>
  <si>
    <t>E1102X</t>
  </si>
  <si>
    <t>Torbay Council</t>
  </si>
  <si>
    <t>CPIDE1121X Devon County Council</t>
  </si>
  <si>
    <t>CPIDE1121X</t>
  </si>
  <si>
    <t>E1121X</t>
  </si>
  <si>
    <t>Devon County Council</t>
  </si>
  <si>
    <t>CPIDE1131X East Devon District Council</t>
  </si>
  <si>
    <t>CPIDE1131X</t>
  </si>
  <si>
    <t>E1131X</t>
  </si>
  <si>
    <t>East Devon District Council</t>
  </si>
  <si>
    <t>CPIDE1132X Exeter City Council</t>
  </si>
  <si>
    <t>CPIDE1132X</t>
  </si>
  <si>
    <t>E1132X</t>
  </si>
  <si>
    <t>Exeter City Council</t>
  </si>
  <si>
    <t>CPIDE1133X Mid Devon District Council</t>
  </si>
  <si>
    <t>CPIDE1133X</t>
  </si>
  <si>
    <t>E1133X</t>
  </si>
  <si>
    <t>Mid Devon District Council</t>
  </si>
  <si>
    <t>CPIDE1134X North Devon District Council</t>
  </si>
  <si>
    <t>CPIDE1134X</t>
  </si>
  <si>
    <t>E1134X</t>
  </si>
  <si>
    <t>North Devon District Council</t>
  </si>
  <si>
    <t>CPIDE1136X South Hams District Council</t>
  </si>
  <si>
    <t>CPIDE1136X</t>
  </si>
  <si>
    <t>E1136X</t>
  </si>
  <si>
    <t>South Hams District Council</t>
  </si>
  <si>
    <t>CPIDE1137X Teignbridge District Council</t>
  </si>
  <si>
    <t>CPIDE1137X</t>
  </si>
  <si>
    <t>E1137X</t>
  </si>
  <si>
    <t>Teignbridge District Council</t>
  </si>
  <si>
    <t>CPIDE1139X Torridge District Council</t>
  </si>
  <si>
    <t>CPIDE1139X</t>
  </si>
  <si>
    <t>E1139X</t>
  </si>
  <si>
    <t>Torridge District Council</t>
  </si>
  <si>
    <t>CPIDE1140X West Devon Borough Council</t>
  </si>
  <si>
    <t>CPIDE1140X</t>
  </si>
  <si>
    <t>E1140X</t>
  </si>
  <si>
    <t>West Devon Borough Council</t>
  </si>
  <si>
    <t>CPIDE1203X Bournemouth, Christchurch and Poole Council</t>
  </si>
  <si>
    <t>CPIDE1203X</t>
  </si>
  <si>
    <t>E1203X</t>
  </si>
  <si>
    <t>Bournemouth, Christchurch and Poole Council</t>
  </si>
  <si>
    <t>CPIDE1239X Dorset Council</t>
  </si>
  <si>
    <t>CPIDE1239X</t>
  </si>
  <si>
    <t>E1239X</t>
  </si>
  <si>
    <t>Dorset Council</t>
  </si>
  <si>
    <t>CPIDE1301X Darlington Borough Council</t>
  </si>
  <si>
    <t>CPIDE1301X</t>
  </si>
  <si>
    <t>E1301X</t>
  </si>
  <si>
    <t>Darlington Borough Council</t>
  </si>
  <si>
    <t>CPIDE1302X County Durham Unitary Authority</t>
  </si>
  <si>
    <t>CPIDE1302X</t>
  </si>
  <si>
    <t>E1302X</t>
  </si>
  <si>
    <t>County Durham Unitary Authority</t>
  </si>
  <si>
    <t>CPIDE1401X Brighton &amp; Hove City Council</t>
  </si>
  <si>
    <t>CPIDE1401X</t>
  </si>
  <si>
    <t>E1401X</t>
  </si>
  <si>
    <t>Brighton &amp; Hove City Council</t>
  </si>
  <si>
    <t>CPIDE1421X East Sussex County Council</t>
  </si>
  <si>
    <t>CPIDE1421X</t>
  </si>
  <si>
    <t>E1421X</t>
  </si>
  <si>
    <t>East Sussex County Council</t>
  </si>
  <si>
    <t>CPIDE1432X Eastbourne Borough Council</t>
  </si>
  <si>
    <t>CPIDE1432X</t>
  </si>
  <si>
    <t>E1432X</t>
  </si>
  <si>
    <t>Eastbourne Borough Council</t>
  </si>
  <si>
    <t>CPIDE1433X Hastings Borough Council</t>
  </si>
  <si>
    <t>CPIDE1433X</t>
  </si>
  <si>
    <t>E1433X</t>
  </si>
  <si>
    <t>Hastings Borough Council</t>
  </si>
  <si>
    <t>CPIDE1435X Lewes District Council</t>
  </si>
  <si>
    <t>CPIDE1435X</t>
  </si>
  <si>
    <t>E1435X</t>
  </si>
  <si>
    <t>Lewes District Council</t>
  </si>
  <si>
    <t>CPIDE1436X Rother District Council</t>
  </si>
  <si>
    <t>CPIDE1436X</t>
  </si>
  <si>
    <t>E1436X</t>
  </si>
  <si>
    <t>Rother District Council</t>
  </si>
  <si>
    <t>CPIDE1437X Wealden District Council</t>
  </si>
  <si>
    <t>CPIDE1437X</t>
  </si>
  <si>
    <t>E1437X</t>
  </si>
  <si>
    <t>Wealden District Council</t>
  </si>
  <si>
    <t>CPIDE1501X Southend-on-Sea Borough Council</t>
  </si>
  <si>
    <t>CPIDE1501X</t>
  </si>
  <si>
    <t>E1501X</t>
  </si>
  <si>
    <t>Southend-on-Sea Borough Council</t>
  </si>
  <si>
    <t>CPIDE1502X Thurrock Borough Council</t>
  </si>
  <si>
    <t>CPIDE1502X</t>
  </si>
  <si>
    <t>E1502X</t>
  </si>
  <si>
    <t>Thurrock Borough Council</t>
  </si>
  <si>
    <t>CPIDE1521X Essex County Council</t>
  </si>
  <si>
    <t>CPIDE1521X</t>
  </si>
  <si>
    <t>E1521X</t>
  </si>
  <si>
    <t>Essex County Council</t>
  </si>
  <si>
    <t>CPIDE1531X Basildon District Council</t>
  </si>
  <si>
    <t>CPIDE1531X</t>
  </si>
  <si>
    <t>E1531X</t>
  </si>
  <si>
    <t>Basildon District Council</t>
  </si>
  <si>
    <t>CPIDE1532X Braintree District Council</t>
  </si>
  <si>
    <t>CPIDE1532X</t>
  </si>
  <si>
    <t>E1532X</t>
  </si>
  <si>
    <t>Braintree District Council</t>
  </si>
  <si>
    <t>CPIDE1533X Brentwood Borough Council</t>
  </si>
  <si>
    <t>CPIDE1533X</t>
  </si>
  <si>
    <t>E1533X</t>
  </si>
  <si>
    <t>Brentwood Borough Council</t>
  </si>
  <si>
    <t>CPIDE1534X Castle Point Borough Council</t>
  </si>
  <si>
    <t>CPIDE1534X</t>
  </si>
  <si>
    <t>E1534X</t>
  </si>
  <si>
    <t>Castle Point Borough Council</t>
  </si>
  <si>
    <t>CPIDE1535X Chelmsford Borough Council</t>
  </si>
  <si>
    <t>CPIDE1535X</t>
  </si>
  <si>
    <t>E1535X</t>
  </si>
  <si>
    <t>Chelmsford Borough Council</t>
  </si>
  <si>
    <t>CPIDE1536X Colchester Borough Council</t>
  </si>
  <si>
    <t>CPIDE1536X</t>
  </si>
  <si>
    <t>E1536X</t>
  </si>
  <si>
    <t>Colchester Borough Council</t>
  </si>
  <si>
    <t>CPIDE1537X Epping Forest District Council</t>
  </si>
  <si>
    <t>CPIDE1537X</t>
  </si>
  <si>
    <t>E1537X</t>
  </si>
  <si>
    <t>Epping Forest District Council</t>
  </si>
  <si>
    <t>CPIDE1538X Harlow District Council</t>
  </si>
  <si>
    <t>CPIDE1538X</t>
  </si>
  <si>
    <t>E1538X</t>
  </si>
  <si>
    <t>Harlow District Council</t>
  </si>
  <si>
    <t>CPIDE1539X Maldon District Council</t>
  </si>
  <si>
    <t>CPIDE1539X</t>
  </si>
  <si>
    <t>E1539X</t>
  </si>
  <si>
    <t>Maldon District Council</t>
  </si>
  <si>
    <t>CPIDE1540X Rochford District Council</t>
  </si>
  <si>
    <t>CPIDE1540X</t>
  </si>
  <si>
    <t>E1540X</t>
  </si>
  <si>
    <t>Rochford District Council</t>
  </si>
  <si>
    <t>CPIDE1542X Tendring District Council</t>
  </si>
  <si>
    <t>CPIDE1542X</t>
  </si>
  <si>
    <t>E1542X</t>
  </si>
  <si>
    <t>Tendring District Council</t>
  </si>
  <si>
    <t>CPIDE1544X Uttlesford District Council</t>
  </si>
  <si>
    <t>CPIDE1544X</t>
  </si>
  <si>
    <t>E1544X</t>
  </si>
  <si>
    <t>Uttlesford District Council</t>
  </si>
  <si>
    <t>CPIDE1620X Gloucestershire County Council</t>
  </si>
  <si>
    <t>CPIDE1620X</t>
  </si>
  <si>
    <t>E1620X</t>
  </si>
  <si>
    <t>Gloucestershire County Council</t>
  </si>
  <si>
    <t>CPIDE1631X Cheltenham Borough Council</t>
  </si>
  <si>
    <t>CPIDE1631X</t>
  </si>
  <si>
    <t>E1631X</t>
  </si>
  <si>
    <t>Cheltenham Borough Council</t>
  </si>
  <si>
    <t>CPIDE1632X Cotswold District Council</t>
  </si>
  <si>
    <t>CPIDE1632X</t>
  </si>
  <si>
    <t>E1632X</t>
  </si>
  <si>
    <t>Cotswold District Council</t>
  </si>
  <si>
    <t>CPIDE1633X Forest of Dean District Council</t>
  </si>
  <si>
    <t>CPIDE1633X</t>
  </si>
  <si>
    <t>E1633X</t>
  </si>
  <si>
    <t>Forest of Dean District Council</t>
  </si>
  <si>
    <t>CPIDE1634X Gloucester City Council</t>
  </si>
  <si>
    <t>CPIDE1634X</t>
  </si>
  <si>
    <t>E1634X</t>
  </si>
  <si>
    <t>Gloucester City Council</t>
  </si>
  <si>
    <t>CPIDE1635X Stroud District Council</t>
  </si>
  <si>
    <t>CPIDE1635X</t>
  </si>
  <si>
    <t>E1635X</t>
  </si>
  <si>
    <t>Stroud District Council</t>
  </si>
  <si>
    <t>CPIDE1636X Tewkesbury Borough Council</t>
  </si>
  <si>
    <t>CPIDE1636X</t>
  </si>
  <si>
    <t>E1636X</t>
  </si>
  <si>
    <t>Tewkesbury Borough Council</t>
  </si>
  <si>
    <t>CPIDE1701X Portsmouth City Council</t>
  </si>
  <si>
    <t>CPIDE1701X</t>
  </si>
  <si>
    <t>E1701X</t>
  </si>
  <si>
    <t>Portsmouth City Council</t>
  </si>
  <si>
    <t>CPIDE1702X Southampton City Council</t>
  </si>
  <si>
    <t>CPIDE1702X</t>
  </si>
  <si>
    <t>E1702X</t>
  </si>
  <si>
    <t>Southampton City Council</t>
  </si>
  <si>
    <t>CPIDE1721X Hampshire County Council</t>
  </si>
  <si>
    <t>CPIDE1721X</t>
  </si>
  <si>
    <t>E1721X</t>
  </si>
  <si>
    <t>Hampshire County Council</t>
  </si>
  <si>
    <t>CPIDE1731X Basingstoke and Deane Borough Council</t>
  </si>
  <si>
    <t>CPIDE1731X</t>
  </si>
  <si>
    <t>E1731X</t>
  </si>
  <si>
    <t>Basingstoke and Deane Borough Council</t>
  </si>
  <si>
    <t>CPIDE1732X East Hampshire District Council</t>
  </si>
  <si>
    <t>CPIDE1732X</t>
  </si>
  <si>
    <t>E1732X</t>
  </si>
  <si>
    <t>East Hampshire District Council</t>
  </si>
  <si>
    <t>CPIDE1733X Eastleigh Borough Council</t>
  </si>
  <si>
    <t>CPIDE1733X</t>
  </si>
  <si>
    <t>E1733X</t>
  </si>
  <si>
    <t>Eastleigh Borough Council</t>
  </si>
  <si>
    <t>CPIDE1734X Fareham Borough Council</t>
  </si>
  <si>
    <t>CPIDE1734X</t>
  </si>
  <si>
    <t>E1734X</t>
  </si>
  <si>
    <t>Fareham Borough Council</t>
  </si>
  <si>
    <t>CPIDE1735X Gosport Borough Council</t>
  </si>
  <si>
    <t>CPIDE1735X</t>
  </si>
  <si>
    <t>E1735X</t>
  </si>
  <si>
    <t>Gosport Borough Council</t>
  </si>
  <si>
    <t>CPIDE1736X Hart District Council</t>
  </si>
  <si>
    <t>CPIDE1736X</t>
  </si>
  <si>
    <t>E1736X</t>
  </si>
  <si>
    <t>Hart District Council</t>
  </si>
  <si>
    <t>CPIDE1737X Havant Borough Council</t>
  </si>
  <si>
    <t>CPIDE1737X</t>
  </si>
  <si>
    <t>E1737X</t>
  </si>
  <si>
    <t>Havant Borough Council</t>
  </si>
  <si>
    <t>CPIDE1738X New Forest District Council</t>
  </si>
  <si>
    <t>CPIDE1738X</t>
  </si>
  <si>
    <t>E1738X</t>
  </si>
  <si>
    <t>New Forest District Council</t>
  </si>
  <si>
    <t>CPIDE1740X Rushmoor Borough Council</t>
  </si>
  <si>
    <t>CPIDE1740X</t>
  </si>
  <si>
    <t>E1740X</t>
  </si>
  <si>
    <t>Rushmoor Borough Council</t>
  </si>
  <si>
    <t>CPIDE1742X Test Valley Borough Council</t>
  </si>
  <si>
    <t>CPIDE1742X</t>
  </si>
  <si>
    <t>E1742X</t>
  </si>
  <si>
    <t>Test Valley Borough Council</t>
  </si>
  <si>
    <t>CPIDE1743X Winchester City Council</t>
  </si>
  <si>
    <t>CPIDE1743X</t>
  </si>
  <si>
    <t>E1743X</t>
  </si>
  <si>
    <t>Winchester City Council</t>
  </si>
  <si>
    <t>CPIDE1801X Herefordshire Council</t>
  </si>
  <si>
    <t>CPIDE1801X</t>
  </si>
  <si>
    <t>E1801X</t>
  </si>
  <si>
    <t>Herefordshire Council</t>
  </si>
  <si>
    <t>CPIDE1821X Worcestershire County Council</t>
  </si>
  <si>
    <t>CPIDE1821X</t>
  </si>
  <si>
    <t>E1821X</t>
  </si>
  <si>
    <t>Worcestershire County Council</t>
  </si>
  <si>
    <t>CPIDE1831X Bromsgrove District Council</t>
  </si>
  <si>
    <t>CPIDE1831X</t>
  </si>
  <si>
    <t>E1831X</t>
  </si>
  <si>
    <t>Bromsgrove District Council</t>
  </si>
  <si>
    <t>CPIDE1835X Redditch Borough Council</t>
  </si>
  <si>
    <t>CPIDE1835X</t>
  </si>
  <si>
    <t>E1835X</t>
  </si>
  <si>
    <t>Redditch Borough Council</t>
  </si>
  <si>
    <t>CPIDE1837X Worcester City Council</t>
  </si>
  <si>
    <t>CPIDE1837X</t>
  </si>
  <si>
    <t>E1837X</t>
  </si>
  <si>
    <t>Worcester City Council</t>
  </si>
  <si>
    <t>CPIDE1838X Wychavon District Council</t>
  </si>
  <si>
    <t>CPIDE1838X</t>
  </si>
  <si>
    <t>E1838X</t>
  </si>
  <si>
    <t>Wychavon District Council</t>
  </si>
  <si>
    <t>CPIDE1839X Wyre Forest District Council</t>
  </si>
  <si>
    <t>CPIDE1839X</t>
  </si>
  <si>
    <t>E1839X</t>
  </si>
  <si>
    <t>Wyre Forest District Council</t>
  </si>
  <si>
    <t>CPIDE1851X Malvern Hills District Council</t>
  </si>
  <si>
    <t>CPIDE1851X</t>
  </si>
  <si>
    <t>E1851X</t>
  </si>
  <si>
    <t>Malvern Hills District Council</t>
  </si>
  <si>
    <t>CPIDE1920X Hertfordshire County Council</t>
  </si>
  <si>
    <t>CPIDE1920X</t>
  </si>
  <si>
    <t>E1920X</t>
  </si>
  <si>
    <t>Hertfordshire County Council</t>
  </si>
  <si>
    <t>CPIDE1931X Broxbourne Borough Council</t>
  </si>
  <si>
    <t>CPIDE1931X</t>
  </si>
  <si>
    <t>E1931X</t>
  </si>
  <si>
    <t>Broxbourne Borough Council</t>
  </si>
  <si>
    <t>CPIDE1932X Dacorum Borough Council</t>
  </si>
  <si>
    <t>CPIDE1932X</t>
  </si>
  <si>
    <t>E1932X</t>
  </si>
  <si>
    <t>Dacorum Borough Council</t>
  </si>
  <si>
    <t>CPIDE1933X East Hertfordshire District Council</t>
  </si>
  <si>
    <t>CPIDE1933X</t>
  </si>
  <si>
    <t>E1933X</t>
  </si>
  <si>
    <t>East Hertfordshire District Council</t>
  </si>
  <si>
    <t>CPIDE1934X Hertsmere Borough Council</t>
  </si>
  <si>
    <t>CPIDE1934X</t>
  </si>
  <si>
    <t>E1934X</t>
  </si>
  <si>
    <t>Hertsmere Borough Council</t>
  </si>
  <si>
    <t>CPIDE1935X North Hertfordshire District Council</t>
  </si>
  <si>
    <t>CPIDE1935X</t>
  </si>
  <si>
    <t>E1935X</t>
  </si>
  <si>
    <t>North Hertfordshire District Council</t>
  </si>
  <si>
    <t>CPIDE1936X St Albans City and District Council</t>
  </si>
  <si>
    <t>CPIDE1936X</t>
  </si>
  <si>
    <t>E1936X</t>
  </si>
  <si>
    <t>St Albans City and District Council</t>
  </si>
  <si>
    <t>CPIDE1937X Stevenage Borough Council</t>
  </si>
  <si>
    <t>CPIDE1937X</t>
  </si>
  <si>
    <t>E1937X</t>
  </si>
  <si>
    <t>Stevenage Borough Council</t>
  </si>
  <si>
    <t>CPIDE1938X Three Rivers District Council</t>
  </si>
  <si>
    <t>CPIDE1938X</t>
  </si>
  <si>
    <t>E1938X</t>
  </si>
  <si>
    <t>Three Rivers District Council</t>
  </si>
  <si>
    <t>CPIDE1939X Watford Borough Council</t>
  </si>
  <si>
    <t>CPIDE1939X</t>
  </si>
  <si>
    <t>E1939X</t>
  </si>
  <si>
    <t>Watford Borough Council</t>
  </si>
  <si>
    <t>CPIDE1940X Welwyn Hatfield District Council</t>
  </si>
  <si>
    <t>CPIDE1940X</t>
  </si>
  <si>
    <t>E1940X</t>
  </si>
  <si>
    <t>Welwyn Hatfield District Council</t>
  </si>
  <si>
    <t>CPIDE2001X East Riding of Yorkshire Council</t>
  </si>
  <si>
    <t>CPIDE2001X</t>
  </si>
  <si>
    <t>E2001X</t>
  </si>
  <si>
    <t>East Riding of Yorkshire Council</t>
  </si>
  <si>
    <t>CPIDE2002X Kingston upon Hull City Council</t>
  </si>
  <si>
    <t>CPIDE2002X</t>
  </si>
  <si>
    <t>E2002X</t>
  </si>
  <si>
    <t>Kingston upon Hull City Council</t>
  </si>
  <si>
    <t>CPIDE2003X North East Lincolnshire Council</t>
  </si>
  <si>
    <t>CPIDE2003X</t>
  </si>
  <si>
    <t>E2003X</t>
  </si>
  <si>
    <t>North East Lincolnshire Council</t>
  </si>
  <si>
    <t>CPIDE2004X North Lincolnshire Council</t>
  </si>
  <si>
    <t>CPIDE2004X</t>
  </si>
  <si>
    <t>E2004X</t>
  </si>
  <si>
    <t>North Lincolnshire Council</t>
  </si>
  <si>
    <t>CPIDE2101X Isle of Wight Council</t>
  </si>
  <si>
    <t>CPIDE2101X</t>
  </si>
  <si>
    <t>E2101X</t>
  </si>
  <si>
    <t>Isle of Wight Council</t>
  </si>
  <si>
    <t>CPIDE2201X Medway Council</t>
  </si>
  <si>
    <t>CPIDE2201X</t>
  </si>
  <si>
    <t>E2201X</t>
  </si>
  <si>
    <t>Medway Council</t>
  </si>
  <si>
    <t>CPIDE2221X Kent County Council</t>
  </si>
  <si>
    <t>CPIDE2221X</t>
  </si>
  <si>
    <t>E2221X</t>
  </si>
  <si>
    <t>Kent County Council</t>
  </si>
  <si>
    <t>CPIDE2231X Ashford Borough Council</t>
  </si>
  <si>
    <t>CPIDE2231X</t>
  </si>
  <si>
    <t>E2231X</t>
  </si>
  <si>
    <t>Ashford Borough Council</t>
  </si>
  <si>
    <t>CPIDE2232X Canterbury City Council</t>
  </si>
  <si>
    <t>CPIDE2232X</t>
  </si>
  <si>
    <t>E2232X</t>
  </si>
  <si>
    <t>Canterbury City Council</t>
  </si>
  <si>
    <t>CPIDE2233X Dartford Borough Council</t>
  </si>
  <si>
    <t>CPIDE2233X</t>
  </si>
  <si>
    <t>E2233X</t>
  </si>
  <si>
    <t>Dartford Borough Council</t>
  </si>
  <si>
    <t>CPIDE2234X Dover District Council</t>
  </si>
  <si>
    <t>CPIDE2234X</t>
  </si>
  <si>
    <t>E2234X</t>
  </si>
  <si>
    <t>Dover District Council</t>
  </si>
  <si>
    <t>CPIDE2236X Gravesham Borough Council</t>
  </si>
  <si>
    <t>CPIDE2236X</t>
  </si>
  <si>
    <t>E2236X</t>
  </si>
  <si>
    <t>Gravesham Borough Council</t>
  </si>
  <si>
    <t>CPIDE2237X Maidstone Borough Council</t>
  </si>
  <si>
    <t>CPIDE2237X</t>
  </si>
  <si>
    <t>E2237X</t>
  </si>
  <si>
    <t>Maidstone Borough Council</t>
  </si>
  <si>
    <t>CPIDE2239X Sevenoaks District Council</t>
  </si>
  <si>
    <t>CPIDE2239X</t>
  </si>
  <si>
    <t>E2239X</t>
  </si>
  <si>
    <t>Sevenoaks District Council</t>
  </si>
  <si>
    <t>CPIDE2240X Folkestone &amp; Hythe District Council (formerly Shepway District Council)</t>
  </si>
  <si>
    <t>CPIDE2240X</t>
  </si>
  <si>
    <t>E2240X</t>
  </si>
  <si>
    <t>Folkestone &amp; Hythe District Council (formerly Shepway District Council)</t>
  </si>
  <si>
    <t>CPIDE2241X Swale Borough Council</t>
  </si>
  <si>
    <t>CPIDE2241X</t>
  </si>
  <si>
    <t>E2241X</t>
  </si>
  <si>
    <t>Swale Borough Council</t>
  </si>
  <si>
    <t>CPIDE2242X Thanet District Council</t>
  </si>
  <si>
    <t>CPIDE2242X</t>
  </si>
  <si>
    <t>E2242X</t>
  </si>
  <si>
    <t>Thanet District Council</t>
  </si>
  <si>
    <t>CPIDE2243X Tonbridge and Malling Borough Council</t>
  </si>
  <si>
    <t>CPIDE2243X</t>
  </si>
  <si>
    <t>E2243X</t>
  </si>
  <si>
    <t>Tonbridge and Malling Borough Council</t>
  </si>
  <si>
    <t>CPIDE2244X Tunbridge Wells Borough Council</t>
  </si>
  <si>
    <t>CPIDE2244X</t>
  </si>
  <si>
    <t>E2244X</t>
  </si>
  <si>
    <t>Tunbridge Wells Borough Council</t>
  </si>
  <si>
    <t>CPIDE2301X Blackburn with Darwen Borough Council</t>
  </si>
  <si>
    <t>CPIDE2301X</t>
  </si>
  <si>
    <t>E2301X</t>
  </si>
  <si>
    <t>Blackburn with Darwen Borough Council</t>
  </si>
  <si>
    <t>CPIDE2302X Blackpool Borough Council</t>
  </si>
  <si>
    <t>CPIDE2302X</t>
  </si>
  <si>
    <t>E2302X</t>
  </si>
  <si>
    <t>Blackpool Borough Council</t>
  </si>
  <si>
    <t>CPIDE2321X Lancashire County Council</t>
  </si>
  <si>
    <t>CPIDE2321X</t>
  </si>
  <si>
    <t>E2321X</t>
  </si>
  <si>
    <t>Lancashire County Council</t>
  </si>
  <si>
    <t>CPIDE2333X Burnley Borough Council</t>
  </si>
  <si>
    <t>CPIDE2333X</t>
  </si>
  <si>
    <t>E2333X</t>
  </si>
  <si>
    <t>Burnley Borough Council</t>
  </si>
  <si>
    <t>CPIDE2334X Chorley Borough Council</t>
  </si>
  <si>
    <t>CPIDE2334X</t>
  </si>
  <si>
    <t>E2334X</t>
  </si>
  <si>
    <t>Chorley Borough Council</t>
  </si>
  <si>
    <t>CPIDE2335X Fylde Borough Council</t>
  </si>
  <si>
    <t>CPIDE2335X</t>
  </si>
  <si>
    <t>E2335X</t>
  </si>
  <si>
    <t>Fylde Borough Council</t>
  </si>
  <si>
    <t>CPIDE2336X Hyndburn Borough Council</t>
  </si>
  <si>
    <t>CPIDE2336X</t>
  </si>
  <si>
    <t>E2336X</t>
  </si>
  <si>
    <t>Hyndburn Borough Council</t>
  </si>
  <si>
    <t>CPIDE2337X Lancaster City Council</t>
  </si>
  <si>
    <t>CPIDE2337X</t>
  </si>
  <si>
    <t>E2337X</t>
  </si>
  <si>
    <t>Lancaster City Council</t>
  </si>
  <si>
    <t>CPIDE2338X Pendle Borough Council</t>
  </si>
  <si>
    <t>CPIDE2338X</t>
  </si>
  <si>
    <t>E2338X</t>
  </si>
  <si>
    <t>Pendle Borough Council</t>
  </si>
  <si>
    <t>CPIDE2339X Preston City Council</t>
  </si>
  <si>
    <t>CPIDE2339X</t>
  </si>
  <si>
    <t>E2339X</t>
  </si>
  <si>
    <t>Preston City Council</t>
  </si>
  <si>
    <t>CPIDE2340X Ribble Valley Borough Council</t>
  </si>
  <si>
    <t>CPIDE2340X</t>
  </si>
  <si>
    <t>E2340X</t>
  </si>
  <si>
    <t>Ribble Valley Borough Council</t>
  </si>
  <si>
    <t>CPIDE2341X Rossendale Borough Council</t>
  </si>
  <si>
    <t>CPIDE2341X</t>
  </si>
  <si>
    <t>E2341X</t>
  </si>
  <si>
    <t>Rossendale Borough Council</t>
  </si>
  <si>
    <t>CPIDE2342X South Ribble Borough Council</t>
  </si>
  <si>
    <t>CPIDE2342X</t>
  </si>
  <si>
    <t>E2342X</t>
  </si>
  <si>
    <t>South Ribble Borough Council</t>
  </si>
  <si>
    <t>CPIDE2343X West Lancashire District Council</t>
  </si>
  <si>
    <t>CPIDE2343X</t>
  </si>
  <si>
    <t>E2343X</t>
  </si>
  <si>
    <t>West Lancashire District Council</t>
  </si>
  <si>
    <t>CPIDE2344X Wyre Borough Council</t>
  </si>
  <si>
    <t>CPIDE2344X</t>
  </si>
  <si>
    <t>E2344X</t>
  </si>
  <si>
    <t>Wyre Borough Council</t>
  </si>
  <si>
    <t>CPIDE2401X Leicester City Council</t>
  </si>
  <si>
    <t>CPIDE2401X</t>
  </si>
  <si>
    <t>E2401X</t>
  </si>
  <si>
    <t>Leicester City Council</t>
  </si>
  <si>
    <t>CPIDE2402X Rutland County Council</t>
  </si>
  <si>
    <t>CPIDE2402X</t>
  </si>
  <si>
    <t>E2402X</t>
  </si>
  <si>
    <t>Rutland County Council</t>
  </si>
  <si>
    <t>CPIDE2421X Leicestershire County Council</t>
  </si>
  <si>
    <t>CPIDE2421X</t>
  </si>
  <si>
    <t>E2421X</t>
  </si>
  <si>
    <t>Leicestershire County Council</t>
  </si>
  <si>
    <t>CPIDE2431X Blaby District Council</t>
  </si>
  <si>
    <t>CPIDE2431X</t>
  </si>
  <si>
    <t>E2431X</t>
  </si>
  <si>
    <t>Blaby District Council</t>
  </si>
  <si>
    <t>CPIDE2432X Charnwood Borough Council</t>
  </si>
  <si>
    <t>CPIDE2432X</t>
  </si>
  <si>
    <t>E2432X</t>
  </si>
  <si>
    <t>Charnwood Borough Council</t>
  </si>
  <si>
    <t>CPIDE2433X Harborough District Council</t>
  </si>
  <si>
    <t>CPIDE2433X</t>
  </si>
  <si>
    <t>E2433X</t>
  </si>
  <si>
    <t>Harborough District Council</t>
  </si>
  <si>
    <t>CPIDE2434X Hinckley and Bosworth Borough Council</t>
  </si>
  <si>
    <t>CPIDE2434X</t>
  </si>
  <si>
    <t>E2434X</t>
  </si>
  <si>
    <t>Hinckley and Bosworth Borough Council</t>
  </si>
  <si>
    <t>CPIDE2436X Melton Borough Council</t>
  </si>
  <si>
    <t>CPIDE2436X</t>
  </si>
  <si>
    <t>E2436X</t>
  </si>
  <si>
    <t>Melton Borough Council</t>
  </si>
  <si>
    <t>CPIDE2437X North West Leicestershire District Council</t>
  </si>
  <si>
    <t>CPIDE2437X</t>
  </si>
  <si>
    <t>E2437X</t>
  </si>
  <si>
    <t>North West Leicestershire District Council</t>
  </si>
  <si>
    <t>CPIDE2438X Oadby and Wigston Borough Council</t>
  </si>
  <si>
    <t>CPIDE2438X</t>
  </si>
  <si>
    <t>E2438X</t>
  </si>
  <si>
    <t>Oadby and Wigston Borough Council</t>
  </si>
  <si>
    <t>CPIDE2520X Lincolnshire County Council</t>
  </si>
  <si>
    <t>CPIDE2520X</t>
  </si>
  <si>
    <t>E2520X</t>
  </si>
  <si>
    <t>Lincolnshire County Council</t>
  </si>
  <si>
    <t>CPIDE2531X Boston Borough Council</t>
  </si>
  <si>
    <t>CPIDE2531X</t>
  </si>
  <si>
    <t>E2531X</t>
  </si>
  <si>
    <t>Boston Borough Council</t>
  </si>
  <si>
    <t>CPIDE2532X East Lindsey District Council</t>
  </si>
  <si>
    <t>CPIDE2532X</t>
  </si>
  <si>
    <t>E2532X</t>
  </si>
  <si>
    <t>East Lindsey District Council</t>
  </si>
  <si>
    <t>CPIDE2533X Lincoln City Council</t>
  </si>
  <si>
    <t>CPIDE2533X</t>
  </si>
  <si>
    <t>E2533X</t>
  </si>
  <si>
    <t>Lincoln City Council</t>
  </si>
  <si>
    <t>CPIDE2534X North Kesteven District Council</t>
  </si>
  <si>
    <t>CPIDE2534X</t>
  </si>
  <si>
    <t>E2534X</t>
  </si>
  <si>
    <t>North Kesteven District Council</t>
  </si>
  <si>
    <t>CPIDE2535X South Holland District Council</t>
  </si>
  <si>
    <t>CPIDE2535X</t>
  </si>
  <si>
    <t>E2535X</t>
  </si>
  <si>
    <t>South Holland District Council</t>
  </si>
  <si>
    <t>CPIDE2536X South Kesteven District Council</t>
  </si>
  <si>
    <t>CPIDE2536X</t>
  </si>
  <si>
    <t>E2536X</t>
  </si>
  <si>
    <t>South Kesteven District Council</t>
  </si>
  <si>
    <t>CPIDE2537X West Lindsey District Council</t>
  </si>
  <si>
    <t>CPIDE2537X</t>
  </si>
  <si>
    <t>E2537X</t>
  </si>
  <si>
    <t>West Lindsey District Council</t>
  </si>
  <si>
    <t>CPIDE2620X Norfolk County Council</t>
  </si>
  <si>
    <t>CPIDE2620X</t>
  </si>
  <si>
    <t>E2620X</t>
  </si>
  <si>
    <t>Norfolk County Council</t>
  </si>
  <si>
    <t>CPIDE2631X Breckland District Council</t>
  </si>
  <si>
    <t>CPIDE2631X</t>
  </si>
  <si>
    <t>E2631X</t>
  </si>
  <si>
    <t>Breckland District Council</t>
  </si>
  <si>
    <t>CPIDE2632X Broadland District Council</t>
  </si>
  <si>
    <t>CPIDE2632X</t>
  </si>
  <si>
    <t>E2632X</t>
  </si>
  <si>
    <t>Broadland District Council</t>
  </si>
  <si>
    <t>CPIDE2633X Great Yarmouth Borough Council</t>
  </si>
  <si>
    <t>CPIDE2633X</t>
  </si>
  <si>
    <t>E2633X</t>
  </si>
  <si>
    <t>Great Yarmouth Borough Council</t>
  </si>
  <si>
    <t>CPIDE2634X Kings Lynn and West Norfolk Borough Council</t>
  </si>
  <si>
    <t>CPIDE2634X</t>
  </si>
  <si>
    <t>E2634X</t>
  </si>
  <si>
    <t>Kings Lynn and West Norfolk Borough Council</t>
  </si>
  <si>
    <t>CPIDE2635X North Norfolk District Council</t>
  </si>
  <si>
    <t>CPIDE2635X</t>
  </si>
  <si>
    <t>E2635X</t>
  </si>
  <si>
    <t>North Norfolk District Council</t>
  </si>
  <si>
    <t>CPIDE2636X Norwich City Council</t>
  </si>
  <si>
    <t>CPIDE2636X</t>
  </si>
  <si>
    <t>E2636X</t>
  </si>
  <si>
    <t>Norwich City Council</t>
  </si>
  <si>
    <t>CPIDE2637X South Norfolk District Council</t>
  </si>
  <si>
    <t>CPIDE2637X</t>
  </si>
  <si>
    <t>E2637X</t>
  </si>
  <si>
    <t>South Norfolk District Council</t>
  </si>
  <si>
    <t>CPIDE2701X City of York Council</t>
  </si>
  <si>
    <t>CPIDE2701X</t>
  </si>
  <si>
    <t>E2701X</t>
  </si>
  <si>
    <t>City of York Council</t>
  </si>
  <si>
    <t>CPIDE2721X North Yorkshire County Council</t>
  </si>
  <si>
    <t>CPIDE2721X</t>
  </si>
  <si>
    <t>E2721X</t>
  </si>
  <si>
    <t>North Yorkshire County Council</t>
  </si>
  <si>
    <t>CPIDE2731X Craven District Council</t>
  </si>
  <si>
    <t>CPIDE2731X</t>
  </si>
  <si>
    <t>E2731X</t>
  </si>
  <si>
    <t>Craven District Council</t>
  </si>
  <si>
    <t>CPIDE2732X Hambleton District Council</t>
  </si>
  <si>
    <t>CPIDE2732X</t>
  </si>
  <si>
    <t>E2732X</t>
  </si>
  <si>
    <t>Hambleton District Council</t>
  </si>
  <si>
    <t>CPIDE2734X Richmondshire District Council</t>
  </si>
  <si>
    <t>CPIDE2734X</t>
  </si>
  <si>
    <t>E2734X</t>
  </si>
  <si>
    <t>Richmondshire District Council</t>
  </si>
  <si>
    <t>CPIDE2736X Scarborough Borough Council</t>
  </si>
  <si>
    <t>CPIDE2736X</t>
  </si>
  <si>
    <t>E2736X</t>
  </si>
  <si>
    <t>Scarborough Borough Council</t>
  </si>
  <si>
    <t>CPIDE2753X Harrogate Borough Council</t>
  </si>
  <si>
    <t>CPIDE2753X</t>
  </si>
  <si>
    <t>E2753X</t>
  </si>
  <si>
    <t>Harrogate Borough Council</t>
  </si>
  <si>
    <t>CPIDE2755X Ryedale District Council</t>
  </si>
  <si>
    <t>CPIDE2755X</t>
  </si>
  <si>
    <t>E2755X</t>
  </si>
  <si>
    <t>Ryedale District Council</t>
  </si>
  <si>
    <t>CPIDE2757X Selby District Council</t>
  </si>
  <si>
    <t>CPIDE2757X</t>
  </si>
  <si>
    <t>E2757X</t>
  </si>
  <si>
    <t>Selby District Council</t>
  </si>
  <si>
    <t>CPIDE2820X Northamptonshire County Council</t>
  </si>
  <si>
    <t>CPIDE2820X</t>
  </si>
  <si>
    <t>E2820X</t>
  </si>
  <si>
    <t>Northamptonshire County Council</t>
  </si>
  <si>
    <t>CPIDE2821X Northamptonshire Commissioner Fire and Rescue Service</t>
  </si>
  <si>
    <t>CPIDE2821X</t>
  </si>
  <si>
    <t>E2821X</t>
  </si>
  <si>
    <t>Northamptonshire Commissioner Fire and Rescue Service</t>
  </si>
  <si>
    <t>CPIDE2901X Northumberland Unitary Authority</t>
  </si>
  <si>
    <t>CPIDE2901X</t>
  </si>
  <si>
    <t>E2901X</t>
  </si>
  <si>
    <t>Northumberland Unitary Authority</t>
  </si>
  <si>
    <t>CPIDE3001X Nottingham City Council</t>
  </si>
  <si>
    <t>CPIDE3001X</t>
  </si>
  <si>
    <t>E3001X</t>
  </si>
  <si>
    <t>Nottingham City Council</t>
  </si>
  <si>
    <t>CPIDE3021X Nottinghamshire County Council</t>
  </si>
  <si>
    <t>CPIDE3021X</t>
  </si>
  <si>
    <t>E3021X</t>
  </si>
  <si>
    <t>Nottinghamshire County Council</t>
  </si>
  <si>
    <t>CPIDE3031X Ashfield District Council</t>
  </si>
  <si>
    <t>CPIDE3031X</t>
  </si>
  <si>
    <t>E3031X</t>
  </si>
  <si>
    <t>Ashfield District Council</t>
  </si>
  <si>
    <t>CPIDE3032X Bassetlaw District Council</t>
  </si>
  <si>
    <t>CPIDE3032X</t>
  </si>
  <si>
    <t>E3032X</t>
  </si>
  <si>
    <t>Bassetlaw District Council</t>
  </si>
  <si>
    <t>CPIDE3033X Broxtowe Borough Council</t>
  </si>
  <si>
    <t>CPIDE3033X</t>
  </si>
  <si>
    <t>E3033X</t>
  </si>
  <si>
    <t>Broxtowe Borough Council</t>
  </si>
  <si>
    <t>CPIDE3034X Gedling Borough Council</t>
  </si>
  <si>
    <t>CPIDE3034X</t>
  </si>
  <si>
    <t>E3034X</t>
  </si>
  <si>
    <t>Gedling Borough Council</t>
  </si>
  <si>
    <t>CPIDE3035X Mansfield District Council</t>
  </si>
  <si>
    <t>CPIDE3035X</t>
  </si>
  <si>
    <t>E3035X</t>
  </si>
  <si>
    <t>Mansfield District Council</t>
  </si>
  <si>
    <t>CPIDE3036X Newark and Sherwood District Council</t>
  </si>
  <si>
    <t>CPIDE3036X</t>
  </si>
  <si>
    <t>E3036X</t>
  </si>
  <si>
    <t>Newark and Sherwood District Council</t>
  </si>
  <si>
    <t>CPIDE3038X Rushcliffe Borough Council</t>
  </si>
  <si>
    <t>CPIDE3038X</t>
  </si>
  <si>
    <t>E3038X</t>
  </si>
  <si>
    <t>Rushcliffe Borough Council</t>
  </si>
  <si>
    <t>CPIDE3120X Oxfordshire County Council</t>
  </si>
  <si>
    <t>CPIDE3120X</t>
  </si>
  <si>
    <t>E3120X</t>
  </si>
  <si>
    <t>Oxfordshire County Council</t>
  </si>
  <si>
    <t>CPIDE3131X Cherwell District Council</t>
  </si>
  <si>
    <t>CPIDE3131X</t>
  </si>
  <si>
    <t>E3131X</t>
  </si>
  <si>
    <t>Cherwell District Council</t>
  </si>
  <si>
    <t>CPIDE3132X Oxford City Council</t>
  </si>
  <si>
    <t>CPIDE3132X</t>
  </si>
  <si>
    <t>E3132X</t>
  </si>
  <si>
    <t>Oxford City Council</t>
  </si>
  <si>
    <t>CPIDE3133X South Oxfordshire District Council</t>
  </si>
  <si>
    <t>CPIDE3133X</t>
  </si>
  <si>
    <t>E3133X</t>
  </si>
  <si>
    <t>South Oxfordshire District Council</t>
  </si>
  <si>
    <t>CPIDE3134X Vale of White Horse District Council</t>
  </si>
  <si>
    <t>CPIDE3134X</t>
  </si>
  <si>
    <t>E3134X</t>
  </si>
  <si>
    <t>Vale of White Horse District Council</t>
  </si>
  <si>
    <t>CPIDE3135X West Oxfordshire District Council</t>
  </si>
  <si>
    <t>CPIDE3135X</t>
  </si>
  <si>
    <t>E3135X</t>
  </si>
  <si>
    <t>West Oxfordshire District Council</t>
  </si>
  <si>
    <t>CPIDE3201X Telford and Wrekin (Borough of)</t>
  </si>
  <si>
    <t>CPIDE3201X</t>
  </si>
  <si>
    <t>E3201X</t>
  </si>
  <si>
    <t>Telford and Wrekin (Borough of)</t>
  </si>
  <si>
    <t>CPIDE3202X Shropshire Unitary Authority</t>
  </si>
  <si>
    <t>CPIDE3202X</t>
  </si>
  <si>
    <t>E3202X</t>
  </si>
  <si>
    <t>Shropshire Unitary Authority</t>
  </si>
  <si>
    <t>CPIDE3320X Somerset County Council</t>
  </si>
  <si>
    <t>CPIDE3320X</t>
  </si>
  <si>
    <t>E3320X</t>
  </si>
  <si>
    <t>Somerset County Council</t>
  </si>
  <si>
    <t>CPIDE3331X Mendip District Council</t>
  </si>
  <si>
    <t>CPIDE3331X</t>
  </si>
  <si>
    <t>E3331X</t>
  </si>
  <si>
    <t>Mendip District Council</t>
  </si>
  <si>
    <t>CPIDE3332X Sedgemoor District Council</t>
  </si>
  <si>
    <t>CPIDE3332X</t>
  </si>
  <si>
    <t>E3332X</t>
  </si>
  <si>
    <t>Sedgemoor District Council</t>
  </si>
  <si>
    <t>CPIDE3334X South Somerset District Council</t>
  </si>
  <si>
    <t>CPIDE3334X</t>
  </si>
  <si>
    <t>E3334X</t>
  </si>
  <si>
    <t>South Somerset District Council</t>
  </si>
  <si>
    <t>CPIDE3336X Somerset West and Taunton Council</t>
  </si>
  <si>
    <t>CPIDE3336X</t>
  </si>
  <si>
    <t>E3336X</t>
  </si>
  <si>
    <t>Somerset West and Taunton Council</t>
  </si>
  <si>
    <t>CPIDE3401X Stoke-on-Trent City Council</t>
  </si>
  <si>
    <t>CPIDE3401X</t>
  </si>
  <si>
    <t>E3401X</t>
  </si>
  <si>
    <t>Stoke-on-Trent City Council</t>
  </si>
  <si>
    <t>CPIDE3421X Staffordshire County Council</t>
  </si>
  <si>
    <t>CPIDE3421X</t>
  </si>
  <si>
    <t>E3421X</t>
  </si>
  <si>
    <t>Staffordshire County Council</t>
  </si>
  <si>
    <t>CPIDE3431X Cannock Chase District Council</t>
  </si>
  <si>
    <t>CPIDE3431X</t>
  </si>
  <si>
    <t>E3431X</t>
  </si>
  <si>
    <t>Cannock Chase District Council</t>
  </si>
  <si>
    <t>CPIDE3432X East Staffordshire Borough Council</t>
  </si>
  <si>
    <t>CPIDE3432X</t>
  </si>
  <si>
    <t>E3432X</t>
  </si>
  <si>
    <t>East Staffordshire Borough Council</t>
  </si>
  <si>
    <t>CPIDE3433X Lichfield District Council</t>
  </si>
  <si>
    <t>CPIDE3433X</t>
  </si>
  <si>
    <t>E3433X</t>
  </si>
  <si>
    <t>Lichfield District Council</t>
  </si>
  <si>
    <t>CPIDE3434X Newcastle-under-Lyme Borough Council</t>
  </si>
  <si>
    <t>CPIDE3434X</t>
  </si>
  <si>
    <t>E3434X</t>
  </si>
  <si>
    <t>Newcastle-under-Lyme Borough Council</t>
  </si>
  <si>
    <t>CPIDE3435X South Staffordshire District Council</t>
  </si>
  <si>
    <t>CPIDE3435X</t>
  </si>
  <si>
    <t>E3435X</t>
  </si>
  <si>
    <t>South Staffordshire District Council</t>
  </si>
  <si>
    <t>CPIDE3436X Stafford Borough Council</t>
  </si>
  <si>
    <t>CPIDE3436X</t>
  </si>
  <si>
    <t>E3436X</t>
  </si>
  <si>
    <t>Stafford Borough Council</t>
  </si>
  <si>
    <t>CPIDE3437X Staffordshire Moorlands District Council</t>
  </si>
  <si>
    <t>CPIDE3437X</t>
  </si>
  <si>
    <t>E3437X</t>
  </si>
  <si>
    <t>Staffordshire Moorlands District Council</t>
  </si>
  <si>
    <t>CPIDE3439X Tamworth Borough Council</t>
  </si>
  <si>
    <t>CPIDE3439X</t>
  </si>
  <si>
    <t>E3439X</t>
  </si>
  <si>
    <t>Tamworth Borough Council</t>
  </si>
  <si>
    <t>CPIDE3520X Suffolk County Council</t>
  </si>
  <si>
    <t>CPIDE3520X</t>
  </si>
  <si>
    <t>E3520X</t>
  </si>
  <si>
    <t>Suffolk County Council</t>
  </si>
  <si>
    <t>CPIDE3531X Babergh District Council</t>
  </si>
  <si>
    <t>CPIDE3531X</t>
  </si>
  <si>
    <t>E3531X</t>
  </si>
  <si>
    <t>Babergh District Council</t>
  </si>
  <si>
    <t>CPIDE3533X Ipswich Borough Council</t>
  </si>
  <si>
    <t>CPIDE3533X</t>
  </si>
  <si>
    <t>E3533X</t>
  </si>
  <si>
    <t>Ipswich Borough Council</t>
  </si>
  <si>
    <t>CPIDE3534X Mid Suffolk District Council</t>
  </si>
  <si>
    <t>CPIDE3534X</t>
  </si>
  <si>
    <t>E3534X</t>
  </si>
  <si>
    <t>Mid Suffolk District Council</t>
  </si>
  <si>
    <t>CPIDE3538X West Suffolk Council</t>
  </si>
  <si>
    <t>CPIDE3538X</t>
  </si>
  <si>
    <t>E3538X</t>
  </si>
  <si>
    <t>West Suffolk Council</t>
  </si>
  <si>
    <t>CPIDE3539X East Suffolk Council</t>
  </si>
  <si>
    <t>CPIDE3539X</t>
  </si>
  <si>
    <t>E3539X</t>
  </si>
  <si>
    <t>East Suffolk Council</t>
  </si>
  <si>
    <t>CPIDE3620X Surrey County Council</t>
  </si>
  <si>
    <t>CPIDE3620X</t>
  </si>
  <si>
    <t>E3620X</t>
  </si>
  <si>
    <t>Surrey County Council</t>
  </si>
  <si>
    <t>CPIDE3631X Elmbridge Borough Council</t>
  </si>
  <si>
    <t>CPIDE3631X</t>
  </si>
  <si>
    <t>E3631X</t>
  </si>
  <si>
    <t>Elmbridge Borough Council</t>
  </si>
  <si>
    <t>CPIDE3632X Epsom and Ewell Borough Council</t>
  </si>
  <si>
    <t>CPIDE3632X</t>
  </si>
  <si>
    <t>E3632X</t>
  </si>
  <si>
    <t>Epsom and Ewell Borough Council</t>
  </si>
  <si>
    <t>CPIDE3633X Guildford Borough Council</t>
  </si>
  <si>
    <t>CPIDE3633X</t>
  </si>
  <si>
    <t>E3633X</t>
  </si>
  <si>
    <t>Guildford Borough Council</t>
  </si>
  <si>
    <t>CPIDE3634X Mole Valley District Council</t>
  </si>
  <si>
    <t>CPIDE3634X</t>
  </si>
  <si>
    <t>E3634X</t>
  </si>
  <si>
    <t>Mole Valley District Council</t>
  </si>
  <si>
    <t>CPIDE3635X Reigate and Banstead Borough Council</t>
  </si>
  <si>
    <t>CPIDE3635X</t>
  </si>
  <si>
    <t>E3635X</t>
  </si>
  <si>
    <t>Reigate and Banstead Borough Council</t>
  </si>
  <si>
    <t>CPIDE3636X Runnymede Borough Council</t>
  </si>
  <si>
    <t>CPIDE3636X</t>
  </si>
  <si>
    <t>E3636X</t>
  </si>
  <si>
    <t>Runnymede Borough Council</t>
  </si>
  <si>
    <t>CPIDE3637X Spelthorne Borough Council</t>
  </si>
  <si>
    <t>CPIDE3637X</t>
  </si>
  <si>
    <t>E3637X</t>
  </si>
  <si>
    <t>Spelthorne Borough Council</t>
  </si>
  <si>
    <t>CPIDE3638X Surrey Heath Borough Council</t>
  </si>
  <si>
    <t>CPIDE3638X</t>
  </si>
  <si>
    <t>E3638X</t>
  </si>
  <si>
    <t>Surrey Heath Borough Council</t>
  </si>
  <si>
    <t>CPIDE3639X Tandridge District Council</t>
  </si>
  <si>
    <t>CPIDE3639X</t>
  </si>
  <si>
    <t>E3639X</t>
  </si>
  <si>
    <t>Tandridge District Council</t>
  </si>
  <si>
    <t>CPIDE3640X Waverley Borough Council</t>
  </si>
  <si>
    <t>CPIDE3640X</t>
  </si>
  <si>
    <t>E3640X</t>
  </si>
  <si>
    <t>Waverley Borough Council</t>
  </si>
  <si>
    <t>CPIDE3641X Woking Borough Council</t>
  </si>
  <si>
    <t>CPIDE3641X</t>
  </si>
  <si>
    <t>E3641X</t>
  </si>
  <si>
    <t>Woking Borough Council</t>
  </si>
  <si>
    <t>CPIDE3720X Warwickshire County Council</t>
  </si>
  <si>
    <t>CPIDE3720X</t>
  </si>
  <si>
    <t>E3720X</t>
  </si>
  <si>
    <t>Warwickshire County Council</t>
  </si>
  <si>
    <t>CPIDE3731X North Warwickshire Borough Council</t>
  </si>
  <si>
    <t>CPIDE3731X</t>
  </si>
  <si>
    <t>E3731X</t>
  </si>
  <si>
    <t>North Warwickshire Borough Council</t>
  </si>
  <si>
    <t>CPIDE3732X Nuneaton and Bedworth Borough Council</t>
  </si>
  <si>
    <t>CPIDE3732X</t>
  </si>
  <si>
    <t>E3732X</t>
  </si>
  <si>
    <t>Nuneaton and Bedworth Borough Council</t>
  </si>
  <si>
    <t>CPIDE3733X Rugby Borough Council</t>
  </si>
  <si>
    <t>CPIDE3733X</t>
  </si>
  <si>
    <t>E3733X</t>
  </si>
  <si>
    <t>Rugby Borough Council</t>
  </si>
  <si>
    <t>CPIDE3734X Stratford-on-Avon District Council</t>
  </si>
  <si>
    <t>CPIDE3734X</t>
  </si>
  <si>
    <t>E3734X</t>
  </si>
  <si>
    <t>Stratford-on-Avon District Council</t>
  </si>
  <si>
    <t>CPIDE3735X Warwick District Council</t>
  </si>
  <si>
    <t>CPIDE3735X</t>
  </si>
  <si>
    <t>E3735X</t>
  </si>
  <si>
    <t>Warwick District Council</t>
  </si>
  <si>
    <t>CPIDE3820X West Sussex County Council</t>
  </si>
  <si>
    <t>CPIDE3820X</t>
  </si>
  <si>
    <t>E3820X</t>
  </si>
  <si>
    <t>West Sussex County Council</t>
  </si>
  <si>
    <t>CPIDE3831X Adur District Council</t>
  </si>
  <si>
    <t>CPIDE3831X</t>
  </si>
  <si>
    <t>E3831X</t>
  </si>
  <si>
    <t>Adur District Council</t>
  </si>
  <si>
    <t>CPIDE3832X Arun District Council</t>
  </si>
  <si>
    <t>CPIDE3832X</t>
  </si>
  <si>
    <t>E3832X</t>
  </si>
  <si>
    <t>Arun District Council</t>
  </si>
  <si>
    <t>CPIDE3833X Chichester District Council</t>
  </si>
  <si>
    <t>CPIDE3833X</t>
  </si>
  <si>
    <t>E3833X</t>
  </si>
  <si>
    <t>Chichester District Council</t>
  </si>
  <si>
    <t>CPIDE3834X Crawley Borough Council</t>
  </si>
  <si>
    <t>CPIDE3834X</t>
  </si>
  <si>
    <t>E3834X</t>
  </si>
  <si>
    <t>Crawley Borough Council</t>
  </si>
  <si>
    <t>CPIDE3835X Horsham District Council</t>
  </si>
  <si>
    <t>CPIDE3835X</t>
  </si>
  <si>
    <t>E3835X</t>
  </si>
  <si>
    <t>Horsham District Council</t>
  </si>
  <si>
    <t>CPIDE3836X Mid Sussex District Council</t>
  </si>
  <si>
    <t>CPIDE3836X</t>
  </si>
  <si>
    <t>E3836X</t>
  </si>
  <si>
    <t>Mid Sussex District Council</t>
  </si>
  <si>
    <t>CPIDE3837X Worthing Borough Council</t>
  </si>
  <si>
    <t>CPIDE3837X</t>
  </si>
  <si>
    <t>E3837X</t>
  </si>
  <si>
    <t>Worthing Borough Council</t>
  </si>
  <si>
    <t>CPIDE3901X Swindon Borough Council</t>
  </si>
  <si>
    <t>CPIDE3901X</t>
  </si>
  <si>
    <t>E3901X</t>
  </si>
  <si>
    <t>Swindon Borough Council</t>
  </si>
  <si>
    <t>CPIDE3902X Wiltshire Unitary Authority</t>
  </si>
  <si>
    <t>CPIDE3902X</t>
  </si>
  <si>
    <t>E3902X</t>
  </si>
  <si>
    <t>Wiltshire Unitary Authority</t>
  </si>
  <si>
    <t>CPIDE4001X Isles of Scilly (Council of the)</t>
  </si>
  <si>
    <t>CPIDE4001X</t>
  </si>
  <si>
    <t>E4001X</t>
  </si>
  <si>
    <t>Isles of Scilly (Council of the)</t>
  </si>
  <si>
    <t>CPIDE4201X Bolton Metropolitan Borough Council</t>
  </si>
  <si>
    <t>CPIDE4201X</t>
  </si>
  <si>
    <t>E4201X</t>
  </si>
  <si>
    <t>Bolton Metropolitan Borough Council</t>
  </si>
  <si>
    <t>CPIDE4202X Bury Metropolitan Borough Council</t>
  </si>
  <si>
    <t>CPIDE4202X</t>
  </si>
  <si>
    <t>E4202X</t>
  </si>
  <si>
    <t>Bury Metropolitan Borough Council</t>
  </si>
  <si>
    <t>CPIDE4203X Manchester City Council</t>
  </si>
  <si>
    <t>CPIDE4203X</t>
  </si>
  <si>
    <t>E4203X</t>
  </si>
  <si>
    <t>Manchester City Council</t>
  </si>
  <si>
    <t>CPIDE4204X Oldham Metropolitan Borough Council</t>
  </si>
  <si>
    <t>CPIDE4204X</t>
  </si>
  <si>
    <t>E4204X</t>
  </si>
  <si>
    <t>Oldham Metropolitan Borough Council</t>
  </si>
  <si>
    <t>CPIDE4205X Rochdale Borough Council</t>
  </si>
  <si>
    <t>CPIDE4205X</t>
  </si>
  <si>
    <t>E4205X</t>
  </si>
  <si>
    <t>Rochdale Borough Council</t>
  </si>
  <si>
    <t>CPIDE4206X Salford City Council</t>
  </si>
  <si>
    <t>CPIDE4206X</t>
  </si>
  <si>
    <t>E4206X</t>
  </si>
  <si>
    <t>Salford City Council</t>
  </si>
  <si>
    <t>CPIDE4207X Stockport Metropolitan Borough Council</t>
  </si>
  <si>
    <t>CPIDE4207X</t>
  </si>
  <si>
    <t>E4207X</t>
  </si>
  <si>
    <t>Stockport Metropolitan Borough Council</t>
  </si>
  <si>
    <t>CPIDE4208X Tameside Metropolitan Borough Council</t>
  </si>
  <si>
    <t>CPIDE4208X</t>
  </si>
  <si>
    <t>E4208X</t>
  </si>
  <si>
    <t>Tameside Metropolitan Borough Council</t>
  </si>
  <si>
    <t>CPIDE4209X Trafford Metropolitan Borough Council</t>
  </si>
  <si>
    <t>CPIDE4209X</t>
  </si>
  <si>
    <t>E4209X</t>
  </si>
  <si>
    <t>Trafford Metropolitan Borough Council</t>
  </si>
  <si>
    <t>CPIDE4210X Wigan Metropolitan Borough Council</t>
  </si>
  <si>
    <t>CPIDE4210X</t>
  </si>
  <si>
    <t>E4210X</t>
  </si>
  <si>
    <t>Wigan Metropolitan Borough Council</t>
  </si>
  <si>
    <t>CPIDE4301X Knowsley Metropolitan Borough Council</t>
  </si>
  <si>
    <t>CPIDE4301X</t>
  </si>
  <si>
    <t>E4301X</t>
  </si>
  <si>
    <t>Knowsley Metropolitan Borough Council</t>
  </si>
  <si>
    <t>CPIDE4302X Liverpool City Council</t>
  </si>
  <si>
    <t>CPIDE4302X</t>
  </si>
  <si>
    <t>E4302X</t>
  </si>
  <si>
    <t>Liverpool City Council</t>
  </si>
  <si>
    <t>CPIDE4303X St Helens Metropolitan Borough Council</t>
  </si>
  <si>
    <t>CPIDE4303X</t>
  </si>
  <si>
    <t>E4303X</t>
  </si>
  <si>
    <t>St Helens Metropolitan Borough Council</t>
  </si>
  <si>
    <t>CPIDE4304X Sefton Metropolitan Borough Council</t>
  </si>
  <si>
    <t>CPIDE4304X</t>
  </si>
  <si>
    <t>E4304X</t>
  </si>
  <si>
    <t>Sefton Metropolitan Borough Council</t>
  </si>
  <si>
    <t>CPIDE4305X Wirral Metropolitan Borough Council</t>
  </si>
  <si>
    <t>CPIDE4305X</t>
  </si>
  <si>
    <t>E4305X</t>
  </si>
  <si>
    <t>Wirral Metropolitan Borough Council</t>
  </si>
  <si>
    <t>CPIDE4401X Barnsley Metropolitan Borough Council</t>
  </si>
  <si>
    <t>CPIDE4401X</t>
  </si>
  <si>
    <t>E4401X</t>
  </si>
  <si>
    <t>Barnsley Metropolitan Borough Council</t>
  </si>
  <si>
    <t>CPIDE4402X Doncaster Metropolitan Borough Council</t>
  </si>
  <si>
    <t>CPIDE4402X</t>
  </si>
  <si>
    <t>E4402X</t>
  </si>
  <si>
    <t>Doncaster Metropolitan Borough Council</t>
  </si>
  <si>
    <t>CPIDE4403X Rotherham Borough Council</t>
  </si>
  <si>
    <t>CPIDE4403X</t>
  </si>
  <si>
    <t>E4403X</t>
  </si>
  <si>
    <t>Rotherham Borough Council</t>
  </si>
  <si>
    <t>CPIDE4404X Sheffield City Council</t>
  </si>
  <si>
    <t>CPIDE4404X</t>
  </si>
  <si>
    <t>E4404X</t>
  </si>
  <si>
    <t>Sheffield City Council</t>
  </si>
  <si>
    <t>CPIDE4501X Gateshead Council</t>
  </si>
  <si>
    <t>CPIDE4501X</t>
  </si>
  <si>
    <t>E4501X</t>
  </si>
  <si>
    <t>Gateshead Council</t>
  </si>
  <si>
    <t>CPIDE4502X Newcastle upon Tyne City Council</t>
  </si>
  <si>
    <t>CPIDE4502X</t>
  </si>
  <si>
    <t>E4502X</t>
  </si>
  <si>
    <t>Newcastle upon Tyne City Council</t>
  </si>
  <si>
    <t>CPIDE4503X North Tyneside Metropolitan Borough Council</t>
  </si>
  <si>
    <t>CPIDE4503X</t>
  </si>
  <si>
    <t>E4503X</t>
  </si>
  <si>
    <t>North Tyneside Metropolitan Borough Council</t>
  </si>
  <si>
    <t>CPIDE4504X South Tyneside Council</t>
  </si>
  <si>
    <t>CPIDE4504X</t>
  </si>
  <si>
    <t>E4504X</t>
  </si>
  <si>
    <t>South Tyneside Council</t>
  </si>
  <si>
    <t>CPIDE4505X Sunderland City Metropolitan Borough Council</t>
  </si>
  <si>
    <t>CPIDE4505X</t>
  </si>
  <si>
    <t>E4505X</t>
  </si>
  <si>
    <t>Sunderland City Metropolitan Borough Council</t>
  </si>
  <si>
    <t>CPIDE4601X Birmingham City Council</t>
  </si>
  <si>
    <t>CPIDE4601X</t>
  </si>
  <si>
    <t>E4601X</t>
  </si>
  <si>
    <t>CPIDE4602X Coventry City Council</t>
  </si>
  <si>
    <t>CPIDE4602X</t>
  </si>
  <si>
    <t>E4602X</t>
  </si>
  <si>
    <t>Coventry City Council</t>
  </si>
  <si>
    <t>CPIDE4603X Dudley Metropolitan Borough Council</t>
  </si>
  <si>
    <t>CPIDE4603X</t>
  </si>
  <si>
    <t>E4603X</t>
  </si>
  <si>
    <t>Dudley Metropolitan Borough Council</t>
  </si>
  <si>
    <t>CPIDE4604X Sandwell Metropolitan Borough Council</t>
  </si>
  <si>
    <t>CPIDE4604X</t>
  </si>
  <si>
    <t>E4604X</t>
  </si>
  <si>
    <t>Sandwell Metropolitan Borough Council</t>
  </si>
  <si>
    <t>CPIDE4605X Solihull Metropolitan Borough Council</t>
  </si>
  <si>
    <t>CPIDE4605X</t>
  </si>
  <si>
    <t>E4605X</t>
  </si>
  <si>
    <t>Solihull Metropolitan Borough Council</t>
  </si>
  <si>
    <t>CPIDE4606X Walsall Metropolitan Borough Council</t>
  </si>
  <si>
    <t>CPIDE4606X</t>
  </si>
  <si>
    <t>E4606X</t>
  </si>
  <si>
    <t>Walsall Metropolitan Borough Council</t>
  </si>
  <si>
    <t>CPIDE4607X Wolverhampton City Council</t>
  </si>
  <si>
    <t>CPIDE4607X</t>
  </si>
  <si>
    <t>E4607X</t>
  </si>
  <si>
    <t>Wolverhampton City Council</t>
  </si>
  <si>
    <t>Do not use for LGPS related entries. LGPS is outside the WGA boundary and has no CPID.</t>
  </si>
  <si>
    <t>CPIDE4701X Bradford City Council</t>
  </si>
  <si>
    <t>CPIDE4701X</t>
  </si>
  <si>
    <t>E4701X</t>
  </si>
  <si>
    <t>Bradford City Council</t>
  </si>
  <si>
    <t>CPIDE4702X Calderdale Metropolitan Borough Council</t>
  </si>
  <si>
    <t>CPIDE4702X</t>
  </si>
  <si>
    <t>E4702X</t>
  </si>
  <si>
    <t>Calderdale Metropolitan Borough Council</t>
  </si>
  <si>
    <t>CPIDE4703X Kirklees Metropolitan Council</t>
  </si>
  <si>
    <t>CPIDE4703X</t>
  </si>
  <si>
    <t>E4703X</t>
  </si>
  <si>
    <t>Kirklees Metropolitan Council</t>
  </si>
  <si>
    <t>CPIDE4704X Leeds City Council</t>
  </si>
  <si>
    <t>CPIDE4704X</t>
  </si>
  <si>
    <t>E4704X</t>
  </si>
  <si>
    <t>Leeds City Council</t>
  </si>
  <si>
    <t>CPIDE4705X Wakefield City Council</t>
  </si>
  <si>
    <t>CPIDE4705X</t>
  </si>
  <si>
    <t>E4705X</t>
  </si>
  <si>
    <t>Wakefield City Council</t>
  </si>
  <si>
    <t>CPIDE4706X Ebbsfleet Development Corporation</t>
  </si>
  <si>
    <t>CPIDE4706X</t>
  </si>
  <si>
    <t>E4706X</t>
  </si>
  <si>
    <t>Ebbsfleet Development Corporation</t>
  </si>
  <si>
    <t>CPIDE5010X Common Council of the City of London</t>
  </si>
  <si>
    <t>CPIDE5010X</t>
  </si>
  <si>
    <t>E5010X</t>
  </si>
  <si>
    <t>Common Council of the City of London</t>
  </si>
  <si>
    <t>CPIDE5011X Camden London Borough Council</t>
  </si>
  <si>
    <t>CPIDE5011X</t>
  </si>
  <si>
    <t>E5011X</t>
  </si>
  <si>
    <t>Camden London Borough Council</t>
  </si>
  <si>
    <t>CPIDE5012X Greenwich London Borough Council</t>
  </si>
  <si>
    <t>CPIDE5012X</t>
  </si>
  <si>
    <t>E5012X</t>
  </si>
  <si>
    <t>Greenwich London Borough Council</t>
  </si>
  <si>
    <t>CPIDE5013X Hackney London Borough Council</t>
  </si>
  <si>
    <t>CPIDE5013X</t>
  </si>
  <si>
    <t>E5013X</t>
  </si>
  <si>
    <t>Hackney London Borough Council</t>
  </si>
  <si>
    <t>CPIDE5014X Hammersmith and Fulham London Borough Council</t>
  </si>
  <si>
    <t>CPIDE5014X</t>
  </si>
  <si>
    <t>E5014X</t>
  </si>
  <si>
    <t>Hammersmith and Fulham London Borough Council</t>
  </si>
  <si>
    <t>CPIDE5015X Islington London Borough Council</t>
  </si>
  <si>
    <t>CPIDE5015X</t>
  </si>
  <si>
    <t>E5015X</t>
  </si>
  <si>
    <t>Islington London Borough Council</t>
  </si>
  <si>
    <t>CPIDE5016X Kensington and Chelsea Council (Royal Borough of)</t>
  </si>
  <si>
    <t>CPIDE5016X</t>
  </si>
  <si>
    <t>E5016X</t>
  </si>
  <si>
    <t>Kensington and Chelsea Council (Royal Borough of)</t>
  </si>
  <si>
    <t>CPIDE5017X Lambeth London Borough Council</t>
  </si>
  <si>
    <t>CPIDE5017X</t>
  </si>
  <si>
    <t>E5017X</t>
  </si>
  <si>
    <t>Lambeth London Borough Council</t>
  </si>
  <si>
    <t>CPIDE5018X Lewisham London Borough Council</t>
  </si>
  <si>
    <t>CPIDE5018X</t>
  </si>
  <si>
    <t>E5018X</t>
  </si>
  <si>
    <t>Lewisham London Borough Council</t>
  </si>
  <si>
    <t>CPIDE5019X Southwark London Borough Council</t>
  </si>
  <si>
    <t>CPIDE5019X</t>
  </si>
  <si>
    <t>E5019X</t>
  </si>
  <si>
    <t>Southwark London Borough Council</t>
  </si>
  <si>
    <t>CPIDE5020X Tower Hamlets London Borough Council</t>
  </si>
  <si>
    <t>CPIDE5020X</t>
  </si>
  <si>
    <t>E5020X</t>
  </si>
  <si>
    <t>Tower Hamlets London Borough Council</t>
  </si>
  <si>
    <t>CPIDE5021X Wandsworth London Borough Council</t>
  </si>
  <si>
    <t>CPIDE5021X</t>
  </si>
  <si>
    <t>E5021X</t>
  </si>
  <si>
    <t>Wandsworth London Borough Council</t>
  </si>
  <si>
    <t>CPIDE5022X Westminster City Council</t>
  </si>
  <si>
    <t>CPIDE5022X</t>
  </si>
  <si>
    <t>E5022X</t>
  </si>
  <si>
    <t>Westminster City Council</t>
  </si>
  <si>
    <t>CPIDE5030X Barking &amp; Dagenham London Borough Council</t>
  </si>
  <si>
    <t>CPIDE5030X</t>
  </si>
  <si>
    <t>E5030X</t>
  </si>
  <si>
    <t>Barking &amp; Dagenham London Borough Council</t>
  </si>
  <si>
    <t>CPIDE5031X Barnet London Borough Council</t>
  </si>
  <si>
    <t>CPIDE5031X</t>
  </si>
  <si>
    <t>E5031X</t>
  </si>
  <si>
    <t>Barnet London Borough Council</t>
  </si>
  <si>
    <t>CPIDE5032X Bexley London Borough Council</t>
  </si>
  <si>
    <t>CPIDE5032X</t>
  </si>
  <si>
    <t>E5032X</t>
  </si>
  <si>
    <t>Bexley London Borough Council</t>
  </si>
  <si>
    <t>CPIDE5033X Brent London Borough Council</t>
  </si>
  <si>
    <t>CPIDE5033X</t>
  </si>
  <si>
    <t>E5033X</t>
  </si>
  <si>
    <t>Brent London Borough Council</t>
  </si>
  <si>
    <t>CPIDE5034X Bromley London Borough Council</t>
  </si>
  <si>
    <t>CPIDE5034X</t>
  </si>
  <si>
    <t>E5034X</t>
  </si>
  <si>
    <t>Bromley London Borough Council</t>
  </si>
  <si>
    <t>CPIDE5035X Croydon London Borough Council</t>
  </si>
  <si>
    <t>CPIDE5035X</t>
  </si>
  <si>
    <t>E5035X</t>
  </si>
  <si>
    <t>Croydon London Borough Council</t>
  </si>
  <si>
    <t>CPIDE5036X Ealing London Borough Council</t>
  </si>
  <si>
    <t>CPIDE5036X</t>
  </si>
  <si>
    <t>E5036X</t>
  </si>
  <si>
    <t>Ealing London Borough Council</t>
  </si>
  <si>
    <t>CPIDE5037X Enfield London Borough Council</t>
  </si>
  <si>
    <t>CPIDE5037X</t>
  </si>
  <si>
    <t>E5037X</t>
  </si>
  <si>
    <t>Enfield London Borough Council</t>
  </si>
  <si>
    <t>CPIDE5038X Haringey London Borough Council</t>
  </si>
  <si>
    <t>CPIDE5038X</t>
  </si>
  <si>
    <t>E5038X</t>
  </si>
  <si>
    <t>Haringey London Borough Council</t>
  </si>
  <si>
    <t>CPIDE5039X Harrow London Borough Council</t>
  </si>
  <si>
    <t>CPIDE5039X</t>
  </si>
  <si>
    <t>E5039X</t>
  </si>
  <si>
    <t>Harrow London Borough Council</t>
  </si>
  <si>
    <t>CPIDE5040X Havering London Borough Council</t>
  </si>
  <si>
    <t>CPIDE5040X</t>
  </si>
  <si>
    <t>E5040X</t>
  </si>
  <si>
    <t>Havering London Borough Council</t>
  </si>
  <si>
    <t>CPIDE5041X Hillingdon London Borough Council</t>
  </si>
  <si>
    <t>CPIDE5041X</t>
  </si>
  <si>
    <t>E5041X</t>
  </si>
  <si>
    <t>Hillingdon London Borough Council</t>
  </si>
  <si>
    <t>CPIDE5042X Hounslow London Borough Council</t>
  </si>
  <si>
    <t>CPIDE5042X</t>
  </si>
  <si>
    <t>E5042X</t>
  </si>
  <si>
    <t>Hounslow London Borough Council</t>
  </si>
  <si>
    <t>CPIDE5043X Kingston upon Thames Council (Royal Borough of)</t>
  </si>
  <si>
    <t>CPIDE5043X</t>
  </si>
  <si>
    <t>E5043X</t>
  </si>
  <si>
    <t>Kingston upon Thames Council (Royal Borough of)</t>
  </si>
  <si>
    <t>CPIDE5044X Merton Borough Council</t>
  </si>
  <si>
    <t>CPIDE5044X</t>
  </si>
  <si>
    <t>E5044X</t>
  </si>
  <si>
    <t>Merton Borough Council</t>
  </si>
  <si>
    <t>CPIDE5045X Newham London Borough Council</t>
  </si>
  <si>
    <t>CPIDE5045X</t>
  </si>
  <si>
    <t>E5045X</t>
  </si>
  <si>
    <t>Newham London Borough Council</t>
  </si>
  <si>
    <t>CPIDE5046X Redbridge London Borough Council</t>
  </si>
  <si>
    <t>CPIDE5046X</t>
  </si>
  <si>
    <t>E5046X</t>
  </si>
  <si>
    <t>Redbridge London Borough Council</t>
  </si>
  <si>
    <t>CPIDE5047X Richmond upon Thames Borough Council</t>
  </si>
  <si>
    <t>CPIDE5047X</t>
  </si>
  <si>
    <t>E5047X</t>
  </si>
  <si>
    <t>Richmond upon Thames Borough Council</t>
  </si>
  <si>
    <t>CPIDE5048X Sutton London Borough Council</t>
  </si>
  <si>
    <t>CPIDE5048X</t>
  </si>
  <si>
    <t>E5048X</t>
  </si>
  <si>
    <t>Sutton London Borough Council</t>
  </si>
  <si>
    <t>CPIDE5049X Waltham Forest London Borough Council</t>
  </si>
  <si>
    <t>CPIDE5049X</t>
  </si>
  <si>
    <t>E5049X</t>
  </si>
  <si>
    <t>Waltham Forest London Borough Council</t>
  </si>
  <si>
    <t>CPIDE5100X Greater London Authority</t>
  </si>
  <si>
    <t>CPIDE5100X</t>
  </si>
  <si>
    <t>E5100X</t>
  </si>
  <si>
    <t>Greater London Authority</t>
  </si>
  <si>
    <t>CPIDE5102X London Fire Commissioner</t>
  </si>
  <si>
    <t>CPIDE5102X</t>
  </si>
  <si>
    <t>E5102X</t>
  </si>
  <si>
    <t>London Fire Commissioner</t>
  </si>
  <si>
    <t>CPIDE5104X Transport for London</t>
  </si>
  <si>
    <t>CPIDE5104X</t>
  </si>
  <si>
    <t>E5104X</t>
  </si>
  <si>
    <t>Transport for London</t>
  </si>
  <si>
    <t>CPIDE5106X London Legacy Development Corporation</t>
  </si>
  <si>
    <t>CPIDE5106X</t>
  </si>
  <si>
    <t>E5106X</t>
  </si>
  <si>
    <t>London Legacy Development Corporation</t>
  </si>
  <si>
    <t>CPIDE6101X Avon Fire Authority</t>
  </si>
  <si>
    <t>CPIDE6101X</t>
  </si>
  <si>
    <t>E6101X</t>
  </si>
  <si>
    <t>Avon Fire Authority</t>
  </si>
  <si>
    <t>CPIDE6102X Bedfordshire and Luton Fire Authority</t>
  </si>
  <si>
    <t>CPIDE6102X</t>
  </si>
  <si>
    <t>E6102X</t>
  </si>
  <si>
    <t>Bedfordshire and Luton Fire Authority</t>
  </si>
  <si>
    <t>CPIDE6103X Royal Berkshire Fire Authority</t>
  </si>
  <si>
    <t>CPIDE6103X</t>
  </si>
  <si>
    <t>E6103X</t>
  </si>
  <si>
    <t>Royal Berkshire Fire Authority</t>
  </si>
  <si>
    <t>CPIDE6104X Buckinghamshire and Milton Keynes Fire Authority</t>
  </si>
  <si>
    <t>CPIDE6104X</t>
  </si>
  <si>
    <t>E6104X</t>
  </si>
  <si>
    <t>Buckinghamshire and Milton Keynes Fire Authority</t>
  </si>
  <si>
    <t>CPIDE6105X Cambridgeshire and Peterborough Fire Authority</t>
  </si>
  <si>
    <t>CPIDE6105X</t>
  </si>
  <si>
    <t>E6105X</t>
  </si>
  <si>
    <t>Cambridgeshire and Peterborough Fire Authority</t>
  </si>
  <si>
    <t>CPIDE6106X Cheshire Fire Authority</t>
  </si>
  <si>
    <t>CPIDE6106X</t>
  </si>
  <si>
    <t>E6106X</t>
  </si>
  <si>
    <t>Cheshire Fire Authority</t>
  </si>
  <si>
    <t>CPIDE6107X Cleveland Fire Authority</t>
  </si>
  <si>
    <t>CPIDE6107X</t>
  </si>
  <si>
    <t>E6107X</t>
  </si>
  <si>
    <t>Cleveland Fire Authority</t>
  </si>
  <si>
    <t>CPIDE6110X Derbyshire Fire Authority</t>
  </si>
  <si>
    <t>CPIDE6110X</t>
  </si>
  <si>
    <t>E6110X</t>
  </si>
  <si>
    <t>Derbyshire Fire Authority</t>
  </si>
  <si>
    <t>CPIDE6113X County Durham &amp; Darlington Fire &amp; Rescue Authority</t>
  </si>
  <si>
    <t>CPIDE6113X</t>
  </si>
  <si>
    <t>E6113X</t>
  </si>
  <si>
    <t>County Durham &amp; Darlington Fire &amp; Rescue Authority</t>
  </si>
  <si>
    <t>CPIDE6114X East Sussex Fire Authority</t>
  </si>
  <si>
    <t>CPIDE6114X</t>
  </si>
  <si>
    <t>E6114X</t>
  </si>
  <si>
    <t>East Sussex Fire Authority</t>
  </si>
  <si>
    <t>CPIDE6115X Essex Fire Authority</t>
  </si>
  <si>
    <t>CPIDE6115X</t>
  </si>
  <si>
    <t>E6115X</t>
  </si>
  <si>
    <t>Essex Fire Authority</t>
  </si>
  <si>
    <t>CPIDE6117X Hampshire Fire and Rescue Authority</t>
  </si>
  <si>
    <t>CPIDE6117X</t>
  </si>
  <si>
    <t>E6117X</t>
  </si>
  <si>
    <t>Hampshire Fire and Rescue Authority</t>
  </si>
  <si>
    <t>CPIDE6118X Hereford and Worcester Fire and Rescue Authority</t>
  </si>
  <si>
    <t>CPIDE6118X</t>
  </si>
  <si>
    <t>E6118X</t>
  </si>
  <si>
    <t>Hereford and Worcester Fire and Rescue Authority</t>
  </si>
  <si>
    <t>CPIDE6120X Humberside Fire Authority</t>
  </si>
  <si>
    <t>CPIDE6120X</t>
  </si>
  <si>
    <t>E6120X</t>
  </si>
  <si>
    <t>Humberside Fire Authority</t>
  </si>
  <si>
    <t>CPIDE6122X Kent and Medway Fire and Rescue Authority</t>
  </si>
  <si>
    <t>CPIDE6122X</t>
  </si>
  <si>
    <t>E6122X</t>
  </si>
  <si>
    <t>Kent and Medway Fire and Rescue Authority</t>
  </si>
  <si>
    <t>CPIDE6123X Lancashire Fire Authority</t>
  </si>
  <si>
    <t>CPIDE6123X</t>
  </si>
  <si>
    <t>E6123X</t>
  </si>
  <si>
    <t>Lancashire Fire Authority</t>
  </si>
  <si>
    <t>CPIDE6124X Leicester Leicshire &amp; Rutland Cmbed Fire Authority</t>
  </si>
  <si>
    <t>CPIDE6124X</t>
  </si>
  <si>
    <t>E6124X</t>
  </si>
  <si>
    <t>Leicester Leicshire &amp; Rutland Cmbed Fire Authority</t>
  </si>
  <si>
    <t>CPIDE6127X North Yorkshire Fire and Rescue Authority</t>
  </si>
  <si>
    <t>CPIDE6127X</t>
  </si>
  <si>
    <t>E6127X</t>
  </si>
  <si>
    <t>North Yorkshire Fire and Rescue Authority</t>
  </si>
  <si>
    <t>CPIDE6130X Notts &amp; City of Nottingham Fire &amp; Rescue Authority</t>
  </si>
  <si>
    <t>CPIDE6130X</t>
  </si>
  <si>
    <t>E6130X</t>
  </si>
  <si>
    <t>Notts &amp; City of Nottingham Fire &amp; Rescue Authority</t>
  </si>
  <si>
    <t>CPIDE6132X Shropshire and Wrekin Fire Authority</t>
  </si>
  <si>
    <t>CPIDE6132X</t>
  </si>
  <si>
    <t>E6132X</t>
  </si>
  <si>
    <t>Shropshire and Wrekin Fire Authority</t>
  </si>
  <si>
    <t>CPIDE6134X Stoke-on-Trent and Staffordshire Fire Authority</t>
  </si>
  <si>
    <t>CPIDE6134X</t>
  </si>
  <si>
    <t>E6134X</t>
  </si>
  <si>
    <t>Stoke-on-Trent and Staffordshire Fire Authority</t>
  </si>
  <si>
    <t>CPIDE6143X Merseyside Fire and Civil Defence Authority</t>
  </si>
  <si>
    <t>CPIDE6143X</t>
  </si>
  <si>
    <t>E6143X</t>
  </si>
  <si>
    <t>Merseyside Fire and Civil Defence Authority</t>
  </si>
  <si>
    <t>CPIDE6144X South Yorkshire Fire and Civil Defence Authority</t>
  </si>
  <si>
    <t>CPIDE6144X</t>
  </si>
  <si>
    <t>E6144X</t>
  </si>
  <si>
    <t>South Yorkshire Fire and Civil Defence Authority</t>
  </si>
  <si>
    <t>CPIDE6145X Tyne and Wear Fire and Civil Defence Authority</t>
  </si>
  <si>
    <t>CPIDE6145X</t>
  </si>
  <si>
    <t>E6145X</t>
  </si>
  <si>
    <t>Tyne and Wear Fire and Civil Defence Authority</t>
  </si>
  <si>
    <t>CPIDE6146X West Midlands Fire and Civil Defence Authority</t>
  </si>
  <si>
    <t>CPIDE6146X</t>
  </si>
  <si>
    <t>E6146X</t>
  </si>
  <si>
    <t>West Midlands Fire and Civil Defence Authority</t>
  </si>
  <si>
    <t>CPIDE6147X West Yorkshire Fire and Civil Defence Authority</t>
  </si>
  <si>
    <t>CPIDE6147X</t>
  </si>
  <si>
    <t>E6147X</t>
  </si>
  <si>
    <t>West Yorkshire Fire and Civil Defence Authority</t>
  </si>
  <si>
    <t>CPIDE6161X Devon &amp; Somerset Fire and Rescue Authority</t>
  </si>
  <si>
    <t>CPIDE6161X</t>
  </si>
  <si>
    <t>E6161X</t>
  </si>
  <si>
    <t>Devon &amp; Somerset Fire and Rescue Authority</t>
  </si>
  <si>
    <t>CPIDE6162X Dorset And Wiltshire Fire Authority</t>
  </si>
  <si>
    <t>CPIDE6162X</t>
  </si>
  <si>
    <t>E6162X</t>
  </si>
  <si>
    <t>Dorset And Wiltshire Fire Authority</t>
  </si>
  <si>
    <t>CPIDE6201X East London Waste Authority</t>
  </si>
  <si>
    <t>CPIDE6201X</t>
  </si>
  <si>
    <t>E6201X</t>
  </si>
  <si>
    <t>East London Waste Authority</t>
  </si>
  <si>
    <t>CPIDE6204X Merseyside Waste Disposal Authority</t>
  </si>
  <si>
    <t>CPIDE6204X</t>
  </si>
  <si>
    <t>E6204X</t>
  </si>
  <si>
    <t>Merseyside Waste Disposal Authority</t>
  </si>
  <si>
    <t>CPIDE6205X North London Waste Authority</t>
  </si>
  <si>
    <t>CPIDE6205X</t>
  </si>
  <si>
    <t>E6205X</t>
  </si>
  <si>
    <t>North London Waste Authority</t>
  </si>
  <si>
    <t>CPIDE6206X Western Riverside Waste Authority</t>
  </si>
  <si>
    <t>CPIDE6206X</t>
  </si>
  <si>
    <t>E6206X</t>
  </si>
  <si>
    <t>Western Riverside Waste Authority</t>
  </si>
  <si>
    <t>CPIDE6207X West London Waste Authority</t>
  </si>
  <si>
    <t>CPIDE6207X</t>
  </si>
  <si>
    <t>E6207X</t>
  </si>
  <si>
    <t>West London Waste Authority</t>
  </si>
  <si>
    <t>CPIDE6343X Liverpool City Region Combined Authority</t>
  </si>
  <si>
    <t>CPIDE6343X</t>
  </si>
  <si>
    <t>E6343X</t>
  </si>
  <si>
    <t>Liverpool City Region Combined Authority</t>
  </si>
  <si>
    <t>CPIDE6344X Sheffield City Region Combined Authority (formerly Barnsley, Doncaster, Rotherham &amp; Sheffield Co Auth)</t>
  </si>
  <si>
    <t>CPIDE6344X</t>
  </si>
  <si>
    <t>E6344X</t>
  </si>
  <si>
    <t>Sheffield City Region Combined Authority (formerly Barnsley, Doncaster, Rotherham &amp; Sheffield Co Auth)</t>
  </si>
  <si>
    <t>CPIDE6346X West Midlands Combined Authority</t>
  </si>
  <si>
    <t>CPIDE6346X</t>
  </si>
  <si>
    <t>E6346X</t>
  </si>
  <si>
    <t>West Midlands Combined Authority</t>
  </si>
  <si>
    <t>Includes what was Centro</t>
  </si>
  <si>
    <t>CPIDE6347X The West Yorkshire Combined Authority</t>
  </si>
  <si>
    <t>CPIDE6347X</t>
  </si>
  <si>
    <t>E6347X</t>
  </si>
  <si>
    <t>The West Yorkshire Combined Authority</t>
  </si>
  <si>
    <t>CPIDE6348X Greater Manchester Combined Authority</t>
  </si>
  <si>
    <t>CPIDE6348X</t>
  </si>
  <si>
    <t>E6348X</t>
  </si>
  <si>
    <t>Greater Manchester Combined Authority</t>
  </si>
  <si>
    <t>CPIDE6351X North East Combined Authority</t>
  </si>
  <si>
    <t>CPIDE6351X</t>
  </si>
  <si>
    <t>E6351X</t>
  </si>
  <si>
    <t>North East Combined Authority</t>
  </si>
  <si>
    <t>CPIDE6352X Tees Valley Combined Authority</t>
  </si>
  <si>
    <t>CPIDE6352X</t>
  </si>
  <si>
    <t>E6352X</t>
  </si>
  <si>
    <t>Tees Valley Combined Authority</t>
  </si>
  <si>
    <t>CPIDE6353X West of England Combined Authority</t>
  </si>
  <si>
    <t>CPIDE6353X</t>
  </si>
  <si>
    <t>E6353X</t>
  </si>
  <si>
    <t>West of England Combined Authority</t>
  </si>
  <si>
    <t>CPIDE6354X Peterborough and Cambridgeshire Combined Authority</t>
  </si>
  <si>
    <t>CPIDE6354X</t>
  </si>
  <si>
    <t>E6354X</t>
  </si>
  <si>
    <t>Peterborough and Cambridgeshire Combined Authority</t>
  </si>
  <si>
    <t>CPIDE6355X North of Tyne Combined Authority</t>
  </si>
  <si>
    <t>CPIDE6355X</t>
  </si>
  <si>
    <t>E6355X</t>
  </si>
  <si>
    <t>North of Tyne Combined Authority</t>
  </si>
  <si>
    <t>CPIDE6401X Dartmoor National Park Authority</t>
  </si>
  <si>
    <t>CPIDE6401X</t>
  </si>
  <si>
    <t>E6401X</t>
  </si>
  <si>
    <t>Dartmoor National Park Authority</t>
  </si>
  <si>
    <t>CPIDE6402X Exmoor National Park Authority</t>
  </si>
  <si>
    <t>CPIDE6402X</t>
  </si>
  <si>
    <t>E6402X</t>
  </si>
  <si>
    <t>Exmoor National Park Authority</t>
  </si>
  <si>
    <t>CPIDE6403X Lake District National Park Authority</t>
  </si>
  <si>
    <t>CPIDE6403X</t>
  </si>
  <si>
    <t>E6403X</t>
  </si>
  <si>
    <t>Lake District National Park Authority</t>
  </si>
  <si>
    <t>CPIDE6404X North York Moors National Park Authority</t>
  </si>
  <si>
    <t>CPIDE6404X</t>
  </si>
  <si>
    <t>E6404X</t>
  </si>
  <si>
    <t>North York Moors National Park Authority</t>
  </si>
  <si>
    <t>CPIDE6405X Northumberland National Park Authority</t>
  </si>
  <si>
    <t>CPIDE6405X</t>
  </si>
  <si>
    <t>E6405X</t>
  </si>
  <si>
    <t>Northumberland National Park Authority</t>
  </si>
  <si>
    <t>CPIDE6406X Peak District National Park Authority</t>
  </si>
  <si>
    <t>CPIDE6406X</t>
  </si>
  <si>
    <t>E6406X</t>
  </si>
  <si>
    <t>Peak District National Park Authority</t>
  </si>
  <si>
    <t>CPIDE6407X Yorkshire Dales National Park Authority</t>
  </si>
  <si>
    <t>CPIDE6407X</t>
  </si>
  <si>
    <t>E6407X</t>
  </si>
  <si>
    <t>Yorkshire Dales National Park Authority</t>
  </si>
  <si>
    <t>CPIDE6408X Broads Authority (The)</t>
  </si>
  <si>
    <t>CPIDE6408X</t>
  </si>
  <si>
    <t>E6408X</t>
  </si>
  <si>
    <t>Broads Authority (The)</t>
  </si>
  <si>
    <t>CPIDE6409X New Forest National Park Authority</t>
  </si>
  <si>
    <t>CPIDE6409X</t>
  </si>
  <si>
    <t>E6409X</t>
  </si>
  <si>
    <t>New Forest National Park Authority</t>
  </si>
  <si>
    <t>CPIDE6410X South Downs National Park Authority</t>
  </si>
  <si>
    <t>CPIDE6410X</t>
  </si>
  <si>
    <t>E6410X</t>
  </si>
  <si>
    <t>South Downs National Park Authority</t>
  </si>
  <si>
    <t>CPIDE6803X Lee Valley Regional Park Authority</t>
  </si>
  <si>
    <t>CPIDE6803X</t>
  </si>
  <si>
    <t>E6803X</t>
  </si>
  <si>
    <t>Lee Valley Regional Park Authority</t>
  </si>
  <si>
    <t>CPIDE7002X Bedfordshire Police and Crime Comm and Chief C</t>
  </si>
  <si>
    <t>CPIDE7002X</t>
  </si>
  <si>
    <t>E7002X</t>
  </si>
  <si>
    <t>Bedfordshire Police and Crime Comm and Chief C</t>
  </si>
  <si>
    <t>CPIDE7005X Cambridgeshire Police and Crime Comm and Chief C</t>
  </si>
  <si>
    <t>CPIDE7005X</t>
  </si>
  <si>
    <t>E7005X</t>
  </si>
  <si>
    <t>Cambridgeshire Police and Crime Comm and Chief C</t>
  </si>
  <si>
    <t>CPIDE7006X Cheshire Police and Crime Comm and Chief C</t>
  </si>
  <si>
    <t>CPIDE7006X</t>
  </si>
  <si>
    <t>E7006X</t>
  </si>
  <si>
    <t>Cheshire Police and Crime Comm and Chief C</t>
  </si>
  <si>
    <t>CPIDE7007X Cleveland Police and Crime Comm and Chief C</t>
  </si>
  <si>
    <t>CPIDE7007X</t>
  </si>
  <si>
    <t>E7007X</t>
  </si>
  <si>
    <t>Cleveland Police and Crime Comm and Chief C</t>
  </si>
  <si>
    <t>CPIDE7009X Cumbria Police and Crime Comm and Chief C</t>
  </si>
  <si>
    <t>CPIDE7009X</t>
  </si>
  <si>
    <t>E7009X</t>
  </si>
  <si>
    <t>Cumbria Police and Crime Comm and Chief C</t>
  </si>
  <si>
    <t>CPIDE7010X Derbyshire Police and Crime Comm and Chief C</t>
  </si>
  <si>
    <t>CPIDE7010X</t>
  </si>
  <si>
    <t>E7010X</t>
  </si>
  <si>
    <t>Derbyshire Police and Crime Comm and Chief C</t>
  </si>
  <si>
    <t>CPIDE7012X Dorset Police and Crime Comm and Chief C</t>
  </si>
  <si>
    <t>CPIDE7012X</t>
  </si>
  <si>
    <t>E7012X</t>
  </si>
  <si>
    <t>Dorset Police and Crime Comm and Chief C</t>
  </si>
  <si>
    <t>CPIDE7013X Durham Police and Crime Comm and Chief C</t>
  </si>
  <si>
    <t>CPIDE7013X</t>
  </si>
  <si>
    <t>E7013X</t>
  </si>
  <si>
    <t>Durham Police and Crime Comm and Chief C</t>
  </si>
  <si>
    <t>CPIDE7015X West Mercia Police and Crime Comm and Chief C</t>
  </si>
  <si>
    <t>CPIDE7015X</t>
  </si>
  <si>
    <t>E7015X</t>
  </si>
  <si>
    <t>West Mercia Police and Crime Comm and Chief C</t>
  </si>
  <si>
    <t>CPIDE7016X Gloucestershire Police and Crime Comm and Chief C</t>
  </si>
  <si>
    <t>CPIDE7016X</t>
  </si>
  <si>
    <t>E7016X</t>
  </si>
  <si>
    <t>Gloucestershire Police and Crime Comm and Chief C</t>
  </si>
  <si>
    <t>CPIDE7019X Essex Police and Crime Comm and Chief C</t>
  </si>
  <si>
    <t>CPIDE7019X</t>
  </si>
  <si>
    <t>E7019X</t>
  </si>
  <si>
    <t>Essex Police and Crime Comm and Chief C</t>
  </si>
  <si>
    <t>CPIDE7020X Humberside Police &amp; Crime Comm &amp; Chief C</t>
  </si>
  <si>
    <t>CPIDE7020X</t>
  </si>
  <si>
    <t>E7020X</t>
  </si>
  <si>
    <t>Humberside Police &amp; Crime Comm &amp; Chief C</t>
  </si>
  <si>
    <t>CPIDE7022X Kent Police &amp; Crime Comm &amp; Chief Constable</t>
  </si>
  <si>
    <t>CPIDE7022X</t>
  </si>
  <si>
    <t>E7022X</t>
  </si>
  <si>
    <t>Kent Police &amp; Crime Comm &amp; Chief Constable</t>
  </si>
  <si>
    <t>CPIDE7023X Lancashire Police &amp; Crime Comm &amp; Chief C</t>
  </si>
  <si>
    <t>CPIDE7023X</t>
  </si>
  <si>
    <t>E7023X</t>
  </si>
  <si>
    <t>Lancashire Police &amp; Crime Comm &amp; Chief C</t>
  </si>
  <si>
    <t>CPIDE7024X Leicestershire Police &amp; Crime Comm &amp; Chief C</t>
  </si>
  <si>
    <t>CPIDE7024X</t>
  </si>
  <si>
    <t>E7024X</t>
  </si>
  <si>
    <t>Leicestershire Police &amp; Crime Comm &amp; Chief C</t>
  </si>
  <si>
    <t>CPIDE7025X Lincolnshire Police &amp; Crime Comm &amp; Chief C</t>
  </si>
  <si>
    <t>CPIDE7025X</t>
  </si>
  <si>
    <t>E7025X</t>
  </si>
  <si>
    <t>Lincolnshire Police &amp; Crime Comm &amp; Chief C</t>
  </si>
  <si>
    <t>CPIDE7026X Norfolk Police &amp; Crime Comm &amp; Chief C</t>
  </si>
  <si>
    <t>CPIDE7026X</t>
  </si>
  <si>
    <t>E7026X</t>
  </si>
  <si>
    <t>Norfolk Police &amp; Crime Comm &amp; Chief C</t>
  </si>
  <si>
    <t>CPIDE7027X North Yorkshire Police and Crime</t>
  </si>
  <si>
    <t>CPIDE7027X</t>
  </si>
  <si>
    <t>E7027X</t>
  </si>
  <si>
    <t>North Yorkshire Police and Crime</t>
  </si>
  <si>
    <t>CPIDE7028X Northamptonshire Police, Fire &amp; Crime Comm &amp; Chief C</t>
  </si>
  <si>
    <t>CPIDE7028X</t>
  </si>
  <si>
    <t>E7028X</t>
  </si>
  <si>
    <t>Northamptonshire Police, Fire &amp; Crime Comm &amp; Chief C</t>
  </si>
  <si>
    <t>CPIDE7030X Nottinghamshire Police and Crime Comm and Chief C</t>
  </si>
  <si>
    <t>CPIDE7030X</t>
  </si>
  <si>
    <t>E7030X</t>
  </si>
  <si>
    <t>Nottinghamshire Police and Crime Comm and Chief C</t>
  </si>
  <si>
    <t>CPIDE7034X Staffordshire Police and Crime Comm and Chief C</t>
  </si>
  <si>
    <t>CPIDE7034X</t>
  </si>
  <si>
    <t>E7034X</t>
  </si>
  <si>
    <t>Staffordshire Police and Crime Comm and Chief C</t>
  </si>
  <si>
    <t>CPIDE7035X Suffolk Police and Crime Comm and Chief C</t>
  </si>
  <si>
    <t>CPIDE7035X</t>
  </si>
  <si>
    <t>E7035X</t>
  </si>
  <si>
    <t>Suffolk Police and Crime Comm and Chief C</t>
  </si>
  <si>
    <t>CPIDE7036X Surrey Police and Crime Comm and Chief C</t>
  </si>
  <si>
    <t>CPIDE7036X</t>
  </si>
  <si>
    <t>E7036X</t>
  </si>
  <si>
    <t>Surrey Police and Crime Comm and Chief C</t>
  </si>
  <si>
    <t>CPIDE7037X Warwickshire Police &amp; Crime Comm and Chief C</t>
  </si>
  <si>
    <t>CPIDE7037X</t>
  </si>
  <si>
    <t>E7037X</t>
  </si>
  <si>
    <t>Warwickshire Police &amp; Crime Comm and Chief C</t>
  </si>
  <si>
    <t>CPIDE7039X Wiltshire Police and Crime Comm and Chief C</t>
  </si>
  <si>
    <t>CPIDE7039X</t>
  </si>
  <si>
    <t>E7039X</t>
  </si>
  <si>
    <t>Wiltshire Police and Crime Comm and Chief C</t>
  </si>
  <si>
    <t>CPIDE7043X Merseyside Police &amp; Crime Comm &amp; Chief C</t>
  </si>
  <si>
    <t>CPIDE7043X</t>
  </si>
  <si>
    <t>E7043X</t>
  </si>
  <si>
    <t>Merseyside Police &amp; Crime Comm &amp; Chief C</t>
  </si>
  <si>
    <t>CPIDE7044X South Yorkshire Police and Crime Comm and Chief C</t>
  </si>
  <si>
    <t>CPIDE7044X</t>
  </si>
  <si>
    <t>E7044X</t>
  </si>
  <si>
    <t>South Yorkshire Police and Crime Comm and Chief C</t>
  </si>
  <si>
    <t>CPIDE7045X Northumbria Police and Crime Comm and Chief C (formerly Northmubria Police and Crime Comm and Chief C)</t>
  </si>
  <si>
    <t>CPIDE7045X</t>
  </si>
  <si>
    <t>E7045X</t>
  </si>
  <si>
    <t>Northumbria Police and Crime Comm and Chief C (formerly Northmubria Police and Crime Comm and Chief C)</t>
  </si>
  <si>
    <t>CPIDE7046X West Midlands Police and Crime Comm and Chief C</t>
  </si>
  <si>
    <t>CPIDE7046X</t>
  </si>
  <si>
    <t>E7046X</t>
  </si>
  <si>
    <t>West Midlands Police and Crime Comm and Chief C</t>
  </si>
  <si>
    <t>CPIDE7047X West Yorkshire Police and Crime Comm and Chief C</t>
  </si>
  <si>
    <t>CPIDE7047X</t>
  </si>
  <si>
    <t>E7047X</t>
  </si>
  <si>
    <t>West Yorkshire Police and Crime Comm and Chief C</t>
  </si>
  <si>
    <t>CPIDE7050X Avon &amp; Somerset Police and Crime Comm and Chief C</t>
  </si>
  <si>
    <t>CPIDE7050X</t>
  </si>
  <si>
    <t>E7050X</t>
  </si>
  <si>
    <t>Avon &amp; Somerset Police and Crime Comm and Chief C</t>
  </si>
  <si>
    <t>CPIDE7051X Devon &amp; Cornwall Police and Crime Comm and Chief C</t>
  </si>
  <si>
    <t>CPIDE7051X</t>
  </si>
  <si>
    <t>E7051X</t>
  </si>
  <si>
    <t>Devon &amp; Cornwall Police and Crime Comm and Chief C</t>
  </si>
  <si>
    <t>CPIDE7052X Hampshire Police and Crime Comm and Chief</t>
  </si>
  <si>
    <t>CPIDE7052X</t>
  </si>
  <si>
    <t>E7052X</t>
  </si>
  <si>
    <t>Hampshire Police and Crime Comm and Chief</t>
  </si>
  <si>
    <t>CPIDE7053X Sussex Police and Crime Comm and Chief C</t>
  </si>
  <si>
    <t>CPIDE7053X</t>
  </si>
  <si>
    <t>E7053X</t>
  </si>
  <si>
    <t>Sussex Police and Crime Comm and Chief C</t>
  </si>
  <si>
    <t>CPIDE7054X Thames Valley Police and Crime Com and Chief C</t>
  </si>
  <si>
    <t>CPIDE7054X</t>
  </si>
  <si>
    <t>E7054X</t>
  </si>
  <si>
    <t>Thames Valley Police and Crime Com and Chief C</t>
  </si>
  <si>
    <t>CPIDE7055X Hertfordshire Police &amp; Crime Comm &amp; Chief C</t>
  </si>
  <si>
    <t>CPIDE7055X</t>
  </si>
  <si>
    <t>E7055X</t>
  </si>
  <si>
    <t>Hertfordshire Police &amp; Crime Comm &amp; Chief C</t>
  </si>
  <si>
    <t>CPIDE7060X Mayor's Office for Policing and Crime and Met P Co</t>
  </si>
  <si>
    <t>CPIDE7060X</t>
  </si>
  <si>
    <t>E7060X</t>
  </si>
  <si>
    <t>Mayor's Office for Policing and Crime and Met P Co</t>
  </si>
  <si>
    <t>CPIDE7061X Transport for the North</t>
  </si>
  <si>
    <t>CPIDE7061X</t>
  </si>
  <si>
    <t>E7061X</t>
  </si>
  <si>
    <t>Transport for the North</t>
  </si>
  <si>
    <t>CPIDE8061X North Northamptonshire Council</t>
  </si>
  <si>
    <t>CPIDE8061X</t>
  </si>
  <si>
    <t>E8061X</t>
  </si>
  <si>
    <t>North Northamptonshire Council</t>
  </si>
  <si>
    <t>CPIDE8062X West Northamptonshire Council</t>
  </si>
  <si>
    <t>CPIDE8062X</t>
  </si>
  <si>
    <t>E8062X</t>
  </si>
  <si>
    <t>West Northamptonshire Council</t>
  </si>
  <si>
    <t>CPIDNI027X ARC 21 Joint Committee</t>
  </si>
  <si>
    <t>CPIDNI027X</t>
  </si>
  <si>
    <t>NI027X</t>
  </si>
  <si>
    <t>ARC 21 Joint Committee</t>
  </si>
  <si>
    <t>Northern Ireland LG</t>
  </si>
  <si>
    <t>CPIDNI028X Antrim and Newtownabbey Borough Council</t>
  </si>
  <si>
    <t>CPIDNI028X</t>
  </si>
  <si>
    <t>NI028X</t>
  </si>
  <si>
    <t>Antrim and Newtownabbey Borough Council</t>
  </si>
  <si>
    <t>CPIDNI029X Armagh City, Banbridge &amp; Craigavon Borough Council</t>
  </si>
  <si>
    <t>CPIDNI029X</t>
  </si>
  <si>
    <t>NI029X</t>
  </si>
  <si>
    <t>Armagh City, Banbridge &amp; Craigavon Borough Council</t>
  </si>
  <si>
    <t>CPIDNI030X Belfast City Council</t>
  </si>
  <si>
    <t>CPIDNI030X</t>
  </si>
  <si>
    <t>NI030X</t>
  </si>
  <si>
    <t>Belfast City Council</t>
  </si>
  <si>
    <t>CPIDNI031X Causeway Coast and Glens Borough Council</t>
  </si>
  <si>
    <t>CPIDNI031X</t>
  </si>
  <si>
    <t>NI031X</t>
  </si>
  <si>
    <t>Causeway Coast and Glens Borough Council</t>
  </si>
  <si>
    <t>CPIDNI032X Derry City and Strabane District Council (formerly Derry and Strabane City Council)</t>
  </si>
  <si>
    <t>CPIDNI032X</t>
  </si>
  <si>
    <t>NI032X</t>
  </si>
  <si>
    <t>Derry City and Strabane District Council (formerly Derry and Strabane City Council)</t>
  </si>
  <si>
    <t>CPIDNI033X Fermanagh and Omagh District Council</t>
  </si>
  <si>
    <t>CPIDNI033X</t>
  </si>
  <si>
    <t>NI033X</t>
  </si>
  <si>
    <t>Fermanagh and Omagh District Council</t>
  </si>
  <si>
    <t>CPIDNI034X Lisburn and Castlereagh City Council</t>
  </si>
  <si>
    <t>CPIDNI034X</t>
  </si>
  <si>
    <t>NI034X</t>
  </si>
  <si>
    <t>Lisburn and Castlereagh City Council</t>
  </si>
  <si>
    <t>CPIDNI035X Mid and East Antrim Borough Council</t>
  </si>
  <si>
    <t>CPIDNI035X</t>
  </si>
  <si>
    <t>NI035X</t>
  </si>
  <si>
    <t>Mid and East Antrim Borough Council</t>
  </si>
  <si>
    <t>CPIDNI036X Mid Ulster District Council</t>
  </si>
  <si>
    <t>CPIDNI036X</t>
  </si>
  <si>
    <t>NI036X</t>
  </si>
  <si>
    <t>Mid Ulster District Council</t>
  </si>
  <si>
    <t>CPIDNI037X Newry Mourne and Down District Council</t>
  </si>
  <si>
    <t>CPIDNI037X</t>
  </si>
  <si>
    <t>NI037X</t>
  </si>
  <si>
    <t>Newry Mourne and Down District Council</t>
  </si>
  <si>
    <t>CPIDNI038X Ards and North Down Borough Council</t>
  </si>
  <si>
    <t>CPIDNI038X</t>
  </si>
  <si>
    <t>NI038X</t>
  </si>
  <si>
    <t>Ards and North Down Borough Council</t>
  </si>
  <si>
    <t>CPIDS001XX Aberdeen City Council</t>
  </si>
  <si>
    <t>CPIDS001XX</t>
  </si>
  <si>
    <t>S001XX</t>
  </si>
  <si>
    <t>Aberdeen City Council</t>
  </si>
  <si>
    <t>Scottish Local Government</t>
  </si>
  <si>
    <t>CPIDS002XX Aberdeenshire Council</t>
  </si>
  <si>
    <t>CPIDS002XX</t>
  </si>
  <si>
    <t>S002XX</t>
  </si>
  <si>
    <t>Aberdeenshire Council</t>
  </si>
  <si>
    <t>CPIDS003XX Angus Council</t>
  </si>
  <si>
    <t>CPIDS003XX</t>
  </si>
  <si>
    <t>S003XX</t>
  </si>
  <si>
    <t>Angus Council</t>
  </si>
  <si>
    <t>CPIDS004XX Argyll and Bute Council</t>
  </si>
  <si>
    <t>CPIDS004XX</t>
  </si>
  <si>
    <t>S004XX</t>
  </si>
  <si>
    <t>Argyll and Bute Council</t>
  </si>
  <si>
    <t>CPIDS005XX Clackmannanshire Council</t>
  </si>
  <si>
    <t>CPIDS005XX</t>
  </si>
  <si>
    <t>S005XX</t>
  </si>
  <si>
    <t>Clackmannanshire Council</t>
  </si>
  <si>
    <t>CPIDS006XX Western Isles Council</t>
  </si>
  <si>
    <t>CPIDS006XX</t>
  </si>
  <si>
    <t>S006XX</t>
  </si>
  <si>
    <t>Western Isles Council</t>
  </si>
  <si>
    <t>CPIDS007XX Dumfries and Galloway Council</t>
  </si>
  <si>
    <t>CPIDS007XX</t>
  </si>
  <si>
    <t>S007XX</t>
  </si>
  <si>
    <t>Dumfries and Galloway Council</t>
  </si>
  <si>
    <t>CPIDS008XX Dundee City Council</t>
  </si>
  <si>
    <t>CPIDS008XX</t>
  </si>
  <si>
    <t>S008XX</t>
  </si>
  <si>
    <t>Dundee City Council</t>
  </si>
  <si>
    <t>CPIDS009XX East Ayrshire Council</t>
  </si>
  <si>
    <t>CPIDS009XX</t>
  </si>
  <si>
    <t>S009XX</t>
  </si>
  <si>
    <t>East Ayrshire Council</t>
  </si>
  <si>
    <t>CPIDS010XX East Dunbartonshire Council</t>
  </si>
  <si>
    <t>CPIDS010XX</t>
  </si>
  <si>
    <t>S010XX</t>
  </si>
  <si>
    <t>East Dunbartonshire Council</t>
  </si>
  <si>
    <t>CPIDS011XX East Lothian Council</t>
  </si>
  <si>
    <t>CPIDS011XX</t>
  </si>
  <si>
    <t>S011XX</t>
  </si>
  <si>
    <t>East Lothian Council</t>
  </si>
  <si>
    <t>CPIDS012XX East Renfrewshire Council</t>
  </si>
  <si>
    <t>CPIDS012XX</t>
  </si>
  <si>
    <t>S012XX</t>
  </si>
  <si>
    <t>East Renfrewshire Council</t>
  </si>
  <si>
    <t>CPIDS013XX Edinburgh City Council</t>
  </si>
  <si>
    <t>CPIDS013XX</t>
  </si>
  <si>
    <t>S013XX</t>
  </si>
  <si>
    <t>Edinburgh City Council</t>
  </si>
  <si>
    <t>CPIDS014XX Falkirk Council</t>
  </si>
  <si>
    <t>CPIDS014XX</t>
  </si>
  <si>
    <t>S014XX</t>
  </si>
  <si>
    <t>Falkirk Council</t>
  </si>
  <si>
    <t>CPIDS015XX Fife Council</t>
  </si>
  <si>
    <t>CPIDS015XX</t>
  </si>
  <si>
    <t>S015XX</t>
  </si>
  <si>
    <t>Fife Council</t>
  </si>
  <si>
    <t>CPIDS016XX Glasgow City Council</t>
  </si>
  <si>
    <t>CPIDS016XX</t>
  </si>
  <si>
    <t>S016XX</t>
  </si>
  <si>
    <t>Glasgow City Council</t>
  </si>
  <si>
    <t>CPIDS017XX Highland Council</t>
  </si>
  <si>
    <t>CPIDS017XX</t>
  </si>
  <si>
    <t>S017XX</t>
  </si>
  <si>
    <t>Highland Council</t>
  </si>
  <si>
    <t>CPIDS018XX Inverclyde Council</t>
  </si>
  <si>
    <t>CPIDS018XX</t>
  </si>
  <si>
    <t>S018XX</t>
  </si>
  <si>
    <t>Inverclyde Council</t>
  </si>
  <si>
    <t>CPIDS019XX Midlothian Council</t>
  </si>
  <si>
    <t>CPIDS019XX</t>
  </si>
  <si>
    <t>S019XX</t>
  </si>
  <si>
    <t>Midlothian Council</t>
  </si>
  <si>
    <t>CPIDS020XX Moray Council</t>
  </si>
  <si>
    <t>CPIDS020XX</t>
  </si>
  <si>
    <t>S020XX</t>
  </si>
  <si>
    <t>Moray Council</t>
  </si>
  <si>
    <t>CPIDS021XX North Ayrshire Council</t>
  </si>
  <si>
    <t>CPIDS021XX</t>
  </si>
  <si>
    <t>S021XX</t>
  </si>
  <si>
    <t>North Ayrshire Council</t>
  </si>
  <si>
    <t>CPIDS022XX North Lanarkshire Council</t>
  </si>
  <si>
    <t>CPIDS022XX</t>
  </si>
  <si>
    <t>S022XX</t>
  </si>
  <si>
    <t>North Lanarkshire Council</t>
  </si>
  <si>
    <t>CPIDS023XX Orkney Islands Council</t>
  </si>
  <si>
    <t>CPIDS023XX</t>
  </si>
  <si>
    <t>S023XX</t>
  </si>
  <si>
    <t>Orkney Islands Council</t>
  </si>
  <si>
    <t>CPIDS025XX Perth and Kinross Council</t>
  </si>
  <si>
    <t>CPIDS025XX</t>
  </si>
  <si>
    <t>S025XX</t>
  </si>
  <si>
    <t>Perth and Kinross Council</t>
  </si>
  <si>
    <t>CPIDS026XX Renfrewshire Council</t>
  </si>
  <si>
    <t>CPIDS026XX</t>
  </si>
  <si>
    <t>S026XX</t>
  </si>
  <si>
    <t>Renfrewshire Council</t>
  </si>
  <si>
    <t>CPIDS027XX Scottish Borders Council</t>
  </si>
  <si>
    <t>CPIDS027XX</t>
  </si>
  <si>
    <t>S027XX</t>
  </si>
  <si>
    <t>Scottish Borders Council</t>
  </si>
  <si>
    <t>CPIDS028XX Shetland Islands Council</t>
  </si>
  <si>
    <t>CPIDS028XX</t>
  </si>
  <si>
    <t>S028XX</t>
  </si>
  <si>
    <t>Shetland Islands Council</t>
  </si>
  <si>
    <t>CPIDS029XX South Ayrshire Council</t>
  </si>
  <si>
    <t>CPIDS029XX</t>
  </si>
  <si>
    <t>S029XX</t>
  </si>
  <si>
    <t>South Ayrshire Council</t>
  </si>
  <si>
    <t>CPIDS030XX South Lanarkshire Council</t>
  </si>
  <si>
    <t>CPIDS030XX</t>
  </si>
  <si>
    <t>S030XX</t>
  </si>
  <si>
    <t>South Lanarkshire Council</t>
  </si>
  <si>
    <t>CPIDS031XX Stirling Council</t>
  </si>
  <si>
    <t>CPIDS031XX</t>
  </si>
  <si>
    <t>S031XX</t>
  </si>
  <si>
    <t>Stirling Council</t>
  </si>
  <si>
    <t>CPIDS032XX West Dunbartonshire Council</t>
  </si>
  <si>
    <t>CPIDS032XX</t>
  </si>
  <si>
    <t>S032XX</t>
  </si>
  <si>
    <t>West Dunbartonshire Council</t>
  </si>
  <si>
    <t>CPIDS033XX West Lothian Council</t>
  </si>
  <si>
    <t>CPIDS033XX</t>
  </si>
  <si>
    <t>S033XX</t>
  </si>
  <si>
    <t>West Lothian Council</t>
  </si>
  <si>
    <t>CPIDS046XX Strathclyde Partnership for Transport</t>
  </si>
  <si>
    <t>CPIDS046XX</t>
  </si>
  <si>
    <t>S046XX</t>
  </si>
  <si>
    <t>Strathclyde Partnership for Transport</t>
  </si>
  <si>
    <t>CPIDS056XX Tay Road Bridge Joint Board</t>
  </si>
  <si>
    <t>CPIDS056XX</t>
  </si>
  <si>
    <t>S056XX</t>
  </si>
  <si>
    <t>Tay Road Bridge Joint Board</t>
  </si>
  <si>
    <t>CPIDS099XX Shetland Charitable Trust</t>
  </si>
  <si>
    <t>CPIDS099XX</t>
  </si>
  <si>
    <t>S099XX</t>
  </si>
  <si>
    <t>Shetland Charitable Trust</t>
  </si>
  <si>
    <t>CPIDW512XX Isle of Anglesey County Council</t>
  </si>
  <si>
    <t>CPIDW512XX</t>
  </si>
  <si>
    <t>W512XX</t>
  </si>
  <si>
    <t>Isle of Anglesey County Council</t>
  </si>
  <si>
    <t>Welsh Local Government</t>
  </si>
  <si>
    <t>CPIDW514XX Gwynedd County Council</t>
  </si>
  <si>
    <t>CPIDW514XX</t>
  </si>
  <si>
    <t>W514XX</t>
  </si>
  <si>
    <t>Gwynedd County Council</t>
  </si>
  <si>
    <t>CPIDW516XX Conwy County Borough Council</t>
  </si>
  <si>
    <t>CPIDW516XX</t>
  </si>
  <si>
    <t>W516XX</t>
  </si>
  <si>
    <t>Conwy County Borough Council</t>
  </si>
  <si>
    <t>CPIDW518XX Denbighshire County Council</t>
  </si>
  <si>
    <t>CPIDW518XX</t>
  </si>
  <si>
    <t>W518XX</t>
  </si>
  <si>
    <t>Denbighshire County Council</t>
  </si>
  <si>
    <t>CPIDW520XX Flintshire County Council</t>
  </si>
  <si>
    <t>CPIDW520XX</t>
  </si>
  <si>
    <t>W520XX</t>
  </si>
  <si>
    <t>Flintshire County Council</t>
  </si>
  <si>
    <t>CPIDW522XX Wrexham County Borough Council</t>
  </si>
  <si>
    <t>CPIDW522XX</t>
  </si>
  <si>
    <t>W522XX</t>
  </si>
  <si>
    <t>Wrexham County Borough Council</t>
  </si>
  <si>
    <t>CPIDW524XX Powys County Council</t>
  </si>
  <si>
    <t>CPIDW524XX</t>
  </si>
  <si>
    <t>W524XX</t>
  </si>
  <si>
    <t>Powys County Council</t>
  </si>
  <si>
    <t>CPIDW526XX Ceredigion County Council</t>
  </si>
  <si>
    <t>CPIDW526XX</t>
  </si>
  <si>
    <t>W526XX</t>
  </si>
  <si>
    <t>Ceredigion County Council</t>
  </si>
  <si>
    <t>CPIDW528XX Pembrokeshire County Council</t>
  </si>
  <si>
    <t>CPIDW528XX</t>
  </si>
  <si>
    <t>W528XX</t>
  </si>
  <si>
    <t>Pembrokeshire County Council</t>
  </si>
  <si>
    <t>CPIDW530XX Carmarthenshire County Council</t>
  </si>
  <si>
    <t>CPIDW530XX</t>
  </si>
  <si>
    <t>W530XX</t>
  </si>
  <si>
    <t>Carmarthenshire County Council</t>
  </si>
  <si>
    <t>CPIDW532XX Swansea City and County Council</t>
  </si>
  <si>
    <t>CPIDW532XX</t>
  </si>
  <si>
    <t>W532XX</t>
  </si>
  <si>
    <t>Swansea City and County Council</t>
  </si>
  <si>
    <t>CPIDW534XX Neath Port Talbot County Borough Council</t>
  </si>
  <si>
    <t>CPIDW534XX</t>
  </si>
  <si>
    <t>W534XX</t>
  </si>
  <si>
    <t>Neath Port Talbot County Borough Council</t>
  </si>
  <si>
    <t>CPIDW536XX Bridgend County Borough Council</t>
  </si>
  <si>
    <t>CPIDW536XX</t>
  </si>
  <si>
    <t>W536XX</t>
  </si>
  <si>
    <t>Bridgend County Borough Council</t>
  </si>
  <si>
    <t>CPIDW538XX Vale of Glamorgan County Council</t>
  </si>
  <si>
    <t>CPIDW538XX</t>
  </si>
  <si>
    <t>W538XX</t>
  </si>
  <si>
    <t>Vale of Glamorgan County Council</t>
  </si>
  <si>
    <t>CPIDW540XX Rhondda Cynon Taff County Borough Council</t>
  </si>
  <si>
    <t>CPIDW540XX</t>
  </si>
  <si>
    <t>W540XX</t>
  </si>
  <si>
    <t>Rhondda Cynon Taff County Borough Council</t>
  </si>
  <si>
    <t>CPIDW542XX Merthyr Tydfil County Borough Council</t>
  </si>
  <si>
    <t>CPIDW542XX</t>
  </si>
  <si>
    <t>W542XX</t>
  </si>
  <si>
    <t>Merthyr Tydfil County Borough Council</t>
  </si>
  <si>
    <t>CPIDW544XX Caerphilly County Borough Council</t>
  </si>
  <si>
    <t>CPIDW544XX</t>
  </si>
  <si>
    <t>W544XX</t>
  </si>
  <si>
    <t>Caerphilly County Borough Council</t>
  </si>
  <si>
    <t>CPIDW545XX Blaenau Gwent County Borough Council</t>
  </si>
  <si>
    <t>CPIDW545XX</t>
  </si>
  <si>
    <t>W545XX</t>
  </si>
  <si>
    <t>Blaenau Gwent County Borough Council</t>
  </si>
  <si>
    <t>CPIDW546XX Torfaen County Borough Council</t>
  </si>
  <si>
    <t>CPIDW546XX</t>
  </si>
  <si>
    <t>W546XX</t>
  </si>
  <si>
    <t>Torfaen County Borough Council</t>
  </si>
  <si>
    <t>CPIDW548XX Monmouthshire County Council</t>
  </si>
  <si>
    <t>CPIDW548XX</t>
  </si>
  <si>
    <t>W548XX</t>
  </si>
  <si>
    <t>Monmouthshire County Council</t>
  </si>
  <si>
    <t>CPIDW550XX Newport City Council</t>
  </si>
  <si>
    <t>CPIDW550XX</t>
  </si>
  <si>
    <t>W550XX</t>
  </si>
  <si>
    <t>Newport City Council</t>
  </si>
  <si>
    <t>CPIDW552XX Cardiff City and County Council</t>
  </si>
  <si>
    <t>CPIDW552XX</t>
  </si>
  <si>
    <t>W552XX</t>
  </si>
  <si>
    <t>Cardiff City and County Council</t>
  </si>
  <si>
    <t>CPIDW562XX Dyfed Powys Police and Crime Commissioner</t>
  </si>
  <si>
    <t>CPIDW562XX</t>
  </si>
  <si>
    <t>W562XX</t>
  </si>
  <si>
    <t>Dyfed Powys Police and Crime Commissioner</t>
  </si>
  <si>
    <t>CPIDW564XX Gwent Police and Crime Commissioner</t>
  </si>
  <si>
    <t>CPIDW564XX</t>
  </si>
  <si>
    <t>W564XX</t>
  </si>
  <si>
    <t>Gwent Police and Crime Commissioner</t>
  </si>
  <si>
    <t>CPIDW566XX North Wales Police and Crime Commissioner</t>
  </si>
  <si>
    <t>CPIDW566XX</t>
  </si>
  <si>
    <t>W566XX</t>
  </si>
  <si>
    <t>North Wales Police and Crime Commissioner</t>
  </si>
  <si>
    <t>CPIDW568XX South Wales Police and Crime Commissioner</t>
  </si>
  <si>
    <t>CPIDW568XX</t>
  </si>
  <si>
    <t>W568XX</t>
  </si>
  <si>
    <t>South Wales Police and Crime Commissioner</t>
  </si>
  <si>
    <t>CPIDW572XX Mid and West Wales Fire Authority</t>
  </si>
  <si>
    <t>CPIDW572XX</t>
  </si>
  <si>
    <t>W572XX</t>
  </si>
  <si>
    <t>Mid and West Wales Fire Authority</t>
  </si>
  <si>
    <t>CPIDW574XX North Wales Fire Authority</t>
  </si>
  <si>
    <t>CPIDW574XX</t>
  </si>
  <si>
    <t>W574XX</t>
  </si>
  <si>
    <t>North Wales Fire Authority</t>
  </si>
  <si>
    <t>CPIDW576XX South Wales Fire Authority</t>
  </si>
  <si>
    <t>CPIDW576XX</t>
  </si>
  <si>
    <t>W576XX</t>
  </si>
  <si>
    <t>South Wales Fire Authority</t>
  </si>
  <si>
    <t>CPIDW586XX Snowdonia National Park Authority</t>
  </si>
  <si>
    <t>CPIDW586XX</t>
  </si>
  <si>
    <t>W586XX</t>
  </si>
  <si>
    <t>Snowdonia National Park Authority</t>
  </si>
  <si>
    <t>CPIDFTRA7X University Hospitals Bristol and Weston NHS Foundation Trust (Formerly Bristol)</t>
  </si>
  <si>
    <t>CPIDFTRA7X</t>
  </si>
  <si>
    <t>FTRA7X</t>
  </si>
  <si>
    <t>University Hospitals Bristol and Weston NHS Foundation Trust (Formerly Bristol)</t>
  </si>
  <si>
    <t>NHS Foundation Trusts</t>
  </si>
  <si>
    <t>This existing CPID Ref has a slight "Name" Change and "Type" Change but still NHS Trust</t>
  </si>
  <si>
    <t>CPIDFTRDEX East Suffolk and North Essex NHS Foundation Trust (Formerly Colchester)</t>
  </si>
  <si>
    <t>CPIDFTRDEX</t>
  </si>
  <si>
    <t>FTRDEX</t>
  </si>
  <si>
    <t>East Suffolk and North Essex NHS Foundation Trust (Formerly Colchester)</t>
  </si>
  <si>
    <t>CPIDFTRH8X Royal Devon University Healthcare NHS Foundation Trust</t>
  </si>
  <si>
    <t>CPIDFTRH8X</t>
  </si>
  <si>
    <t>FTRH8X</t>
  </si>
  <si>
    <t>Royal Devon University Healthcare NHS Foundation Trust</t>
  </si>
  <si>
    <t>CPIDFTRJCX South Warwickshire University NHS Foundation Trust</t>
  </si>
  <si>
    <t>CPIDFTRJCX</t>
  </si>
  <si>
    <t>FTRJCX</t>
  </si>
  <si>
    <t>South Warwickshire University NHS Foundation Trust</t>
  </si>
  <si>
    <t>CPIDFTRMPX Tameside and Glossop Integrated Care NHS Foundation Trust</t>
  </si>
  <si>
    <t>CPIDFTRMPX</t>
  </si>
  <si>
    <t>FTRMPX</t>
  </si>
  <si>
    <t>Tameside and Glossop Integrated Care NHS Foundation Trust</t>
  </si>
  <si>
    <t>CPIDFTRNNX North Cumbria Integrated Care NHS Foundation Trust</t>
  </si>
  <si>
    <t>CPIDFTRNNX</t>
  </si>
  <si>
    <t>FTRNNX</t>
  </si>
  <si>
    <t>North Cumbria Integrated Care NHS Foundation Trust</t>
  </si>
  <si>
    <t>CPIDFTRQMX Chelsea And Westminster Hospital NHS Foundation Trust</t>
  </si>
  <si>
    <t>CPIDFTRQMX</t>
  </si>
  <si>
    <t>FTRQMX</t>
  </si>
  <si>
    <t>Chelsea And Westminster Hospital NHS Foundation Trust</t>
  </si>
  <si>
    <t>CPIDFTRREX Midlands Partnership NHS Foundation Trust</t>
  </si>
  <si>
    <t>CPIDFTRREX</t>
  </si>
  <si>
    <t>FTRREX</t>
  </si>
  <si>
    <t>Midlands Partnership NHS Foundation Trust</t>
  </si>
  <si>
    <t>CPIDFTRTGX University Hospitals of Derby and Burton NHS Foundation Trust</t>
  </si>
  <si>
    <t>CPIDFTRTGX</t>
  </si>
  <si>
    <t>FTRTGX</t>
  </si>
  <si>
    <t>University Hospitals of Derby and Burton NHS Foundation Trust</t>
  </si>
  <si>
    <t>CPIDFTRV9X Humber Teaching NHS Foundation Trust</t>
  </si>
  <si>
    <t>CPIDFTRV9X</t>
  </si>
  <si>
    <t>FTRV9X</t>
  </si>
  <si>
    <t>Humber Teaching NHS Foundation Trust</t>
  </si>
  <si>
    <t>CPIDFTRX4X Cumbria, Northumberland, Tyne &amp; Wear NHS Foundation Trust</t>
  </si>
  <si>
    <t>CPIDFTRX4X</t>
  </si>
  <si>
    <t>FTRX4X</t>
  </si>
  <si>
    <t>Cumbria, Northumberland, Tyne &amp; Wear NHS Foundation Trust</t>
  </si>
  <si>
    <t>CPIDFTRYRX University Hospitals Sussex NHS Foundation Trust</t>
  </si>
  <si>
    <t>CPIDFTRYRX</t>
  </si>
  <si>
    <t>FTRYRX</t>
  </si>
  <si>
    <t>University Hospitals Sussex NHS Foundation Trust</t>
  </si>
  <si>
    <t xml:space="preserve">CPIDFTTAJX Black Country Healthcare NHS Foundation Trust </t>
  </si>
  <si>
    <t>CPIDFTTAJX</t>
  </si>
  <si>
    <t>FTTAJX</t>
  </si>
  <si>
    <t xml:space="preserve">Black Country Healthcare NHS Foundation Trust </t>
  </si>
  <si>
    <t>CPIDFTR0AX Manchester University NHS Foundation Trust</t>
  </si>
  <si>
    <t>CPIDFTR0AX</t>
  </si>
  <si>
    <t>FTR0AX</t>
  </si>
  <si>
    <t>Manchester University NHS Foundation Trust</t>
  </si>
  <si>
    <t>This has a slight "Type" change but "Type" is still NHS Trust</t>
  </si>
  <si>
    <t>CPIDFTR0DX University Hospitals Dorset NHS Foundation Trust</t>
  </si>
  <si>
    <t>CPIDFTR0DX</t>
  </si>
  <si>
    <t>FTR0DX</t>
  </si>
  <si>
    <t>University Hospitals Dorset NHS Foundation Trust</t>
  </si>
  <si>
    <t>CPIDFTRA2X Royal Surrey County NHS Foundation Trust</t>
  </si>
  <si>
    <t>CPIDFTRA2X</t>
  </si>
  <si>
    <t>FTRA2X</t>
  </si>
  <si>
    <t>Royal Surrey County NHS Foundation Trust</t>
  </si>
  <si>
    <t>CPIDFTRA4X Yeovil District Hospital NHS Foundation Trust</t>
  </si>
  <si>
    <t>CPIDFTRA4X</t>
  </si>
  <si>
    <t>FTRA4X</t>
  </si>
  <si>
    <t>Yeovil District Hospital NHS Foundation Trust</t>
  </si>
  <si>
    <t>CPIDFTRA9X Torbay and South Devon NHS Foundation Trust</t>
  </si>
  <si>
    <t>CPIDFTRA9X</t>
  </si>
  <si>
    <t>FTRA9X</t>
  </si>
  <si>
    <t>Torbay and South Devon NHS Foundation Trust</t>
  </si>
  <si>
    <t>CPIDFTRAEX Bradford Teaching Hospitals NHSFT</t>
  </si>
  <si>
    <t>CPIDFTRAEX</t>
  </si>
  <si>
    <t>FTRAEX</t>
  </si>
  <si>
    <t>Bradford Teaching Hospitals NHSFT</t>
  </si>
  <si>
    <t xml:space="preserve">CPIDFTRAJX Mid and South Essex Hospitals NHS Foundation Trust </t>
  </si>
  <si>
    <t>CPIDFTRAJX</t>
  </si>
  <si>
    <t>FTRAJX</t>
  </si>
  <si>
    <t xml:space="preserve">Mid and South Essex Hospitals NHS Foundation Trust </t>
  </si>
  <si>
    <t>CPIDFTRALX Royal Free London NHSFT</t>
  </si>
  <si>
    <t>CPIDFTRALX</t>
  </si>
  <si>
    <t>FTRALX</t>
  </si>
  <si>
    <t>Royal Free London NHSFT</t>
  </si>
  <si>
    <t>CPIDFTRASX The Hillingdon Hospitals NHS Foundation Trust</t>
  </si>
  <si>
    <t>CPIDFTRASX</t>
  </si>
  <si>
    <t>FTRASX</t>
  </si>
  <si>
    <t>The Hillingdon Hospitals NHS Foundation Trust</t>
  </si>
  <si>
    <t>CPIDFTRATX North East London NHS Foundation Trust</t>
  </si>
  <si>
    <t>CPIDFTRATX</t>
  </si>
  <si>
    <t>FTRATX</t>
  </si>
  <si>
    <t>North East London NHS Foundation Trust</t>
  </si>
  <si>
    <t>CPIDFTRAXX Kingston Hospital NHSFT</t>
  </si>
  <si>
    <t>CPIDFTRAXX</t>
  </si>
  <si>
    <t>FTRAXX</t>
  </si>
  <si>
    <t>Kingston Hospital NHSFT</t>
  </si>
  <si>
    <t>CPIDFTRBDX Dorset County Hospital NHS Foundation Trust</t>
  </si>
  <si>
    <t>CPIDFTRBDX</t>
  </si>
  <si>
    <t>FTRBDX</t>
  </si>
  <si>
    <t>Dorset County Hospital NHS Foundation Trust</t>
  </si>
  <si>
    <t>CPIDFTRBLX Wirral University Teaching Hospital NHS Foundation Trust</t>
  </si>
  <si>
    <t>CPIDFTRBLX</t>
  </si>
  <si>
    <t>FTRBLX</t>
  </si>
  <si>
    <t>Wirral University Teaching Hospital NHS Foundation Trust</t>
  </si>
  <si>
    <t>CPIDFTRBQX Liverpool Heart and Chest NHS Foundation Trust</t>
  </si>
  <si>
    <t>CPIDFTRBQX</t>
  </si>
  <si>
    <t>FTRBQX</t>
  </si>
  <si>
    <t>Liverpool Heart and Chest NHS Foundation Trust</t>
  </si>
  <si>
    <t>CPIDFTRBSX Alder Hey Children's NHS Foundation Trust</t>
  </si>
  <si>
    <t>CPIDFTRBSX</t>
  </si>
  <si>
    <t>FTRBSX</t>
  </si>
  <si>
    <t>Alder Hey Children's NHS Foundation Trust</t>
  </si>
  <si>
    <t>CPIDFTRBTX Mid-Cheshire Hospitals NHS Foundation Trust</t>
  </si>
  <si>
    <t>CPIDFTRBTX</t>
  </si>
  <si>
    <t>FTRBTX</t>
  </si>
  <si>
    <t>Mid-Cheshire Hospitals NHS Foundation Trust</t>
  </si>
  <si>
    <t>CPIDFTRBVX The Christie NHS Foundation Trust</t>
  </si>
  <si>
    <t>CPIDFTRBVX</t>
  </si>
  <si>
    <t>FTRBVX</t>
  </si>
  <si>
    <t>The Christie NHS Foundation Trust</t>
  </si>
  <si>
    <t>CPIDFTRC9X Bedfordshire Hospitals NHS Foundation Trust</t>
  </si>
  <si>
    <t>CPIDFTRC9X</t>
  </si>
  <si>
    <t>FTRC9X</t>
  </si>
  <si>
    <t>Bedfordshire Hospitals NHS Foundation Trust</t>
  </si>
  <si>
    <t>CPIDFTRCBX York Teaching Hospital NHS Foundation Trust</t>
  </si>
  <si>
    <t>CPIDFTRCBX</t>
  </si>
  <si>
    <t>FTRCBX</t>
  </si>
  <si>
    <t>York Teaching Hospital NHS Foundation Trust</t>
  </si>
  <si>
    <t>CPIDFTRCDX Harrogate and District NHS Foundation Trust</t>
  </si>
  <si>
    <t>CPIDFTRCDX</t>
  </si>
  <si>
    <t>FTRCDX</t>
  </si>
  <si>
    <t>Harrogate and District NHS Foundation Trust</t>
  </si>
  <si>
    <t>CPIDFTRCFX Airedale NHS Foundation Trust</t>
  </si>
  <si>
    <t>CPIDFTRCFX</t>
  </si>
  <si>
    <t>FTRCFX</t>
  </si>
  <si>
    <t>Airedale NHS Foundation Trust</t>
  </si>
  <si>
    <t>CPIDFTRCUX Sheffield Childrens NHS Foundation Trust</t>
  </si>
  <si>
    <t>CPIDFTRCUX</t>
  </si>
  <si>
    <t>FTRCUX</t>
  </si>
  <si>
    <t>Sheffield Childrens NHS Foundation Trust</t>
  </si>
  <si>
    <t>CPIDFTRCXX The Queen Elizabeth Hospital, King’s Lynn, NHS Foundation Trust</t>
  </si>
  <si>
    <t>CPIDFTRCXX</t>
  </si>
  <si>
    <t>FTRCXX</t>
  </si>
  <si>
    <t>The Queen Elizabeth Hospital, King’s Lynn, NHS Foundation Trust</t>
  </si>
  <si>
    <t>CPIDFTRD1X Royal United Hospitals Bath NHS FT</t>
  </si>
  <si>
    <t>CPIDFTRD1X</t>
  </si>
  <si>
    <t>FTRD1X</t>
  </si>
  <si>
    <t>Royal United Hospitals Bath NHS FT</t>
  </si>
  <si>
    <t>CPIDFTRD8X Milton Keynes University Hospital NHS FT</t>
  </si>
  <si>
    <t>CPIDFTRD8X</t>
  </si>
  <si>
    <t>FTRD8X</t>
  </si>
  <si>
    <t>Milton Keynes University Hospital NHS FT</t>
  </si>
  <si>
    <t>CPIDFTRDRX Sussex Community NHS Foundation Trust</t>
  </si>
  <si>
    <t>CPIDFTRDRX</t>
  </si>
  <si>
    <t>FTRDRX</t>
  </si>
  <si>
    <t>Sussex Community NHS Foundation Trust</t>
  </si>
  <si>
    <t>CPIDFTRDUX Frimley Health NHS Foundation Trust</t>
  </si>
  <si>
    <t>CPIDFTRDUX</t>
  </si>
  <si>
    <t>FTRDUX</t>
  </si>
  <si>
    <t>Frimley Health NHS Foundation Trust</t>
  </si>
  <si>
    <t>CPIDFTRDYX Dorset Healthcare University NHS Foundation Trust</t>
  </si>
  <si>
    <t>CPIDFTRDYX</t>
  </si>
  <si>
    <t>FTRDYX</t>
  </si>
  <si>
    <t>Dorset Healthcare University NHS Foundation Trust</t>
  </si>
  <si>
    <t>CPIDFTREMX Liverpool University Hospitals NHS Foundation Trust (Formerly Aintree)</t>
  </si>
  <si>
    <t>CPIDFTREMX</t>
  </si>
  <si>
    <t>FTREMX</t>
  </si>
  <si>
    <t>Liverpool University Hospitals NHS Foundation Trust (Formerly Aintree)</t>
  </si>
  <si>
    <t>CPIDFTRENX The Clatterbridge Cancer Centre NHS FT</t>
  </si>
  <si>
    <t>CPIDFTRENX</t>
  </si>
  <si>
    <t>FTRENX</t>
  </si>
  <si>
    <t>The Clatterbridge Cancer Centre NHS FT</t>
  </si>
  <si>
    <t>CPIDFTREPX Liverpool Women's NHS Foundation Trust</t>
  </si>
  <si>
    <t>CPIDFTREPX</t>
  </si>
  <si>
    <t>FTREPX</t>
  </si>
  <si>
    <t>Liverpool Women's NHS Foundation Trust</t>
  </si>
  <si>
    <t>CPIDFTRETX The Walton Centre NHS Foundation Trust</t>
  </si>
  <si>
    <t>CPIDFTRETX</t>
  </si>
  <si>
    <t>FTRETX</t>
  </si>
  <si>
    <t>The Walton Centre NHS Foundation Trust</t>
  </si>
  <si>
    <t>CPIDFTRFFX Barnsley Hospital NHS Foundation Trust</t>
  </si>
  <si>
    <t>CPIDFTRFFX</t>
  </si>
  <si>
    <t>FTRFFX</t>
  </si>
  <si>
    <t>Barnsley Hospital NHS Foundation Trust</t>
  </si>
  <si>
    <t>CPIDFTRFRX The Rotherham NHS Foundation Trust</t>
  </si>
  <si>
    <t>CPIDFTRFRX</t>
  </si>
  <si>
    <t>FTRFRX</t>
  </si>
  <si>
    <t>The Rotherham NHS Foundation Trust</t>
  </si>
  <si>
    <t>CPIDFTRFSX Chesterfield Royal Hospital NHS Foundation Trust</t>
  </si>
  <si>
    <t>CPIDFTRFSX</t>
  </si>
  <si>
    <t>FTRFSX</t>
  </si>
  <si>
    <t>Chesterfield Royal Hospital NHS Foundation Trust</t>
  </si>
  <si>
    <t>CPIDFTRGDX Leeds &amp; York Partnership NHS Foundation Trust</t>
  </si>
  <si>
    <t>CPIDFTRGDX</t>
  </si>
  <si>
    <t>FTRGDX</t>
  </si>
  <si>
    <t>Leeds &amp; York Partnership NHS Foundation Trust</t>
  </si>
  <si>
    <t>CPIDFTRGMX Papworth Hospital NHSFT</t>
  </si>
  <si>
    <t>CPIDFTRGMX</t>
  </si>
  <si>
    <t>FTRGMX</t>
  </si>
  <si>
    <t>Papworth Hospital NHSFT</t>
  </si>
  <si>
    <t>CPIDFTRGNX North West Anglia NHS Foundation Trust</t>
  </si>
  <si>
    <t>CPIDFTRGNX</t>
  </si>
  <si>
    <t>FTRGNX</t>
  </si>
  <si>
    <t>North West Anglia NHS Foundation Trust</t>
  </si>
  <si>
    <t>CPIDFTRGPX James Paget University Hospitals NHS Foundation Trust</t>
  </si>
  <si>
    <t>CPIDFTRGPX</t>
  </si>
  <si>
    <t>FTRGPX</t>
  </si>
  <si>
    <t>James Paget University Hospitals NHS Foundation Trust</t>
  </si>
  <si>
    <t>CPIDFTRGRX West Suffolk NHS Foundation Trust</t>
  </si>
  <si>
    <t>CPIDFTRGRX</t>
  </si>
  <si>
    <t>FTRGRX</t>
  </si>
  <si>
    <t>West Suffolk NHS Foundation Trust</t>
  </si>
  <si>
    <t>CPIDFTRGTX Cambridge University Hospitals NHSFT</t>
  </si>
  <si>
    <t>CPIDFTRGTX</t>
  </si>
  <si>
    <t>FTRGTX</t>
  </si>
  <si>
    <t>Cambridge University Hospitals NHSFT</t>
  </si>
  <si>
    <t>CPIDFTRH5X Somerset NHS Foundation Trust</t>
  </si>
  <si>
    <t>CPIDFTRH5X</t>
  </si>
  <si>
    <t>FTRH5X</t>
  </si>
  <si>
    <t>Somerset NHS Foundation Trust</t>
  </si>
  <si>
    <t>CPIDFTRHAX Nottinghamshire Healthcare NHS FT</t>
  </si>
  <si>
    <t>CPIDFTRHAX</t>
  </si>
  <si>
    <t>FTRHAX</t>
  </si>
  <si>
    <t>Nottinghamshire Healthcare NHS FT</t>
  </si>
  <si>
    <t>CPIDFTRHMX University Hospital Southampton NHS Foundation Trust</t>
  </si>
  <si>
    <t>CPIDFTRHMX</t>
  </si>
  <si>
    <t>FTRHMX</t>
  </si>
  <si>
    <t>University Hospital Southampton NHS Foundation Trust</t>
  </si>
  <si>
    <t>CPIDFTRHQX Sheffield Teaching Hospitals NHSFT</t>
  </si>
  <si>
    <t>CPIDFTRHQX</t>
  </si>
  <si>
    <t>FTRHQX</t>
  </si>
  <si>
    <t>Sheffield Teaching Hospitals NHSFT</t>
  </si>
  <si>
    <t>CPIDFTRHWX Royal Berkshire NHS Foundation Trust</t>
  </si>
  <si>
    <t>CPIDFTRHWX</t>
  </si>
  <si>
    <t>FTRHWX</t>
  </si>
  <si>
    <t>Royal Berkshire NHS Foundation Trust</t>
  </si>
  <si>
    <t>CPIDFTRJ1X Guy's and St. Thomas's NHS Foundation Trust</t>
  </si>
  <si>
    <t>CPIDFTRJ1X</t>
  </si>
  <si>
    <t>FTRJ1X</t>
  </si>
  <si>
    <t>Guy's and St. Thomas's NHS Foundation Trust</t>
  </si>
  <si>
    <t>CPIDFTRJ7X St George's University Hospitals NHS Foundation Trust</t>
  </si>
  <si>
    <t>CPIDFTRJ7X</t>
  </si>
  <si>
    <t>FTRJ7X</t>
  </si>
  <si>
    <t>St George's University Hospitals NHS Foundation Trust</t>
  </si>
  <si>
    <t>CPIDFTRJ8X Cornwall Partnership NHS Foundation Trust</t>
  </si>
  <si>
    <t>CPIDFTRJ8X</t>
  </si>
  <si>
    <t>FTRJ8X</t>
  </si>
  <si>
    <t>Cornwall Partnership NHS Foundation Trust</t>
  </si>
  <si>
    <t>CPIDFTRJLX Northern Lincolnshire and Goole Hospitals NHS Foundation Trust</t>
  </si>
  <si>
    <t>CPIDFTRJLX</t>
  </si>
  <si>
    <t>FTRJLX</t>
  </si>
  <si>
    <t>Northern Lincolnshire and Goole Hospitals NHS Foundation Trust</t>
  </si>
  <si>
    <t>CPIDFTRJRX Countess of Chester Hospital NHSFT</t>
  </si>
  <si>
    <t>CPIDFTRJRX</t>
  </si>
  <si>
    <t>FTRJRX</t>
  </si>
  <si>
    <t>Countess of Chester Hospital NHSFT</t>
  </si>
  <si>
    <t>CPIDFTRJZX King's College Hospital NHS Foundation Trust</t>
  </si>
  <si>
    <t>CPIDFTRJZX</t>
  </si>
  <si>
    <t>FTRJZX</t>
  </si>
  <si>
    <t>King's College Hospital NHS Foundation Trust</t>
  </si>
  <si>
    <t>CPIDFTRK5X Sherwood Forest Hospitals NHS Foundation Trust</t>
  </si>
  <si>
    <t>CPIDFTRK5X</t>
  </si>
  <si>
    <t>FTRK5X</t>
  </si>
  <si>
    <t>Sherwood Forest Hospitals NHS Foundation Trust</t>
  </si>
  <si>
    <t>CPIDFTRL1X The Robert Jones &amp; Agnes Hunt Orthopaedic Hospital NHS Foundation Trust</t>
  </si>
  <si>
    <t>CPIDFTRL1X</t>
  </si>
  <si>
    <t>FTRL1X</t>
  </si>
  <si>
    <t>The Robert Jones &amp; Agnes Hunt Orthopaedic Hospital NHS Foundation Trust</t>
  </si>
  <si>
    <t>CPIDFTRM1X Norfolk and Norwich University Hosptials NHS Foundation Trust</t>
  </si>
  <si>
    <t>CPIDFTRM1X</t>
  </si>
  <si>
    <t>FTRM1X</t>
  </si>
  <si>
    <t>Norfolk and Norwich University Hosptials NHS Foundation Trust</t>
  </si>
  <si>
    <t>CPIDFTRM3X Salford Royal NHS Foundation Trust</t>
  </si>
  <si>
    <t>CPIDFTRM3X</t>
  </si>
  <si>
    <t>FTRM3X</t>
  </si>
  <si>
    <t>Salford Royal NHS Foundation Trust</t>
  </si>
  <si>
    <t>CPIDFTRMCX Bolton NHS Foundation Trust</t>
  </si>
  <si>
    <t>CPIDFTRMCX</t>
  </si>
  <si>
    <t>FTRMCX</t>
  </si>
  <si>
    <t>Bolton NHS Foundation Trust</t>
  </si>
  <si>
    <t>CPIDFTRMYX Norfolk &amp; Suffolk NHS Foundation Trust</t>
  </si>
  <si>
    <t>CPIDFTRMYX</t>
  </si>
  <si>
    <t>FTRMYX</t>
  </si>
  <si>
    <t>Norfolk &amp; Suffolk NHS Foundation Trust</t>
  </si>
  <si>
    <t>CPIDFTRN3X Great Western Hospitals NHS Foundation Trust</t>
  </si>
  <si>
    <t>CPIDFTRN3X</t>
  </si>
  <si>
    <t>FTRN3X</t>
  </si>
  <si>
    <t>Great Western Hospitals NHS Foundation Trust</t>
  </si>
  <si>
    <t>CPIDFTRN5X Hampshire Hospitals NHS Foundation Trust</t>
  </si>
  <si>
    <t>CPIDFTRN5X</t>
  </si>
  <si>
    <t>FTRN5X</t>
  </si>
  <si>
    <t>Hampshire Hospitals NHS Foundation Trust</t>
  </si>
  <si>
    <t>CPIDFTRNAX The Dudley Group NHS Foundation Trust</t>
  </si>
  <si>
    <t>CPIDFTRNAX</t>
  </si>
  <si>
    <t>FTRNAX</t>
  </si>
  <si>
    <t>The Dudley Group NHS Foundation Trust</t>
  </si>
  <si>
    <t>CPIDFTRNKX Tavistock and Portman NHS Foundation Trust</t>
  </si>
  <si>
    <t>CPIDFTRNKX</t>
  </si>
  <si>
    <t>FTRNKX</t>
  </si>
  <si>
    <t>Tavistock and Portman NHS Foundation Trust</t>
  </si>
  <si>
    <t>CPIDFTRNQX Kettering General Hospital NHS Foundation Trust</t>
  </si>
  <si>
    <t>CPIDFTRNQX</t>
  </si>
  <si>
    <t>FTRNQX</t>
  </si>
  <si>
    <t>Kettering General Hospital NHS Foundation Trust</t>
  </si>
  <si>
    <t>CPIDFTRNUX Oxford Health NHS Foundation Trust</t>
  </si>
  <si>
    <t>CPIDFTRNUX</t>
  </si>
  <si>
    <t>FTRNUX</t>
  </si>
  <si>
    <t>Oxford Health NHS Foundation Trust</t>
  </si>
  <si>
    <t>CPIDFTRNZX Salisbury NHS Foundation Trust</t>
  </si>
  <si>
    <t>CPIDFTRNZX</t>
  </si>
  <si>
    <t>FTRNZX</t>
  </si>
  <si>
    <t>Salisbury NHS Foundation Trust</t>
  </si>
  <si>
    <t>CPIDFTRP1X Northamptonshire Healthcare NHS Foundation Trust</t>
  </si>
  <si>
    <t>CPIDFTRP1X</t>
  </si>
  <si>
    <t>FTRP1X</t>
  </si>
  <si>
    <t>Northamptonshire Healthcare NHS Foundation Trust</t>
  </si>
  <si>
    <t>CPIDFTRP4X Great Ormond Street Hospital for Children NHS Foundation Trust</t>
  </si>
  <si>
    <t>CPIDFTRP4X</t>
  </si>
  <si>
    <t>FTRP4X</t>
  </si>
  <si>
    <t>Great Ormond Street Hospital for Children NHS Foundation Trust</t>
  </si>
  <si>
    <t>CPIDFTRP5X Doncaster &amp; Bassetlaw Teaching Hospitals NHS FT</t>
  </si>
  <si>
    <t>CPIDFTRP5X</t>
  </si>
  <si>
    <t>FTRP5X</t>
  </si>
  <si>
    <t>Doncaster &amp; Bassetlaw Teaching Hospitals NHS FT</t>
  </si>
  <si>
    <t>CPIDFTRP6X Moorfields Eye Hospital NHSFT</t>
  </si>
  <si>
    <t>CPIDFTRP6X</t>
  </si>
  <si>
    <t>FTRP6X</t>
  </si>
  <si>
    <t>Moorfields Eye Hospital NHSFT</t>
  </si>
  <si>
    <t>CPIDFTRP7X Lincolnshire Partnership NHS Foundation Trust</t>
  </si>
  <si>
    <t>CPIDFTRP7X</t>
  </si>
  <si>
    <t>FTRP7X</t>
  </si>
  <si>
    <t>Lincolnshire Partnership NHS Foundation Trust</t>
  </si>
  <si>
    <t>CPIDFTRPAX Medway NHS Foundation Trust</t>
  </si>
  <si>
    <t>CPIDFTRPAX</t>
  </si>
  <si>
    <t>FTRPAX</t>
  </si>
  <si>
    <t>Medway NHS Foundation Trust</t>
  </si>
  <si>
    <t>CPIDFTRPCX Queen Victoria Hospital NHS Foundation Trust</t>
  </si>
  <si>
    <t>CPIDFTRPCX</t>
  </si>
  <si>
    <t>FTRPCX</t>
  </si>
  <si>
    <t>Queen Victoria Hospital NHS Foundation Trust</t>
  </si>
  <si>
    <t>CPIDFTRPGX Oxleas NHS Foundation Trust</t>
  </si>
  <si>
    <t>CPIDFTRPGX</t>
  </si>
  <si>
    <t>FTRPGX</t>
  </si>
  <si>
    <t>Oxleas NHS Foundation Trust</t>
  </si>
  <si>
    <t>CPIDFTRPYX The Royal Marsden NHSFT</t>
  </si>
  <si>
    <t>CPIDFTRPYX</t>
  </si>
  <si>
    <t>FTRPYX</t>
  </si>
  <si>
    <t>The Royal Marsden NHSFT</t>
  </si>
  <si>
    <t>CPIDFTRQ3X Birmingham Women's and Children's NHS FT</t>
  </si>
  <si>
    <t>CPIDFTRQ3X</t>
  </si>
  <si>
    <t>FTRQ3X</t>
  </si>
  <si>
    <t>Birmingham Women's and Children's NHS FT</t>
  </si>
  <si>
    <t>CPIDFTRQXX Homerton University Hospital NHS Foundation Trust</t>
  </si>
  <si>
    <t>CPIDFTRQXX</t>
  </si>
  <si>
    <t>FTRQXX</t>
  </si>
  <si>
    <t>Homerton University Hospital NHS Foundation Trust</t>
  </si>
  <si>
    <t>CPIDFTRR7X Gateshead Health NHS Foundation Trust</t>
  </si>
  <si>
    <t>CPIDFTRR7X</t>
  </si>
  <si>
    <t>FTRR7X</t>
  </si>
  <si>
    <t>Gateshead Health NHS Foundation Trust</t>
  </si>
  <si>
    <t>CPIDFTRRFX Wrightington, Wigan and Leigh NHS Foundation Trust</t>
  </si>
  <si>
    <t>CPIDFTRRFX</t>
  </si>
  <si>
    <t>FTRRFX</t>
  </si>
  <si>
    <t>Wrightington, Wigan and Leigh NHS Foundation Trust</t>
  </si>
  <si>
    <t>CPIDFTRRJX The Royal Orthopaedic Hospital NHS Foundation Trust</t>
  </si>
  <si>
    <t>CPIDFTRRJX</t>
  </si>
  <si>
    <t>FTRRJX</t>
  </si>
  <si>
    <t>The Royal Orthopaedic Hospital NHS Foundation Trust</t>
  </si>
  <si>
    <t>CPIDFTRRKX University Hospital Birmingham NHSFT</t>
  </si>
  <si>
    <t>CPIDFTRRKX</t>
  </si>
  <si>
    <t>FTRRKX</t>
  </si>
  <si>
    <t>University Hospital Birmingham NHSFT</t>
  </si>
  <si>
    <t>CPIDFTRRVX University College London Hospitals NHS Foundation Trust</t>
  </si>
  <si>
    <t>CPIDFTRRVX</t>
  </si>
  <si>
    <t>FTRRVX</t>
  </si>
  <si>
    <t>University College London Hospitals NHS Foundation Trust</t>
  </si>
  <si>
    <t>CPIDFTRT1X Cambridgeshire and Peterborough NHS Foundation Trust</t>
  </si>
  <si>
    <t>CPIDFTRT1X</t>
  </si>
  <si>
    <t>FTRT1X</t>
  </si>
  <si>
    <t>Cambridgeshire and Peterborough NHS Foundation Trust</t>
  </si>
  <si>
    <t>CPIDFTRT2X Pennine Care NHS Foundation Trust</t>
  </si>
  <si>
    <t>CPIDFTRT2X</t>
  </si>
  <si>
    <t>FTRT2X</t>
  </si>
  <si>
    <t>Pennine Care NHS Foundation Trust</t>
  </si>
  <si>
    <t>CPIDFTRTDX The Newcastle Upon Tyne Hospitals NHS Foundation Trust</t>
  </si>
  <si>
    <t>CPIDFTRTDX</t>
  </si>
  <si>
    <t>FTRTDX</t>
  </si>
  <si>
    <t>The Newcastle Upon Tyne Hospitals NHS Foundation Trust</t>
  </si>
  <si>
    <t>CPIDFTRTEX Gloucestershire Hospitals NHS Foundation Trust</t>
  </si>
  <si>
    <t>CPIDFTRTEX</t>
  </si>
  <si>
    <t>FTRTEX</t>
  </si>
  <si>
    <t>Gloucestershire Hospitals NHS Foundation Trust</t>
  </si>
  <si>
    <t>CPIDFTRTFX Northumbria Healthcare NHS Foundation Trust</t>
  </si>
  <si>
    <t>CPIDFTRTFX</t>
  </si>
  <si>
    <t>FTRTFX</t>
  </si>
  <si>
    <t>Northumbria Healthcare NHS Foundation Trust</t>
  </si>
  <si>
    <t>CPIDFTRTHX Oxford University Hospitals NHS Foundation Trust</t>
  </si>
  <si>
    <t>CPIDFTRTHX</t>
  </si>
  <si>
    <t>FTRTHX</t>
  </si>
  <si>
    <t>Oxford University Hospitals NHS Foundation Trust</t>
  </si>
  <si>
    <t>CPIDFTRTKX Ashford and St Peter's Hospitals NHS Foundation Trust</t>
  </si>
  <si>
    <t>CPIDFTRTKX</t>
  </si>
  <si>
    <t>FTRTKX</t>
  </si>
  <si>
    <t>Ashford and St Peter's Hospitals NHS Foundation Trust</t>
  </si>
  <si>
    <t>CPIDFTRTQX Gloucestershire Health and Care NHS Foundation Trust</t>
  </si>
  <si>
    <t>CPIDFTRTQX</t>
  </si>
  <si>
    <t>FTRTQX</t>
  </si>
  <si>
    <t>Gloucestershire Health and Care NHS Foundation Trust</t>
  </si>
  <si>
    <t>CPIDFTRTRX South Tees NHS Foundation Trust</t>
  </si>
  <si>
    <t>CPIDFTRTRX</t>
  </si>
  <si>
    <t>FTRTRX</t>
  </si>
  <si>
    <t>South Tees NHS Foundation Trust</t>
  </si>
  <si>
    <t>CPIDFTRTXX University Hospitals of Morecambe Bay NHS Foundation Trust</t>
  </si>
  <si>
    <t>CPIDFTRTXX</t>
  </si>
  <si>
    <t>FTRTXX</t>
  </si>
  <si>
    <t>University Hospitals of Morecambe Bay NHS Foundation Trust</t>
  </si>
  <si>
    <t>CPIDFTRV3X Central and North West London NHS Foundation Trust</t>
  </si>
  <si>
    <t>CPIDFTRV3X</t>
  </si>
  <si>
    <t>FTRV3X</t>
  </si>
  <si>
    <t>Central and North West London NHS Foundation Trust</t>
  </si>
  <si>
    <t>CPIDFTRV5X South London and Maudsley NHS Foundation Trust</t>
  </si>
  <si>
    <t>CPIDFTRV5X</t>
  </si>
  <si>
    <t>FTRV5X</t>
  </si>
  <si>
    <t>South London and Maudsley NHS Foundation Trust</t>
  </si>
  <si>
    <t>CPIDFTRVVX East Kent Hospitals University NHS Foundation Trust</t>
  </si>
  <si>
    <t>CPIDFTRVVX</t>
  </si>
  <si>
    <t>FTRVVX</t>
  </si>
  <si>
    <t>East Kent Hospitals University NHS Foundation Trust</t>
  </si>
  <si>
    <t>CPIDFTRVWX North Tees &amp; Hartlepool NHS Foundation Trust</t>
  </si>
  <si>
    <t>CPIDFTRVWX</t>
  </si>
  <si>
    <t>FTRVWX</t>
  </si>
  <si>
    <t>North Tees &amp; Hartlepool NHS Foundation Trust</t>
  </si>
  <si>
    <t>CPIDFTRW1X Southern Health NHS Foundation Trust</t>
  </si>
  <si>
    <t>CPIDFTRW1X</t>
  </si>
  <si>
    <t>FTRW1X</t>
  </si>
  <si>
    <t>Southern Health NHS Foundation Trust</t>
  </si>
  <si>
    <t>CPIDFTRW4X Mersey Care NHS Foundation Trust</t>
  </si>
  <si>
    <t>CPIDFTRW4X</t>
  </si>
  <si>
    <t>FTRW4X</t>
  </si>
  <si>
    <t>Mersey Care NHS Foundation Trust</t>
  </si>
  <si>
    <t>CPIDFTRW5X Lancashire and South Cumbria NHS Foundation Trust</t>
  </si>
  <si>
    <t>CPIDFTRW5X</t>
  </si>
  <si>
    <t>FTRW5X</t>
  </si>
  <si>
    <t>Lancashire and South Cumbria NHS Foundation Trust</t>
  </si>
  <si>
    <t>CPIDFTRWJX Stockport NHSFT</t>
  </si>
  <si>
    <t>CPIDFTRWJX</t>
  </si>
  <si>
    <t>FTRWJX</t>
  </si>
  <si>
    <t>Stockport NHSFT</t>
  </si>
  <si>
    <t>CPIDFTRWKX East London NHS Foundation Trust</t>
  </si>
  <si>
    <t>CPIDFTRWKX</t>
  </si>
  <si>
    <t>FTRWKX</t>
  </si>
  <si>
    <t>East London NHS Foundation Trust</t>
  </si>
  <si>
    <t>CPIDFTRWRX Hertfordshire Partnership NHS Foundation Trust</t>
  </si>
  <si>
    <t>CPIDFTRWRX</t>
  </si>
  <si>
    <t>FTRWRX</t>
  </si>
  <si>
    <t>Hertfordshire Partnership NHS Foundation Trust</t>
  </si>
  <si>
    <t>CPIDFTRWWX Warrington and Halton Hospitals NHS Foundation Trust</t>
  </si>
  <si>
    <t>CPIDFTRWWX</t>
  </si>
  <si>
    <t>FTRWWX</t>
  </si>
  <si>
    <t>Warrington and Halton Hospitals NHS Foundation Trust</t>
  </si>
  <si>
    <t>CPIDFTRWXX Berkshire Healthcare NHS Foundation Trust</t>
  </si>
  <si>
    <t>CPIDFTRWXX</t>
  </si>
  <si>
    <t>FTRWXX</t>
  </si>
  <si>
    <t>Berkshire Healthcare NHS Foundation Trust</t>
  </si>
  <si>
    <t>CPIDFTRWYX Calderdale and Huddersfield NHS Foundation Trust</t>
  </si>
  <si>
    <t>CPIDFTRWYX</t>
  </si>
  <si>
    <t>FTRWYX</t>
  </si>
  <si>
    <t>Calderdale and Huddersfield NHS Foundation Trust</t>
  </si>
  <si>
    <t>CPIDFTRX2X Sussex Partnership NHS Foundation Trust</t>
  </si>
  <si>
    <t>CPIDFTRX2X</t>
  </si>
  <si>
    <t>FTRX2X</t>
  </si>
  <si>
    <t>Sussex Partnership NHS Foundation Trust</t>
  </si>
  <si>
    <t>CPIDFTRX3X Tees Esk and Wear Valleys NHS Foundation Trust</t>
  </si>
  <si>
    <t>CPIDFTRX3X</t>
  </si>
  <si>
    <t>FTRX3X</t>
  </si>
  <si>
    <t>Tees Esk and Wear Valleys NHS Foundation Trust</t>
  </si>
  <si>
    <t>CPIDFTRX6X North East Ambulance Service NHSFT</t>
  </si>
  <si>
    <t>CPIDFTRX6X</t>
  </si>
  <si>
    <t>FTRX6X</t>
  </si>
  <si>
    <t>North East Ambulance Service NHSFT</t>
  </si>
  <si>
    <t>CPIDFTRXAX Cheshire and Wirral Partnership NHS Foundation Trust</t>
  </si>
  <si>
    <t>CPIDFTRXAX</t>
  </si>
  <si>
    <t>FTRXAX</t>
  </si>
  <si>
    <t>Cheshire and Wirral Partnership NHS Foundation Trust</t>
  </si>
  <si>
    <t>CPIDFTRXEX Rotherham Doncaster &amp; South Humber NHSFT</t>
  </si>
  <si>
    <t>CPIDFTRXEX</t>
  </si>
  <si>
    <t>FTRXEX</t>
  </si>
  <si>
    <t>Rotherham Doncaster &amp; South Humber NHSFT</t>
  </si>
  <si>
    <t>CPIDFTRXGX South West Yorkshire Partnership NHS foundation trust</t>
  </si>
  <si>
    <t>CPIDFTRXGX</t>
  </si>
  <si>
    <t>FTRXGX</t>
  </si>
  <si>
    <t>South West Yorkshire Partnership NHS foundation trust</t>
  </si>
  <si>
    <t>CPIDFTRXLX Blackpool Teaching Hospitals NHS Foundation Trust</t>
  </si>
  <si>
    <t>CPIDFTRXLX</t>
  </si>
  <si>
    <t>FTRXLX</t>
  </si>
  <si>
    <t>Blackpool Teaching Hospitals NHS Foundation Trust</t>
  </si>
  <si>
    <t>CPIDFTRXMX Derbyshire Healthcare NHS Foundation Trust</t>
  </si>
  <si>
    <t>CPIDFTRXMX</t>
  </si>
  <si>
    <t>FTRXMX</t>
  </si>
  <si>
    <t>Derbyshire Healthcare NHS Foundation Trust</t>
  </si>
  <si>
    <t>CPIDFTRXNX Lancashire Teaching Hospitals NHS Foundation Trust</t>
  </si>
  <si>
    <t>CPIDFTRXNX</t>
  </si>
  <si>
    <t>FTRXNX</t>
  </si>
  <si>
    <t>Lancashire Teaching Hospitals NHS Foundation Trust</t>
  </si>
  <si>
    <t>CPIDFTRXPX County Durham and Darlington NHS Foundation Trust</t>
  </si>
  <si>
    <t>CPIDFTRXPX</t>
  </si>
  <si>
    <t>FTRXPX</t>
  </si>
  <si>
    <t>County Durham and Darlington NHS Foundation Trust</t>
  </si>
  <si>
    <t>CPIDFTRXTX Birmingham and Solihull Mental Health NHS Foundation Trust</t>
  </si>
  <si>
    <t>CPIDFTRXTX</t>
  </si>
  <si>
    <t>FTRXTX</t>
  </si>
  <si>
    <t>Birmingham and Solihull Mental Health NHS Foundation Trust</t>
  </si>
  <si>
    <t>CPIDFTRXVX Greater Manchester Mental Health NHS FT</t>
  </si>
  <si>
    <t>CPIDFTRXVX</t>
  </si>
  <si>
    <t>FTRXVX</t>
  </si>
  <si>
    <t>Greater Manchester Mental Health NHS FT</t>
  </si>
  <si>
    <t>CPIDFTRXXX Surrey and Borders Partnership NHS Foundation Trust</t>
  </si>
  <si>
    <t>CPIDFTRXXX</t>
  </si>
  <si>
    <t>FTRXXX</t>
  </si>
  <si>
    <t>Surrey and Borders Partnership NHS Foundation Trust</t>
  </si>
  <si>
    <t>CPIDFTRY2X Bridgewater Community Healthcare NHS FT</t>
  </si>
  <si>
    <t>CPIDFTRY2X</t>
  </si>
  <si>
    <t>FTRY2X</t>
  </si>
  <si>
    <t>Bridgewater Community Healthcare NHS FT</t>
  </si>
  <si>
    <t>CPIDFTRY7X Wirral Community NHS Foundation Trust</t>
  </si>
  <si>
    <t>CPIDFTRY7X</t>
  </si>
  <si>
    <t>FTRY7X</t>
  </si>
  <si>
    <t>Wirral Community NHS Foundation Trust</t>
  </si>
  <si>
    <t>CPIDFTRY8X Derbyshire Community Health Services NHS FT</t>
  </si>
  <si>
    <t>CPIDFTRY8X</t>
  </si>
  <si>
    <t>FTRY8X</t>
  </si>
  <si>
    <t>Derbyshire Community Health Services NHS FT</t>
  </si>
  <si>
    <t xml:space="preserve">CPIDFTRYAX West Midlands Ambulance Service University NHS Foundation Trust
</t>
  </si>
  <si>
    <t>CPIDFTRYAX</t>
  </si>
  <si>
    <t>FTRYAX</t>
  </si>
  <si>
    <t xml:space="preserve">West Midlands Ambulance Service University NHS Foundation Trust
</t>
  </si>
  <si>
    <t>CPIDFTRYDX South East Coast Ambulance Service NHSFT</t>
  </si>
  <si>
    <t>CPIDFTRYDX</t>
  </si>
  <si>
    <t>FTRYDX</t>
  </si>
  <si>
    <t>South East Coast Ambulance Service NHSFT</t>
  </si>
  <si>
    <t>CPIDFTRYEX South Central Ambulance Service NHS Foundation Trust</t>
  </si>
  <si>
    <t>CPIDFTRYEX</t>
  </si>
  <si>
    <t>FTRYEX</t>
  </si>
  <si>
    <t>South Central Ambulance Service NHS Foundation Trust</t>
  </si>
  <si>
    <t>CPIDFTRYFX South Western Ambulance Service NHSFT</t>
  </si>
  <si>
    <t>CPIDFTRYFX</t>
  </si>
  <si>
    <t>FTRYFX</t>
  </si>
  <si>
    <t>South Western Ambulance Service NHSFT</t>
  </si>
  <si>
    <t>CPIDFTRYWX Birmingham Community Healthcare NHS Foundation Trust</t>
  </si>
  <si>
    <t>CPIDFTRYWX</t>
  </si>
  <si>
    <t>FTRYWX</t>
  </si>
  <si>
    <t>Birmingham Community Healthcare NHS Foundation Trust</t>
  </si>
  <si>
    <t>CPIDFTRYYX Kent Community Health NHS FT</t>
  </si>
  <si>
    <t>CPIDFTRYYX</t>
  </si>
  <si>
    <t>FTRYYX</t>
  </si>
  <si>
    <t>Kent Community Health NHS FT</t>
  </si>
  <si>
    <t>CPIDFTTADX Bradford District Care NHS Foundation Trust</t>
  </si>
  <si>
    <t>CPIDFTTADX</t>
  </si>
  <si>
    <t>FTTADX</t>
  </si>
  <si>
    <t>Bradford District Care NHS Foundation Trust</t>
  </si>
  <si>
    <t>CPIDFTTAFX Camden and Islington NHS Foundation Trust</t>
  </si>
  <si>
    <t>CPIDFTTAFX</t>
  </si>
  <si>
    <t>FTTAFX</t>
  </si>
  <si>
    <t>Camden and Islington NHS Foundation Trust</t>
  </si>
  <si>
    <t>CPIDFTTAHX Sheffield Health and Social Care NHS Foundation Trust</t>
  </si>
  <si>
    <t>CPIDFTTAHX</t>
  </si>
  <si>
    <t>FTTAHX</t>
  </si>
  <si>
    <t>Sheffield Health and Social Care NHS Foundation Trust</t>
  </si>
  <si>
    <t>CPIDFTR0BX South Tyneside and Sunderland NHS Foundation Trust</t>
  </si>
  <si>
    <t>CPIDFTR0BX</t>
  </si>
  <si>
    <t>FTR0BX</t>
  </si>
  <si>
    <t>South Tyneside and Sunderland NHS Foundation Trust</t>
  </si>
  <si>
    <t>CPIDFTR1LX ESSEX PARTNERSHIP UNIVERSITY NHS FOUNDATION TRUST</t>
  </si>
  <si>
    <t>CPIDFTR1LX</t>
  </si>
  <si>
    <t>FTR1LX</t>
  </si>
  <si>
    <t>ESSEX PARTNERSHIP UNIVERSITY NHS FOUNDATION TRUST</t>
  </si>
  <si>
    <t>CPIDNFTRBK Walsall Healthcare NFT</t>
  </si>
  <si>
    <t>CPIDNFTRBK</t>
  </si>
  <si>
    <t>NFTRBK</t>
  </si>
  <si>
    <t>Walsall Healthcare NFT</t>
  </si>
  <si>
    <t>NHS Trusts</t>
  </si>
  <si>
    <t>CPIDNFTRF4 Barking, Havering and Redbridge University Hospitals NFT</t>
  </si>
  <si>
    <t>CPIDNFTRF4</t>
  </si>
  <si>
    <t>NFTRF4</t>
  </si>
  <si>
    <t>Barking, Havering and Redbridge University Hospitals NFT</t>
  </si>
  <si>
    <t>CPIDNFTR1A Herefordshire and Worcestshire Health and Care NHS Trust</t>
  </si>
  <si>
    <t>CPIDNFTR1A</t>
  </si>
  <si>
    <t>NFTR1A</t>
  </si>
  <si>
    <t>Herefordshire and Worcestshire Health and Care NHS Trust</t>
  </si>
  <si>
    <t>CPIDNFTR1C The Solent NHS Trust</t>
  </si>
  <si>
    <t>CPIDNFTR1C</t>
  </si>
  <si>
    <t>NFTR1C</t>
  </si>
  <si>
    <t>The Solent NHS Trust</t>
  </si>
  <si>
    <t>CPIDNFTR1D Shropshire Community NHS Trust</t>
  </si>
  <si>
    <t>CPIDNFTR1D</t>
  </si>
  <si>
    <t>NFTR1D</t>
  </si>
  <si>
    <t>Shropshire Community NHS Trust</t>
  </si>
  <si>
    <t>CPIDNFTR1F Isle of Wight NHS Trust</t>
  </si>
  <si>
    <t>CPIDNFTR1F</t>
  </si>
  <si>
    <t>NFTR1F</t>
  </si>
  <si>
    <t>Isle of Wight NHS Trust</t>
  </si>
  <si>
    <t>CPIDNFTR1H Barts Health NHS Trust</t>
  </si>
  <si>
    <t>CPIDNFTR1H</t>
  </si>
  <si>
    <t>NFTR1H</t>
  </si>
  <si>
    <t>Barts Health NHS Trust</t>
  </si>
  <si>
    <t>CPIDNFTR1K London North West Healthcare NHS Trust</t>
  </si>
  <si>
    <t>CPIDNFTR1K</t>
  </si>
  <si>
    <t>NFTR1K</t>
  </si>
  <si>
    <t>London North West Healthcare NHS Trust</t>
  </si>
  <si>
    <t>CPIDNFTRAN Royal National Orthopaedic Hospital NFT</t>
  </si>
  <si>
    <t>CPIDNFTRAN</t>
  </si>
  <si>
    <t>NFTRAN</t>
  </si>
  <si>
    <t>Royal National Orthopaedic Hospital NFT</t>
  </si>
  <si>
    <t>CPIDNFTRAP North Middlesex University Hospital NFT</t>
  </si>
  <si>
    <t>CPIDNFTRAP</t>
  </si>
  <si>
    <t>NFTRAP</t>
  </si>
  <si>
    <t>North Middlesex University Hospital NFT</t>
  </si>
  <si>
    <t>CPIDNFTRBN St Helens and Knowsley Hospitals NFT</t>
  </si>
  <si>
    <t>CPIDNFTRBN</t>
  </si>
  <si>
    <t>NFTRBN</t>
  </si>
  <si>
    <t>St Helens and Knowsley Hospitals NFT</t>
  </si>
  <si>
    <t>CPIDNFTREF Royal Cornwall Hospitals NFT</t>
  </si>
  <si>
    <t>CPIDNFTREF</t>
  </si>
  <si>
    <t>NFTREF</t>
  </si>
  <si>
    <t>Royal Cornwall Hospitals NFT</t>
  </si>
  <si>
    <t>CPIDNFTRHU Portsmouth Hospitals University NHS Trust</t>
  </si>
  <si>
    <t>CPIDNFTRHU</t>
  </si>
  <si>
    <t>NFTRHU</t>
  </si>
  <si>
    <t>Portsmouth Hospitals University NHS Trust</t>
  </si>
  <si>
    <t>CPIDNFTRJ2 Lewisham &amp; Greenwich NHS Trust</t>
  </si>
  <si>
    <t>CPIDNFTRJ2</t>
  </si>
  <si>
    <t>NFTRJ2</t>
  </si>
  <si>
    <t>Lewisham &amp; Greenwich NHS Trust</t>
  </si>
  <si>
    <t>CPIDNFTRJ6 Croydon Health Services NFT</t>
  </si>
  <si>
    <t>CPIDNFTRJ6</t>
  </si>
  <si>
    <t>NFTRJ6</t>
  </si>
  <si>
    <t>Croydon Health Services NFT</t>
  </si>
  <si>
    <t>CPIDNFTRJE University Hospital of North Midlands NFT (Formerly Staffordshire NFT)</t>
  </si>
  <si>
    <t>CPIDNFTRJE</t>
  </si>
  <si>
    <t>NFTRJE</t>
  </si>
  <si>
    <t>University Hospital of North Midlands NFT (Formerly Staffordshire NFT)</t>
  </si>
  <si>
    <t>CPIDNFTRJN East Cheshire NFT</t>
  </si>
  <si>
    <t>CPIDNFTRJN</t>
  </si>
  <si>
    <t>NFTRJN</t>
  </si>
  <si>
    <t>East Cheshire NFT</t>
  </si>
  <si>
    <t>CPIDNFTRK9 Plymouth Hospitals NFT</t>
  </si>
  <si>
    <t>CPIDNFTRK9</t>
  </si>
  <si>
    <t>NFTRK9</t>
  </si>
  <si>
    <t>Plymouth Hospitals NFT</t>
  </si>
  <si>
    <t>CPIDNFTRKB University Hospitals Coventry and Warwic NFT</t>
  </si>
  <si>
    <t>CPIDNFTRKB</t>
  </si>
  <si>
    <t>NFTRKB</t>
  </si>
  <si>
    <t>University Hospitals Coventry and Warwic NFT</t>
  </si>
  <si>
    <t>CPIDNFTRKE Whittington Health NFT</t>
  </si>
  <si>
    <t>CPIDNFTRKE</t>
  </si>
  <si>
    <t>NFTRKE</t>
  </si>
  <si>
    <t>Whittington Health NFT</t>
  </si>
  <si>
    <t>CPIDNFTRKL West London Mental Health NFT</t>
  </si>
  <si>
    <t>CPIDNFTRKL</t>
  </si>
  <si>
    <t>NFTRKL</t>
  </si>
  <si>
    <t>West London Mental Health NFT</t>
  </si>
  <si>
    <t>CPIDNFTRL4 Royal Wolverhampton Hospitals NFT</t>
  </si>
  <si>
    <t>CPIDNFTRL4</t>
  </si>
  <si>
    <t>NFTRL4</t>
  </si>
  <si>
    <t>Royal Wolverhampton Hospitals NFT</t>
  </si>
  <si>
    <t>CPIDNFTRLQ Wye Valley NHS Trust</t>
  </si>
  <si>
    <t>CPIDNFTRLQ</t>
  </si>
  <si>
    <t>NFTRLQ</t>
  </si>
  <si>
    <t>Wye Valley NHS Trust</t>
  </si>
  <si>
    <t>CPIDNFTRLT George Eliot Hospital NFT</t>
  </si>
  <si>
    <t>CPIDNFTRLT</t>
  </si>
  <si>
    <t>NFTRLT</t>
  </si>
  <si>
    <t>George Eliot Hospital NFT</t>
  </si>
  <si>
    <t>CPIDNFTRLY North Staffordshire Combined Healthcare NFT</t>
  </si>
  <si>
    <t>CPIDNFTRLY</t>
  </si>
  <si>
    <t>NFTRLY</t>
  </si>
  <si>
    <t>North Staffordshire Combined Healthcare NFT</t>
  </si>
  <si>
    <t>CPIDNFTRN7 Dartford and Gravesham NFT</t>
  </si>
  <si>
    <t>CPIDNFTRN7</t>
  </si>
  <si>
    <t>NFTRN7</t>
  </si>
  <si>
    <t>Dartford and Gravesham NFT</t>
  </si>
  <si>
    <t>CPIDNFTRNS Northampton General Hospital NFT</t>
  </si>
  <si>
    <t>CPIDNFTRNS</t>
  </si>
  <si>
    <t>NFTRNS</t>
  </si>
  <si>
    <t>Northampton General Hospital NFT</t>
  </si>
  <si>
    <t>CPIDNFTRQW Princess Alexandra Hospital NFT</t>
  </si>
  <si>
    <t>CPIDNFTRQW</t>
  </si>
  <si>
    <t>NFTRQW</t>
  </si>
  <si>
    <t>Princess Alexandra Hospital NFT</t>
  </si>
  <si>
    <t>CPIDNFTRQY South West London and St George's Mental NFT</t>
  </si>
  <si>
    <t>CPIDNFTRQY</t>
  </si>
  <si>
    <t>NFTRQY</t>
  </si>
  <si>
    <t>South West London and St George's Mental NFT</t>
  </si>
  <si>
    <t>CPIDNFTRR8 Leeds Teaching Hospitals NFT</t>
  </si>
  <si>
    <t>CPIDNFTRR8</t>
  </si>
  <si>
    <t>NFTRR8</t>
  </si>
  <si>
    <t>Leeds Teaching Hospitals NFT</t>
  </si>
  <si>
    <t>CPIDNFTRRP Barnet, Enfield and Haringey Mental Heal NFT</t>
  </si>
  <si>
    <t>CPIDNFTRRP</t>
  </si>
  <si>
    <t>NFTRRP</t>
  </si>
  <si>
    <t>Barnet, Enfield and Haringey Mental Heal NFT</t>
  </si>
  <si>
    <t>CPIDNFTRRU London Ambulance Service NFT</t>
  </si>
  <si>
    <t>CPIDNFTRRU</t>
  </si>
  <si>
    <t>NFTRRU</t>
  </si>
  <si>
    <t>London Ambulance Service NFT</t>
  </si>
  <si>
    <t>CPIDNFTRT5 Leicestershire Partnership NFT</t>
  </si>
  <si>
    <t>CPIDNFTRT5</t>
  </si>
  <si>
    <t>NFTRT5</t>
  </si>
  <si>
    <t>Leicestershire Partnership NFT</t>
  </si>
  <si>
    <t>CPIDNFTRTP Surrey And Sussex Healthcare NFT</t>
  </si>
  <si>
    <t>CPIDNFTRTP</t>
  </si>
  <si>
    <t>NFTRTP</t>
  </si>
  <si>
    <t>Surrey And Sussex Healthcare NFT</t>
  </si>
  <si>
    <t>CPIDNFTRVJ North Bristol NFT</t>
  </si>
  <si>
    <t>CPIDNFTRVJ</t>
  </si>
  <si>
    <t>NFTRVJ</t>
  </si>
  <si>
    <t>North Bristol NFT</t>
  </si>
  <si>
    <t>CPIDNFTRVN Avon and Wiltshire Mental Health Partner NFT</t>
  </si>
  <si>
    <t>CPIDNFTRVN</t>
  </si>
  <si>
    <t>NFTRVN</t>
  </si>
  <si>
    <t>Avon and Wiltshire Mental Health Partner NFT</t>
  </si>
  <si>
    <t>CPIDNFTRVR Epsom and St Helier University Hospitals NFT</t>
  </si>
  <si>
    <t>CPIDNFTRVR</t>
  </si>
  <si>
    <t>NFTRVR</t>
  </si>
  <si>
    <t>Epsom and St Helier University Hospitals NFT</t>
  </si>
  <si>
    <t>CPIDNFTRVY Southport and Ormskirk Hospital NFT</t>
  </si>
  <si>
    <t>CPIDNFTRVY</t>
  </si>
  <si>
    <t>NFTRVY</t>
  </si>
  <si>
    <t>Southport and Ormskirk Hospital NFT</t>
  </si>
  <si>
    <t>CPIDNFTRWD United Lincolnshire Hospitals NFT</t>
  </si>
  <si>
    <t>CPIDNFTRWD</t>
  </si>
  <si>
    <t>NFTRWD</t>
  </si>
  <si>
    <t>United Lincolnshire Hospitals NFT</t>
  </si>
  <si>
    <t>CPIDNFTRWE University Hospitals of Leicester NFT</t>
  </si>
  <si>
    <t>CPIDNFTRWE</t>
  </si>
  <si>
    <t>NFTRWE</t>
  </si>
  <si>
    <t>University Hospitals of Leicester NFT</t>
  </si>
  <si>
    <t>CPIDNFTRWF Maidstone and Tunbridge Wells NFT</t>
  </si>
  <si>
    <t>CPIDNFTRWF</t>
  </si>
  <si>
    <t>NFTRWF</t>
  </si>
  <si>
    <t>Maidstone and Tunbridge Wells NFT</t>
  </si>
  <si>
    <t>CPIDNFTRWG West Hertfordshire Teaching Hospitals NHS Trust</t>
  </si>
  <si>
    <t>CPIDNFTRWG</t>
  </si>
  <si>
    <t>NFTRWG</t>
  </si>
  <si>
    <t>West Hertfordshire Teaching Hospitals NHS Trust</t>
  </si>
  <si>
    <t>CPIDNFTRWH East And North Hertfordshire NFT</t>
  </si>
  <si>
    <t>CPIDNFTRWH</t>
  </si>
  <si>
    <t>NFTRWH</t>
  </si>
  <si>
    <t>East And North Hertfordshire NFT</t>
  </si>
  <si>
    <t>CPIDNFTRWP Worcestershire Acute Hospitals NFT</t>
  </si>
  <si>
    <t>CPIDNFTRWP</t>
  </si>
  <si>
    <t>NFTRWP</t>
  </si>
  <si>
    <t>Worcestershire Acute Hospitals NFT</t>
  </si>
  <si>
    <t>CPIDNFTRWV Devon Partnership NFT</t>
  </si>
  <si>
    <t>CPIDNFTRWV</t>
  </si>
  <si>
    <t>NFTRWV</t>
  </si>
  <si>
    <t>Devon Partnership NFT</t>
  </si>
  <si>
    <t>CPIDNFTRXC East Sussex Hospitals NFT</t>
  </si>
  <si>
    <t>CPIDNFTRXC</t>
  </si>
  <si>
    <t>NFTRXC</t>
  </si>
  <si>
    <t>East Sussex Hospitals NFT</t>
  </si>
  <si>
    <t>CPIDNFTRXF Mid Yorkshire Hospitals NFT</t>
  </si>
  <si>
    <t>CPIDNFTRXF</t>
  </si>
  <si>
    <t>NFTRXF</t>
  </si>
  <si>
    <t>Mid Yorkshire Hospitals NFT</t>
  </si>
  <si>
    <t>CPIDNFTRXK Sandwell and West Birmingham Hospitals NFT</t>
  </si>
  <si>
    <t>CPIDNFTRXK</t>
  </si>
  <si>
    <t>NFTRXK</t>
  </si>
  <si>
    <t>Sandwell and West Birmingham Hospitals NFT</t>
  </si>
  <si>
    <t>CPIDNFTRXQ Buckinghamshire Healthcare NHS Trust</t>
  </si>
  <si>
    <t>CPIDNFTRXQ</t>
  </si>
  <si>
    <t>NFTRXQ</t>
  </si>
  <si>
    <t>Buckinghamshire Healthcare NHS Trust</t>
  </si>
  <si>
    <t>CPIDNFTRXR East Lancashire Hospitals NFT</t>
  </si>
  <si>
    <t>CPIDNFTRXR</t>
  </si>
  <si>
    <t>NFTRXR</t>
  </si>
  <si>
    <t>East Lancashire Hospitals NFT</t>
  </si>
  <si>
    <t>CPIDNFTRXW Shrewsbury and Telford Hospitals NFT</t>
  </si>
  <si>
    <t>CPIDNFTRXW</t>
  </si>
  <si>
    <t>NFTRXW</t>
  </si>
  <si>
    <t>Shrewsbury and Telford Hospitals NFT</t>
  </si>
  <si>
    <t>CPIDNFTRXY Kent and Medway NHS and Social Care Partnership Trust</t>
  </si>
  <si>
    <t>CPIDNFTRXY</t>
  </si>
  <si>
    <t>NFTRXY</t>
  </si>
  <si>
    <t>Kent and Medway NHS and Social Care Partnership Trust</t>
  </si>
  <si>
    <t>CPIDNFTRY3 Norfolk Community Health and Care NFT</t>
  </si>
  <si>
    <t>CPIDNFTRY3</t>
  </si>
  <si>
    <t>NFTRY3</t>
  </si>
  <si>
    <t>Norfolk Community Health and Care NFT</t>
  </si>
  <si>
    <t>CPIDNFTRY4 Hertfordshire Community NFT</t>
  </si>
  <si>
    <t>CPIDNFTRY4</t>
  </si>
  <si>
    <t>NFTRY4</t>
  </si>
  <si>
    <t>Hertfordshire Community NFT</t>
  </si>
  <si>
    <t>CPIDNFTRY6 The Leeds Community Healthcare NHS Trust</t>
  </si>
  <si>
    <t>CPIDNFTRY6</t>
  </si>
  <si>
    <t>NFTRY6</t>
  </si>
  <si>
    <t>The Leeds Community Healthcare NHS Trust</t>
  </si>
  <si>
    <t>CPIDNFTRYJ Imperial College Healthcare NFT</t>
  </si>
  <si>
    <t>CPIDNFTRYJ</t>
  </si>
  <si>
    <t>NFTRYJ</t>
  </si>
  <si>
    <t>Imperial College Healthcare NFT</t>
  </si>
  <si>
    <t>CPIDNFTRYK Dudley Integrated Health and Care NHS Trust</t>
  </si>
  <si>
    <t>CPIDNFTRYK</t>
  </si>
  <si>
    <t>NFTRYK</t>
  </si>
  <si>
    <t>Dudley Integrated Health and Care NHS Trust</t>
  </si>
  <si>
    <t>CPIDNFTRYV Cambridgeshire Community Services NFT</t>
  </si>
  <si>
    <t>CPIDNFTRYV</t>
  </si>
  <si>
    <t>NFTRYV</t>
  </si>
  <si>
    <t>Cambridgeshire Community Services NFT</t>
  </si>
  <si>
    <t>CPIDNFTRYX Central London Community Healthcare NFT</t>
  </si>
  <si>
    <t>CPIDNFTRYX</t>
  </si>
  <si>
    <t>NFTRYX</t>
  </si>
  <si>
    <t>Central London Community Healthcare NFT</t>
  </si>
  <si>
    <t xml:space="preserve">CPIDNFTRWA Hull University Teaching Hospitals NHS Trust
</t>
  </si>
  <si>
    <t>CPIDNFTRWA</t>
  </si>
  <si>
    <t>NFTRWA</t>
  </si>
  <si>
    <t xml:space="preserve">Hull University Teaching Hospitals NHS Trust
</t>
  </si>
  <si>
    <t>CPIDNFTRX1 Nottingham University Hospitals NHS Trust</t>
  </si>
  <si>
    <t>CPIDNFTRX1</t>
  </si>
  <si>
    <t>NFTRX1</t>
  </si>
  <si>
    <t>Nottingham University Hospitals NHS Trust</t>
  </si>
  <si>
    <t>CPIDNFTRX7 North West Ambulance Service NHS Trust</t>
  </si>
  <si>
    <t>CPIDNFTRX7</t>
  </si>
  <si>
    <t>NFTRX7</t>
  </si>
  <si>
    <t>North West Ambulance Service NHS Trust</t>
  </si>
  <si>
    <t>CPIDNFTRX8 Yorkshire Ambulance Service NHS Trust</t>
  </si>
  <si>
    <t>CPIDNFTRX8</t>
  </si>
  <si>
    <t>NFTRX8</t>
  </si>
  <si>
    <t>Yorkshire Ambulance Service NHS Trust</t>
  </si>
  <si>
    <t>CPIDNFTRX9 East Midlands Ambulance Service NHS Trust</t>
  </si>
  <si>
    <t>CPIDNFTRX9</t>
  </si>
  <si>
    <t>NFTRX9</t>
  </si>
  <si>
    <t>East Midlands Ambulance Service NHS Trust</t>
  </si>
  <si>
    <t>CPIDNFTRY5 The Lincolnshire Community Health Services NHS Trust</t>
  </si>
  <si>
    <t>CPIDNFTRY5</t>
  </si>
  <si>
    <t>NFTRY5</t>
  </si>
  <si>
    <t>The Lincolnshire Community Health Services NHS Trust</t>
  </si>
  <si>
    <t>CPIDNFTRY9 The Hounclow and Richmond  Community Healthcare NHS Trust</t>
  </si>
  <si>
    <t>CPIDNFTRY9</t>
  </si>
  <si>
    <t>NFTRY9</t>
  </si>
  <si>
    <t>The Hounclow and Richmond  Community Healthcare NHS Trust</t>
  </si>
  <si>
    <t>CPIDNFTRYC East of England Ambulance Service NHS Trust</t>
  </si>
  <si>
    <t>CPIDNFTRYC</t>
  </si>
  <si>
    <t>NFTRYC</t>
  </si>
  <si>
    <t>East of England Ambulance Service NHS Trust</t>
  </si>
  <si>
    <t>CPIDNFTRYG Coventry and Warwickshire Partnership NHS Trust</t>
  </si>
  <si>
    <t>CPIDNFTRYG</t>
  </si>
  <si>
    <t>NFTRYG</t>
  </si>
  <si>
    <t>Coventry and Warwickshire Partnership NHS Trust</t>
  </si>
  <si>
    <t>CPIDICBQKK NHS South East London ICB</t>
  </si>
  <si>
    <t>CPIDICBQKK</t>
  </si>
  <si>
    <t>ICBQKK</t>
  </si>
  <si>
    <t>NHS South East London ICB</t>
  </si>
  <si>
    <t>NHSE - Integrated Care Board</t>
  </si>
  <si>
    <t>CPIDICBQMF NHS North East London ICB</t>
  </si>
  <si>
    <t>CPIDICBQMF</t>
  </si>
  <si>
    <t>ICBQMF</t>
  </si>
  <si>
    <t>NHS North East London ICB</t>
  </si>
  <si>
    <t>CPIDICBQMJ NHS North Central London ICB</t>
  </si>
  <si>
    <t>CPIDICBQMJ</t>
  </si>
  <si>
    <t>ICBQMJ</t>
  </si>
  <si>
    <t>NHS North Central London ICB</t>
  </si>
  <si>
    <t>CPIDICBQRV NHS North West London ICB</t>
  </si>
  <si>
    <t>CPIDICBQRV</t>
  </si>
  <si>
    <t>ICBQRV</t>
  </si>
  <si>
    <t>NHS North West London ICB</t>
  </si>
  <si>
    <t>CPIDICBQWE NHS South West London ICB</t>
  </si>
  <si>
    <t>CPIDICBQWE</t>
  </si>
  <si>
    <t>ICBQWE</t>
  </si>
  <si>
    <t>NHS South West London ICB</t>
  </si>
  <si>
    <t>CPIDICBQGH NHS Herefordshire and Worcestershire ICB</t>
  </si>
  <si>
    <t>CPIDICBQGH</t>
  </si>
  <si>
    <t>ICBQGH</t>
  </si>
  <si>
    <t>NHS Herefordshire and Worcestershire ICB</t>
  </si>
  <si>
    <t>CPIDICBQHL NHS Birmingham and Solihull ICB</t>
  </si>
  <si>
    <t>CPIDICBQHL</t>
  </si>
  <si>
    <t>ICBQHL</t>
  </si>
  <si>
    <t>NHS Birmingham and Solihull ICB</t>
  </si>
  <si>
    <t>CPIDICBQJ2 NHS Derby and Derbyshire ICB</t>
  </si>
  <si>
    <t>CPIDICBQJ2</t>
  </si>
  <si>
    <t>ICBQJ2</t>
  </si>
  <si>
    <t>NHS Derby and Derbyshire ICB</t>
  </si>
  <si>
    <t>CPIDICBQJM NHS Lincolnshire ICB</t>
  </si>
  <si>
    <t>CPIDICBQJM</t>
  </si>
  <si>
    <t>ICBQJM</t>
  </si>
  <si>
    <t>NHS Lincolnshire ICB</t>
  </si>
  <si>
    <t>CPIDICBQK1 NHS Leicester, Leicestershire and Rutland ICB</t>
  </si>
  <si>
    <t>CPIDICBQK1</t>
  </si>
  <si>
    <t>ICBQK1</t>
  </si>
  <si>
    <t>NHS Leicester, Leicestershire and Rutland ICB</t>
  </si>
  <si>
    <t>CPIDICBQNC NHS Staffordshire and Stoke-On-Trent ICB</t>
  </si>
  <si>
    <t>CPIDICBQNC</t>
  </si>
  <si>
    <t>ICBQNC</t>
  </si>
  <si>
    <t>NHS Staffordshire and Stoke-On-Trent ICB</t>
  </si>
  <si>
    <t>CPIDICBQOC NHS Shropshire, Telford and Wrekin ICB</t>
  </si>
  <si>
    <t>CPIDICBQOC</t>
  </si>
  <si>
    <t>ICBQOC</t>
  </si>
  <si>
    <t>NHS Shropshire, Telford and Wrekin ICB</t>
  </si>
  <si>
    <t>CPIDICBQPM NHS Northamptonshire ICB</t>
  </si>
  <si>
    <t>CPIDICBQPM</t>
  </si>
  <si>
    <t>ICBQPM</t>
  </si>
  <si>
    <t>NHS Northamptonshire ICB</t>
  </si>
  <si>
    <t>CPIDICBQT1 NHS Nottingham and Nottinghamshire ICB</t>
  </si>
  <si>
    <t>CPIDICBQT1</t>
  </si>
  <si>
    <t>ICBQT1</t>
  </si>
  <si>
    <t>NHS Nottingham and Nottinghamshire ICB</t>
  </si>
  <si>
    <t>CPIDICBQUA NHS Black Country ICB</t>
  </si>
  <si>
    <t>CPIDICBQUA</t>
  </si>
  <si>
    <t>ICBQUA</t>
  </si>
  <si>
    <t>NHS Black Country ICB</t>
  </si>
  <si>
    <t>CPIDICBQWU NHS Coventry and Warwickshire ICB</t>
  </si>
  <si>
    <t>CPIDICBQWU</t>
  </si>
  <si>
    <t>ICBQWU</t>
  </si>
  <si>
    <t>NHS Coventry and Warwickshire ICB</t>
  </si>
  <si>
    <t>CPIDICBQH8 NHS Mid and South Essex ICB</t>
  </si>
  <si>
    <t>CPIDICBQH8</t>
  </si>
  <si>
    <t>ICBQH8</t>
  </si>
  <si>
    <t>NHS Mid and South Essex ICB</t>
  </si>
  <si>
    <t>CPIDICBQHG NHS Bedfordshire, Luton and Milton Keynes ICB</t>
  </si>
  <si>
    <t>CPIDICBQHG</t>
  </si>
  <si>
    <t>ICBQHG</t>
  </si>
  <si>
    <t>NHS Bedfordshire, Luton and Milton Keynes ICB</t>
  </si>
  <si>
    <t>CPIDICBQJG NHS Suffolk and North East Essex ICB</t>
  </si>
  <si>
    <t>CPIDICBQJG</t>
  </si>
  <si>
    <t>ICBQJG</t>
  </si>
  <si>
    <t>NHS Suffolk and North East Essex ICB</t>
  </si>
  <si>
    <t>CPIDICBQM7 NHS Hertfordshire and West Essex ICB</t>
  </si>
  <si>
    <t>CPIDICBQM7</t>
  </si>
  <si>
    <t>ICBQM7</t>
  </si>
  <si>
    <t>NHS Hertfordshire and West Essex ICB</t>
  </si>
  <si>
    <t>CPIDICBQMM NHS Norfolk and Waveney ICB</t>
  </si>
  <si>
    <t>CPIDICBQMM</t>
  </si>
  <si>
    <t>ICBQMM</t>
  </si>
  <si>
    <t>NHS Norfolk and Waveney ICB</t>
  </si>
  <si>
    <t>CPIDICBQUE NHS Cambridgeshire and Peterborough ICB</t>
  </si>
  <si>
    <t>CPIDICBQUE</t>
  </si>
  <si>
    <t>ICBQUE</t>
  </si>
  <si>
    <t>NHS Cambridgeshire and Peterborough ICB</t>
  </si>
  <si>
    <t>CPIDICBQE1 NHS Lancashire and South Cumbria ICB</t>
  </si>
  <si>
    <t>CPIDICBQE1</t>
  </si>
  <si>
    <t>ICBQE1</t>
  </si>
  <si>
    <t>NHS Lancashire and South Cumbria ICB</t>
  </si>
  <si>
    <t>CPIDICBQOP NHS Greater Manchester ICB</t>
  </si>
  <si>
    <t>CPIDICBQOP</t>
  </si>
  <si>
    <t>ICBQOP</t>
  </si>
  <si>
    <t>NHS Greater Manchester ICB</t>
  </si>
  <si>
    <t>CPIDICBQYG NHS Cheshire and Merseyside ICB</t>
  </si>
  <si>
    <t>CPIDICBQYG</t>
  </si>
  <si>
    <t>ICBQYG</t>
  </si>
  <si>
    <t>NHS Cheshire and Merseyside ICB</t>
  </si>
  <si>
    <t>CPIDICBQF7 NHS South Yorkshire ICB</t>
  </si>
  <si>
    <t>CPIDICBQF7</t>
  </si>
  <si>
    <t>ICBQF7</t>
  </si>
  <si>
    <t>NHS South Yorkshire ICB</t>
  </si>
  <si>
    <t>CPIDICBQHM NHS North East and North Cumbria ICB</t>
  </si>
  <si>
    <t>CPIDICBQHM</t>
  </si>
  <si>
    <t>ICBQHM</t>
  </si>
  <si>
    <t>NHS North East and North Cumbria ICB</t>
  </si>
  <si>
    <t>CPIDICBQOQ NHS Humber and North Yorkshire ICB</t>
  </si>
  <si>
    <t>CPIDICBQOQ</t>
  </si>
  <si>
    <t>ICBQOQ</t>
  </si>
  <si>
    <t>NHS Humber and North Yorkshire ICB</t>
  </si>
  <si>
    <t>CPIDICBQWO NHS West Yorkshire ICB</t>
  </si>
  <si>
    <t>CPIDICBQWO</t>
  </si>
  <si>
    <t>ICBQWO</t>
  </si>
  <si>
    <t>NHS West Yorkshire ICB</t>
  </si>
  <si>
    <t>CPIDICBQKS NHS Kent and Medway ICB</t>
  </si>
  <si>
    <t>CPIDICBQKS</t>
  </si>
  <si>
    <t>ICBQKS</t>
  </si>
  <si>
    <t>NHS Kent and Medway ICB</t>
  </si>
  <si>
    <t>CPIDICBQNQ NHS Frimley ICB</t>
  </si>
  <si>
    <t>CPIDICBQNQ</t>
  </si>
  <si>
    <t>ICBQNQ</t>
  </si>
  <si>
    <t>NHS Frimley ICB</t>
  </si>
  <si>
    <t>CPIDICBQNX NHS Sussex ICB</t>
  </si>
  <si>
    <t>CPIDICBQNX</t>
  </si>
  <si>
    <t>ICBQNX</t>
  </si>
  <si>
    <t>NHS Sussex ICB</t>
  </si>
  <si>
    <t>CPIDICBQRL NHS Hampshire and Isle of Wight ICB</t>
  </si>
  <si>
    <t>CPIDICBQRL</t>
  </si>
  <si>
    <t>ICBQRL</t>
  </si>
  <si>
    <t>NHS Hampshire and Isle of Wight ICB</t>
  </si>
  <si>
    <t>CPIDICBQU9 NHS Buckinghamshire, Oxfordshire and Berkshire West ICB</t>
  </si>
  <si>
    <t>CPIDICBQU9</t>
  </si>
  <si>
    <t>ICBQU9</t>
  </si>
  <si>
    <t>NHS Buckinghamshire, Oxfordshire and Berkshire West ICB</t>
  </si>
  <si>
    <t>CPIDICBQXU NHS Surrey Heartlands ICB</t>
  </si>
  <si>
    <t>CPIDICBQXU</t>
  </si>
  <si>
    <t>ICBQXU</t>
  </si>
  <si>
    <t>NHS Surrey Heartlands ICB</t>
  </si>
  <si>
    <t>CPIDICBQJK NHS Devon ICB</t>
  </si>
  <si>
    <t>CPIDICBQJK</t>
  </si>
  <si>
    <t>ICBQJK</t>
  </si>
  <si>
    <t>NHS Devon ICB</t>
  </si>
  <si>
    <t>CPIDICBQOX NHS Bath and North East Somerset, Swindon and Wiltshire ICB</t>
  </si>
  <si>
    <t>CPIDICBQOX</t>
  </si>
  <si>
    <t>ICBQOX</t>
  </si>
  <si>
    <t>NHS Bath and North East Somerset, Swindon and Wiltshire ICB</t>
  </si>
  <si>
    <t>CPIDICBQR1 NHS Gloucestershire ICB</t>
  </si>
  <si>
    <t>CPIDICBQR1</t>
  </si>
  <si>
    <t>ICBQR1</t>
  </si>
  <si>
    <t>NHS Gloucestershire ICB</t>
  </si>
  <si>
    <t>CPIDICBQSL NHS Somerset ICB</t>
  </si>
  <si>
    <t>CPIDICBQSL</t>
  </si>
  <si>
    <t>ICBQSL</t>
  </si>
  <si>
    <t>NHS Somerset ICB</t>
  </si>
  <si>
    <t>CPIDICBQT6 NHS Cornwall and The Isles Of Scilly ICB</t>
  </si>
  <si>
    <t>CPIDICBQT6</t>
  </si>
  <si>
    <t>ICBQT6</t>
  </si>
  <si>
    <t>NHS Cornwall and The Isles Of Scilly ICB</t>
  </si>
  <si>
    <t>CPIDICBQUY NHS Bristol, North Somerset and South Gloucestershire ICB</t>
  </si>
  <si>
    <t>CPIDICBQUY</t>
  </si>
  <si>
    <t>ICBQUY</t>
  </si>
  <si>
    <t>NHS Bristol, North Somerset and South Gloucestershire ICB</t>
  </si>
  <si>
    <t>CPIDICBQVV NHS Dorset ICB</t>
  </si>
  <si>
    <t>CPIDICBQVV</t>
  </si>
  <si>
    <t>ICBQVV</t>
  </si>
  <si>
    <t>NHS Dorset ICB</t>
  </si>
  <si>
    <t>CPIDBSO208 Business Services Organisation</t>
  </si>
  <si>
    <t>CPIDBSO208</t>
  </si>
  <si>
    <t>BSO208</t>
  </si>
  <si>
    <t>Business Services Organisation</t>
  </si>
  <si>
    <t>Northern Ireland Health</t>
  </si>
  <si>
    <t>CPIDHSST14 NI Ambulance Service HSS Trust</t>
  </si>
  <si>
    <t>CPIDHSST14</t>
  </si>
  <si>
    <t>HSST14</t>
  </si>
  <si>
    <t>NI Ambulance Service HSS Trust</t>
  </si>
  <si>
    <t>CPIDNISCT1 Belfast Health and Social Care Trust</t>
  </si>
  <si>
    <t>CPIDNISCT1</t>
  </si>
  <si>
    <t>NISCT1</t>
  </si>
  <si>
    <t>Belfast Health and Social Care Trust</t>
  </si>
  <si>
    <t>CPIDNISCT2 Northern Health and Social Care Trust</t>
  </si>
  <si>
    <t>CPIDNISCT2</t>
  </si>
  <si>
    <t>NISCT2</t>
  </si>
  <si>
    <t>Northern Health and Social Care Trust</t>
  </si>
  <si>
    <t>CPIDNISCT3 South Eastern Health and Social Care Trust</t>
  </si>
  <si>
    <t>CPIDNISCT3</t>
  </si>
  <si>
    <t>NISCT3</t>
  </si>
  <si>
    <t>South Eastern Health and Social Care Trust</t>
  </si>
  <si>
    <t>CPIDNISCT4 Southern Health and Social Care Trust</t>
  </si>
  <si>
    <t>CPIDNISCT4</t>
  </si>
  <si>
    <t>NISCT4</t>
  </si>
  <si>
    <t>Southern Health and Social Care Trust</t>
  </si>
  <si>
    <t>CPIDNISCT5 Western Health and Social Care Trust</t>
  </si>
  <si>
    <t>CPIDNISCT5</t>
  </si>
  <si>
    <t>NISCT5</t>
  </si>
  <si>
    <t>Western Health and Social Care Trust</t>
  </si>
  <si>
    <t>CPIDLHB051 Swansea Bay University Health Board</t>
  </si>
  <si>
    <t>CPIDLHB051</t>
  </si>
  <si>
    <t>LHB051</t>
  </si>
  <si>
    <t>Swansea Bay University Health Board</t>
  </si>
  <si>
    <t>Welsh Health</t>
  </si>
  <si>
    <t>CPIDLHB052 Aneurin Bevan Local Health Board</t>
  </si>
  <si>
    <t>CPIDLHB052</t>
  </si>
  <si>
    <t>LHB052</t>
  </si>
  <si>
    <t>Aneurin Bevan Local Health Board</t>
  </si>
  <si>
    <t>CPIDLHB053 Betsi Cadwaladr University Local Health Board</t>
  </si>
  <si>
    <t>CPIDLHB053</t>
  </si>
  <si>
    <t>LHB053</t>
  </si>
  <si>
    <t>Betsi Cadwaladr University Local Health Board</t>
  </si>
  <si>
    <t>CPIDLHB054 Cardiff and Vale University Local Health Board</t>
  </si>
  <si>
    <t>CPIDLHB054</t>
  </si>
  <si>
    <t>LHB054</t>
  </si>
  <si>
    <t>Cardiff and Vale University Local Health Board</t>
  </si>
  <si>
    <t>CPIDLHB055 Cwm Taf Morgannwg University Local Health</t>
  </si>
  <si>
    <t>CPIDLHB055</t>
  </si>
  <si>
    <t>LHB055</t>
  </si>
  <si>
    <t>Cwm Taf Morgannwg University Local Health</t>
  </si>
  <si>
    <t>CPIDLHB056 Hywel Dda Health Board</t>
  </si>
  <si>
    <t>CPIDLHB056</t>
  </si>
  <si>
    <t>LHB056</t>
  </si>
  <si>
    <t>Hywel Dda Health Board</t>
  </si>
  <si>
    <t>CPIDLHB057 Powys Local Health Board</t>
  </si>
  <si>
    <t>CPIDLHB057</t>
  </si>
  <si>
    <t>LHB057</t>
  </si>
  <si>
    <t>Powys Local Health Board</t>
  </si>
  <si>
    <t>CPIDFPS911 DoF- Superannuation &amp; Other Allowances - NI</t>
  </si>
  <si>
    <t>CPIDFPS911</t>
  </si>
  <si>
    <t>FPS911</t>
  </si>
  <si>
    <t>DoF- Superannuation &amp; Other Allowances - NI</t>
  </si>
  <si>
    <t>Northern Ireland Pension Scheme</t>
  </si>
  <si>
    <t>CPIDHPS910 Health and Social Care Pension Scheme</t>
  </si>
  <si>
    <t>CPIDHPS910</t>
  </si>
  <si>
    <t>HPS910</t>
  </si>
  <si>
    <t>Health and Social Care Pension Scheme</t>
  </si>
  <si>
    <t>CPIDPPS912 Police Pension Scheme - Northern Ireland (formerly Police Pension Scheme - Northern Ireland Office)</t>
  </si>
  <si>
    <t>CPIDPPS912</t>
  </si>
  <si>
    <t>PPS912</t>
  </si>
  <si>
    <t>Police Pension Scheme - Northern Ireland (formerly Police Pension Scheme - Northern Ireland Office)</t>
  </si>
  <si>
    <t>CPIDSNI909 Teachers Superanuation Scheme Statements - NIE</t>
  </si>
  <si>
    <t>CPIDSNI909</t>
  </si>
  <si>
    <t>SNI909</t>
  </si>
  <si>
    <t>Teachers Superanuation Scheme Statements - NIE</t>
  </si>
  <si>
    <t>CPIDIHE210 Northern Ireland Housing Executive</t>
  </si>
  <si>
    <t>CPIDIHE210</t>
  </si>
  <si>
    <t>IHE210</t>
  </si>
  <si>
    <t>Northern Ireland Housing Executive</t>
  </si>
  <si>
    <t>CPIDAFS902 Armed Forces Retired Pay Pensions</t>
  </si>
  <si>
    <t>CPIDAFS902</t>
  </si>
  <si>
    <t>AFS902</t>
  </si>
  <si>
    <t>Armed Forces Retired Pay Pensions</t>
  </si>
  <si>
    <t>Pension Scheme</t>
  </si>
  <si>
    <t>CPIDJPS908 Ministry of Justice: Judicial Pensions Scheme</t>
  </si>
  <si>
    <t>CPIDJPS908</t>
  </si>
  <si>
    <t>JPS908</t>
  </si>
  <si>
    <t>Ministry of Justice: Judicial Pensions Scheme</t>
  </si>
  <si>
    <t>CPIDNHP903 National Health Service Pension Scheme</t>
  </si>
  <si>
    <t>CPIDNHP903</t>
  </si>
  <si>
    <t>NHP903</t>
  </si>
  <si>
    <t>National Health Service Pension Scheme</t>
  </si>
  <si>
    <t>CPIDOSS907 Department for Foreign, Commonwealth and Development Office: Overseas Superannuation</t>
  </si>
  <si>
    <t>CPIDOSS907</t>
  </si>
  <si>
    <t>OSS907</t>
  </si>
  <si>
    <t>Department for Foreign, Commonwealth and Development Office: Overseas Superannuation</t>
  </si>
  <si>
    <t>CPIDPCS901 Cabinet Office: Civil Superannuation</t>
  </si>
  <si>
    <t>CPIDPCS901</t>
  </si>
  <si>
    <t>PCS901</t>
  </si>
  <si>
    <t>Cabinet Office: Civil Superannuation</t>
  </si>
  <si>
    <t>CPIDRCP906 Research Councils Pension Scheme</t>
  </si>
  <si>
    <t>CPIDRCP906</t>
  </si>
  <si>
    <t>RCP906</t>
  </si>
  <si>
    <t>Research Councils Pension Scheme</t>
  </si>
  <si>
    <t>CPIDRMP915 Royal Mail Pension Scheme</t>
  </si>
  <si>
    <t>CPIDRMP915</t>
  </si>
  <si>
    <t>RMP915</t>
  </si>
  <si>
    <t>Royal Mail Pension Scheme</t>
  </si>
  <si>
    <t>CPIDUKP905 Dept for Bus Innovation &amp; Skills: UKAEA Pens Schem</t>
  </si>
  <si>
    <t>CPIDUKP905</t>
  </si>
  <si>
    <t>UKP905</t>
  </si>
  <si>
    <t>Dept for Bus Innovation &amp; Skills: UKAEA Pens Schem</t>
  </si>
  <si>
    <t>CPIDBAP091 BoE Asset Purchase Facility</t>
  </si>
  <si>
    <t>CPIDBAP091</t>
  </si>
  <si>
    <t>BAP091</t>
  </si>
  <si>
    <t>BoE Asset Purchase Facility</t>
  </si>
  <si>
    <t>Public Corporation</t>
  </si>
  <si>
    <t>CPIDBCL030 British Council</t>
  </si>
  <si>
    <t>CPIDBCL030</t>
  </si>
  <si>
    <t>BCL030</t>
  </si>
  <si>
    <t>British Council</t>
  </si>
  <si>
    <t>CPIDBNC084 British Nuclear Fuels</t>
  </si>
  <si>
    <t>CPIDBNC084</t>
  </si>
  <si>
    <t>BNC084</t>
  </si>
  <si>
    <t>British Nuclear Fuels</t>
  </si>
  <si>
    <t>CPIDBOE091 Bank of England</t>
  </si>
  <si>
    <t>CPIDBOE091</t>
  </si>
  <si>
    <t>BOE091</t>
  </si>
  <si>
    <t>Bank of England</t>
  </si>
  <si>
    <t>CPIDBOI091 Bank of England Issue Department</t>
  </si>
  <si>
    <t>CPIDBOI091</t>
  </si>
  <si>
    <t>BOI091</t>
  </si>
  <si>
    <t>Bank of England Issue Department</t>
  </si>
  <si>
    <t>CPIDBWB003 British Waterways Board</t>
  </si>
  <si>
    <t>CPIDBWB003</t>
  </si>
  <si>
    <t>BWB003</t>
  </si>
  <si>
    <t>British Waterways Board</t>
  </si>
  <si>
    <t xml:space="preserve">CPIDBWM003 British Wool Marketing Board                      </t>
  </si>
  <si>
    <t>CPIDBWM003</t>
  </si>
  <si>
    <t>BWM003</t>
  </si>
  <si>
    <t xml:space="preserve">British Wool Marketing Board                      </t>
  </si>
  <si>
    <t>CPIDBYA010 Crown Commercial Service</t>
  </si>
  <si>
    <t>CPIDBYA010</t>
  </si>
  <si>
    <t>BYA010</t>
  </si>
  <si>
    <t>Crown Commercial Service</t>
  </si>
  <si>
    <t>CPIDCAA004 Civil Aviation Authority</t>
  </si>
  <si>
    <t>CPIDCAA004</t>
  </si>
  <si>
    <t>CAA004</t>
  </si>
  <si>
    <t>Civil Aviation Authority</t>
  </si>
  <si>
    <t>CPIDCDC030 Commonwealth Development Corporation</t>
  </si>
  <si>
    <t>CPIDCDC030</t>
  </si>
  <si>
    <t>CDC030</t>
  </si>
  <si>
    <t>Commonwealth Development Corporation</t>
  </si>
  <si>
    <t>CPIDCFT048 Channel Four Television Corporation</t>
  </si>
  <si>
    <t>CPIDCFT048</t>
  </si>
  <si>
    <t>CFT048</t>
  </si>
  <si>
    <t>Channel Four Television Corporation</t>
  </si>
  <si>
    <t>CPIDCHT084 Companies House Trust Statement</t>
  </si>
  <si>
    <t>CPIDCHT084</t>
  </si>
  <si>
    <t>CHT084</t>
  </si>
  <si>
    <t>Companies House Trust Statement</t>
  </si>
  <si>
    <t>CPIDCMA084 Competition and Markets Authority</t>
  </si>
  <si>
    <t>CPIDCMA084</t>
  </si>
  <si>
    <t>CMA084</t>
  </si>
  <si>
    <t>Competition and Markets Authority</t>
  </si>
  <si>
    <t>CPIDECG025 Export Credits Guarantee Department</t>
  </si>
  <si>
    <t>CPIDECG025</t>
  </si>
  <si>
    <t>ECG025</t>
  </si>
  <si>
    <t>Export Credits Guarantee Department</t>
  </si>
  <si>
    <t>CPIDFCA087 Financial Conduct Authority</t>
  </si>
  <si>
    <t>CPIDFCA087</t>
  </si>
  <si>
    <t>FCA087</t>
  </si>
  <si>
    <t>Financial Conduct Authority</t>
  </si>
  <si>
    <t>CPIDFEA028 Forest Enterprise Agency England</t>
  </si>
  <si>
    <t>CPIDFEA028</t>
  </si>
  <si>
    <t>FEA028</t>
  </si>
  <si>
    <t>Forest Enterprise Agency England</t>
  </si>
  <si>
    <t>CPIDFEA075 Forestry and Land Scotland</t>
  </si>
  <si>
    <t>CPIDFEA075</t>
  </si>
  <si>
    <t>FEA075</t>
  </si>
  <si>
    <t>Forestry and Land Scotland</t>
  </si>
  <si>
    <t>CPIDFOL087 Financial Ombudsman Services Limited</t>
  </si>
  <si>
    <t>CPIDFOL087</t>
  </si>
  <si>
    <t>FOL087</t>
  </si>
  <si>
    <t>Financial Ombudsman Services Limited</t>
  </si>
  <si>
    <t>CPIDFOR205 Forest Service Northern Ireland</t>
  </si>
  <si>
    <t>CPIDFOR205</t>
  </si>
  <si>
    <t>FOR205</t>
  </si>
  <si>
    <t>Forest Service Northern Ireland</t>
  </si>
  <si>
    <t>CPIDFSS087 Financial Services Compensation Scheme</t>
  </si>
  <si>
    <t>CPIDFSS087</t>
  </si>
  <si>
    <t>FSS087</t>
  </si>
  <si>
    <t>Financial Services Compensation Scheme</t>
  </si>
  <si>
    <t>CPIDGEF025 Guaranteed Export Finance Corporation</t>
  </si>
  <si>
    <t>CPIDGEF025</t>
  </si>
  <si>
    <t>GEF025</t>
  </si>
  <si>
    <t>Guaranteed Export Finance Corporation</t>
  </si>
  <si>
    <t>CPIDGLF004 General Lighthouse Fund</t>
  </si>
  <si>
    <t>CPIDGLF004</t>
  </si>
  <si>
    <t>GLF004</t>
  </si>
  <si>
    <t>General Lighthouse Fund</t>
  </si>
  <si>
    <t>CPIDHYO017 UK Hydrographic Office</t>
  </si>
  <si>
    <t>CPIDHYO017</t>
  </si>
  <si>
    <t>HYO017</t>
  </si>
  <si>
    <t>UK Hydrographic Office</t>
  </si>
  <si>
    <t>CPIDINS066 International Nuclear Services</t>
  </si>
  <si>
    <t>CPIDINS066</t>
  </si>
  <si>
    <t>INS066</t>
  </si>
  <si>
    <t>International Nuclear Services</t>
  </si>
  <si>
    <t>CPIDLCR004 London &amp; Continental Railways Limited</t>
  </si>
  <si>
    <t>CPIDLCR004</t>
  </si>
  <si>
    <t>LCR004</t>
  </si>
  <si>
    <t>London &amp; Continental Railways Limited</t>
  </si>
  <si>
    <t>CPIDLRG084 Land Registry</t>
  </si>
  <si>
    <t>CPIDLRG084</t>
  </si>
  <si>
    <t>LRG084</t>
  </si>
  <si>
    <t>Land Registry</t>
  </si>
  <si>
    <t>CPIDMEO084 Meteorological Office</t>
  </si>
  <si>
    <t>CPIDMEO084</t>
  </si>
  <si>
    <t>MEO084</t>
  </si>
  <si>
    <t>Meteorological Office</t>
  </si>
  <si>
    <t>CPIDMHP033 Medicines &amp; Healthcare Products Regulatory Agency</t>
  </si>
  <si>
    <t>CPIDMHP033</t>
  </si>
  <si>
    <t>MHP033</t>
  </si>
  <si>
    <t>Medicines &amp; Healthcare Products Regulatory Agency</t>
  </si>
  <si>
    <t>CPIDNBA033 NHS Blood and Transplant</t>
  </si>
  <si>
    <t>CPIDNBA033</t>
  </si>
  <si>
    <t>NBA033</t>
  </si>
  <si>
    <t>NHS Blood and Transplant</t>
  </si>
  <si>
    <t>CPIDNNL066 National Nuclear Laboratory Ltd</t>
  </si>
  <si>
    <t>CPIDNNL066</t>
  </si>
  <si>
    <t>NNL066</t>
  </si>
  <si>
    <t>National Nuclear Laboratory Ltd</t>
  </si>
  <si>
    <t>CPIDNSP033 NHS Professionals</t>
  </si>
  <si>
    <t>CPIDNSP033</t>
  </si>
  <si>
    <t>NSP033</t>
  </si>
  <si>
    <t>NHS Professionals</t>
  </si>
  <si>
    <t>CPIDNST032 National Employment Savings Trust</t>
  </si>
  <si>
    <t>CPIDNST032</t>
  </si>
  <si>
    <t>NST032</t>
  </si>
  <si>
    <t>National Employment Savings Trust</t>
  </si>
  <si>
    <t>CPIDOLR004 DFT OLR Holdings</t>
  </si>
  <si>
    <t>CPIDOLR004</t>
  </si>
  <si>
    <t>OLR004</t>
  </si>
  <si>
    <t>DFT OLR Holdings</t>
  </si>
  <si>
    <t>CPIDOLR004 London North Eastern Railways</t>
  </si>
  <si>
    <t>London North Eastern Railways</t>
  </si>
  <si>
    <t>CPIDOLR004 Northern Train</t>
  </si>
  <si>
    <t>Northern Train</t>
  </si>
  <si>
    <t>CPIDONR032 Office for Nuclear Regulation</t>
  </si>
  <si>
    <t>CPIDONR032</t>
  </si>
  <si>
    <t>ONR032</t>
  </si>
  <si>
    <t>Office for Nuclear Regulation</t>
  </si>
  <si>
    <t>CPIDOPA017 Oil and Pipelines Agency</t>
  </si>
  <si>
    <t>CPIDOPA017</t>
  </si>
  <si>
    <t>OPA017</t>
  </si>
  <si>
    <t>Oil and Pipelines Agency</t>
  </si>
  <si>
    <t>CPIDORD084 Ordnance Survey</t>
  </si>
  <si>
    <t>CPIDORD084</t>
  </si>
  <si>
    <t>ORD084</t>
  </si>
  <si>
    <t>Ordnance Survey</t>
  </si>
  <si>
    <t>CPIDPAO084 Intellectual Property Office</t>
  </si>
  <si>
    <t>CPIDPAO084</t>
  </si>
  <si>
    <t>PAO084</t>
  </si>
  <si>
    <t>Intellectual Property Office</t>
  </si>
  <si>
    <t>CPIDPOL084 Post Office Limited</t>
  </si>
  <si>
    <t>CPIDPOL084</t>
  </si>
  <si>
    <t>POL084</t>
  </si>
  <si>
    <t>Post Office Limited</t>
  </si>
  <si>
    <t>CPIDPPF032 Pension Protection Fund (PPF)</t>
  </si>
  <si>
    <t>CPIDPPF032</t>
  </si>
  <si>
    <t>PPF032</t>
  </si>
  <si>
    <t>Pension Protection Fund (PPF)</t>
  </si>
  <si>
    <t>CPIDQEC085 Queen Elizabeth II Conference Centre</t>
  </si>
  <si>
    <t>CPIDQEC085</t>
  </si>
  <si>
    <t>QEC085</t>
  </si>
  <si>
    <t>Queen Elizabeth II Conference Centre</t>
  </si>
  <si>
    <t>CPIDRMT087 Royal Mint</t>
  </si>
  <si>
    <t>CPIDRMT087</t>
  </si>
  <si>
    <t>RMT087</t>
  </si>
  <si>
    <t>Royal Mint</t>
  </si>
  <si>
    <t>CPIDBAL091 Bank of England Alternative Liquidity Facility</t>
  </si>
  <si>
    <t>CPIDBAL091</t>
  </si>
  <si>
    <t>BAL091</t>
  </si>
  <si>
    <t>Bank of England Alternative Liquidity Facility</t>
  </si>
  <si>
    <t>CPIDCIL004 Crossrail International Ltd</t>
  </si>
  <si>
    <t>CPIDCIL004</t>
  </si>
  <si>
    <t>CIL004</t>
  </si>
  <si>
    <t>Crossrail International Ltd</t>
  </si>
  <si>
    <t>CPIDSET004 SE Trains Limited</t>
  </si>
  <si>
    <t>CPIDSET004</t>
  </si>
  <si>
    <t>SET004</t>
  </si>
  <si>
    <t>SE Trains Limited</t>
  </si>
  <si>
    <t>CPIDTRP048 The Royal Parks Limited</t>
  </si>
  <si>
    <t>CPIDTRP048</t>
  </si>
  <si>
    <t>TRP048</t>
  </si>
  <si>
    <t>The Royal Parks Limited</t>
  </si>
  <si>
    <t>CPIDSNP914 Scottish NHS Pension Scheme</t>
  </si>
  <si>
    <t>CPIDSNP914</t>
  </si>
  <si>
    <t>SNP914</t>
  </si>
  <si>
    <t>Scottish NHS Pension Scheme</t>
  </si>
  <si>
    <t>Scottish Pension Scheme</t>
  </si>
  <si>
    <t>CPIDSTP913 Scottish Teachers Pension Scheme</t>
  </si>
  <si>
    <t>CPIDSTP913</t>
  </si>
  <si>
    <t>STP913</t>
  </si>
  <si>
    <t>Scottish Teachers Pension Scheme</t>
  </si>
  <si>
    <t>CPIDCMB075 Caledonian Maritime Assets Ltd</t>
  </si>
  <si>
    <t>CPIDCMB075</t>
  </si>
  <si>
    <t>CMB075</t>
  </si>
  <si>
    <t>Caledonian Maritime Assets Ltd</t>
  </si>
  <si>
    <t>Scottish Public Corporation</t>
  </si>
  <si>
    <t>CPIDROS075 Registers of Scotland</t>
  </si>
  <si>
    <t>CPIDROS075</t>
  </si>
  <si>
    <t>ROS075</t>
  </si>
  <si>
    <t>Registers of Scotland</t>
  </si>
  <si>
    <t>CPIDSWA075 Scottish Water</t>
  </si>
  <si>
    <t>CPIDSWA075</t>
  </si>
  <si>
    <t>SWA075</t>
  </si>
  <si>
    <t>Scottish Water</t>
  </si>
  <si>
    <t>Depends</t>
  </si>
  <si>
    <t>CPIDIRT813 HM Revenue and Customs taxes and duties</t>
  </si>
  <si>
    <t>CPIDIRT813</t>
  </si>
  <si>
    <t>IRT813</t>
  </si>
  <si>
    <t>HM Revenue and Customs taxes and duties</t>
  </si>
  <si>
    <t>Use for Tax, NI, VAT etc</t>
  </si>
  <si>
    <t>CPIDTPS904 Teachers' Pension Scheme (England &amp; Wales)</t>
  </si>
  <si>
    <t>CPIDTPS904</t>
  </si>
  <si>
    <t>TPS904</t>
  </si>
  <si>
    <t>Teachers' Pension Scheme (England &amp; Wales)</t>
  </si>
  <si>
    <t>CPID Debtor GL</t>
  </si>
  <si>
    <t>CPID Creditor GL</t>
  </si>
  <si>
    <r>
      <t xml:space="preserve">Please simply </t>
    </r>
    <r>
      <rPr>
        <b/>
        <u/>
        <sz val="14"/>
        <color rgb="FF0000FF"/>
        <rFont val="Calibri"/>
        <family val="2"/>
        <scheme val="minor"/>
      </rPr>
      <t>COPY &amp; PASTE</t>
    </r>
    <r>
      <rPr>
        <b/>
        <sz val="11"/>
        <color rgb="FF0000FF"/>
        <rFont val="Calibri"/>
        <family val="2"/>
        <scheme val="minor"/>
      </rPr>
      <t xml:space="preserve"> </t>
    </r>
    <r>
      <rPr>
        <b/>
        <u/>
        <sz val="14"/>
        <color rgb="FF0000FF"/>
        <rFont val="Calibri"/>
        <family val="2"/>
        <scheme val="minor"/>
      </rPr>
      <t>ALL</t>
    </r>
    <r>
      <rPr>
        <b/>
        <sz val="11"/>
        <color rgb="FF0000FF"/>
        <rFont val="Calibri"/>
        <family val="2"/>
        <scheme val="minor"/>
      </rPr>
      <t xml:space="preserve"> the blue text below into your journal TEXT line:</t>
    </r>
  </si>
  <si>
    <t>Name (Search / filter on this cell to find organisation):</t>
  </si>
  <si>
    <t>Type of Related Party</t>
  </si>
  <si>
    <t>CPID Name</t>
  </si>
  <si>
    <t>Use non-CPID GL</t>
  </si>
  <si>
    <t>RELPTY101 Acivico Limited</t>
  </si>
  <si>
    <t>RELPTY101</t>
  </si>
  <si>
    <t>Acivico Limited</t>
  </si>
  <si>
    <t>SUBSIDIARIES</t>
  </si>
  <si>
    <t>RELPTY200 Birmingham Children'S Trust Community Interest Company</t>
  </si>
  <si>
    <t>RELPTY200</t>
  </si>
  <si>
    <t>Birmingham Children'S Trust Community Interest Company</t>
  </si>
  <si>
    <t>RELPTY316 Birmingham City Propco Limited</t>
  </si>
  <si>
    <t>RELPTY316</t>
  </si>
  <si>
    <t>Birmingham City Propco Limited</t>
  </si>
  <si>
    <t>RELPTY172 InReach (Birmingham) Limited</t>
  </si>
  <si>
    <t>RELPTY172</t>
  </si>
  <si>
    <t>InReach (Birmingham) Limited</t>
  </si>
  <si>
    <t>RELPTY152 National Exhibition Centre (Developments) Plc (The)</t>
  </si>
  <si>
    <t>RELPTY152</t>
  </si>
  <si>
    <t>National Exhibition Centre (Developments) Plc (The)</t>
  </si>
  <si>
    <t>RELPTY139 PETPS (Birmingham) Limited</t>
  </si>
  <si>
    <t>RELPTY139</t>
  </si>
  <si>
    <t>PETPS (Birmingham) Limited</t>
  </si>
  <si>
    <t>RELPTY301 PETPS (Birmingham) Pension Funding Scottish Limited Partnership</t>
  </si>
  <si>
    <t>RELPTY301</t>
  </si>
  <si>
    <t>PETPS (Birmingham) Pension Funding Scottish Limited Partnership</t>
  </si>
  <si>
    <t>RELPTY104 Birmingham Airport Holdings Limited</t>
  </si>
  <si>
    <t>RELPTY104</t>
  </si>
  <si>
    <t>Birmingham Airport Holdings Limited</t>
  </si>
  <si>
    <t>ASSOCIATES</t>
  </si>
  <si>
    <t>RELPTY136 Paradise Circus General Partner Limited</t>
  </si>
  <si>
    <t>RELPTY136</t>
  </si>
  <si>
    <t>Paradise Circus General Partner Limited</t>
  </si>
  <si>
    <t>RELPTY315 Acocks Green Village Bid Company Limited</t>
  </si>
  <si>
    <t>RELPTY315</t>
  </si>
  <si>
    <t>Acocks Green Village Bid Company Limited</t>
  </si>
  <si>
    <t>OTHER RELATED PARTIES</t>
  </si>
  <si>
    <t>RELPTY302 Active Wellbeing Society Limited (The)</t>
  </si>
  <si>
    <t>RELPTY302</t>
  </si>
  <si>
    <t>Active Wellbeing Society Limited (The)</t>
  </si>
  <si>
    <t>RELPTY163 Ascension</t>
  </si>
  <si>
    <t>RELPTY163</t>
  </si>
  <si>
    <t>Ascension</t>
  </si>
  <si>
    <t>RELPTY502 Ashley Community Housing (ACH)</t>
  </si>
  <si>
    <t>RELPTY502</t>
  </si>
  <si>
    <t>Ashley Community Housing (ACH)</t>
  </si>
  <si>
    <t>RELPTY164 Auctus Management Group Limited</t>
  </si>
  <si>
    <t>RELPTY164</t>
  </si>
  <si>
    <t>Auctus Management Group Limited</t>
  </si>
  <si>
    <t>RELPTY520 Chamberlain Highbury Trust (The)</t>
  </si>
  <si>
    <t>RELPTY520</t>
  </si>
  <si>
    <t>Chamberlain Highbury Trust (The)</t>
  </si>
  <si>
    <r>
      <rPr>
        <b/>
        <sz val="11"/>
        <color rgb="FF0000CC"/>
        <rFont val="Calibri"/>
        <family val="2"/>
        <scheme val="minor"/>
      </rPr>
      <t>CPIDFTRXTX</t>
    </r>
    <r>
      <rPr>
        <sz val="11"/>
        <color rgb="FF0000CC"/>
        <rFont val="Calibri"/>
        <family val="2"/>
        <scheme val="minor"/>
      </rPr>
      <t xml:space="preserve"> RELPTY102 Birmingham and Solihull Mental Health NHS Foundation Trust</t>
    </r>
  </si>
  <si>
    <t>RELPTY102</t>
  </si>
  <si>
    <t>Birmingham and Solihull Mental Health NHS Foundation Trust (CPID FTRXTX)</t>
  </si>
  <si>
    <t>RELPTY317 Birmingham Citizens Advice Bureau Service Limited</t>
  </si>
  <si>
    <t>RELPTY317</t>
  </si>
  <si>
    <t>Birmingham Citizens Advice Bureau Service Limited</t>
  </si>
  <si>
    <r>
      <rPr>
        <b/>
        <sz val="11"/>
        <color rgb="FF0000CC"/>
        <rFont val="Calibri"/>
        <family val="2"/>
        <scheme val="minor"/>
      </rPr>
      <t>CPIDFTRYWX</t>
    </r>
    <r>
      <rPr>
        <sz val="11"/>
        <color rgb="FF0000CC"/>
        <rFont val="Calibri"/>
        <family val="2"/>
        <scheme val="minor"/>
      </rPr>
      <t xml:space="preserve"> RELPTY105 Birmingham Community Healthcare NHS Foundation Trust</t>
    </r>
  </si>
  <si>
    <t>RELPTY105</t>
  </si>
  <si>
    <t>Birmingham Community Healthcare NHS Foundation Trust General Charity (The) (CPID FTRYWX)</t>
  </si>
  <si>
    <t>RELPTY303 Birmingham Disability Resource Centre</t>
  </si>
  <si>
    <t>RELPTY303</t>
  </si>
  <si>
    <t>Birmingham Disability Resource Centre</t>
  </si>
  <si>
    <t>RELPTY125 Greater Birmingham and WM Brussels Office</t>
  </si>
  <si>
    <t>RELPTY125</t>
  </si>
  <si>
    <t>Greater Birmingham and WM Brussels Office</t>
  </si>
  <si>
    <t>RELPTY173 Jewellery Quarter Development Trust CIC (The)</t>
  </si>
  <si>
    <t>RELPTY173</t>
  </si>
  <si>
    <t>Jewellery Quarter Development Trust CIC (The)</t>
  </si>
  <si>
    <t>RELPTY505 Kingstanding Regeneration Trust</t>
  </si>
  <si>
    <t>RELPTY505</t>
  </si>
  <si>
    <t>Kingstanding Regeneration Trust</t>
  </si>
  <si>
    <t>RELPTY501 Manor Close Residents' Management Organisation</t>
  </si>
  <si>
    <t>RELPTY501</t>
  </si>
  <si>
    <t>Manor Close Residents' Management Organisation</t>
  </si>
  <si>
    <t>RELPTY130 Midlands Arts Centre</t>
  </si>
  <si>
    <t>RELPTY130</t>
  </si>
  <si>
    <t>Midlands Arts Centre</t>
  </si>
  <si>
    <t>RELPTY131 Millennium Point Property Limited</t>
  </si>
  <si>
    <t>RELPTY131</t>
  </si>
  <si>
    <t>Millennium Point Property Limited</t>
  </si>
  <si>
    <t>RELPTY506 National Centre for Conductive Education</t>
  </si>
  <si>
    <t>RELPTY506</t>
  </si>
  <si>
    <t>National Centre for Conductive Education</t>
  </si>
  <si>
    <t>RELPTY308 NEC Pension Trustee Company</t>
  </si>
  <si>
    <t>RELPTY308</t>
  </si>
  <si>
    <t>NEC Pension Trustee Company</t>
  </si>
  <si>
    <t>RELPTY175 Norton Hall Children &amp; Family Centre</t>
  </si>
  <si>
    <t>RELPTY175</t>
  </si>
  <si>
    <t>Norton Hall Children &amp; Family Centre</t>
  </si>
  <si>
    <t>RELPTY137 Performances Birmingham Limited</t>
  </si>
  <si>
    <t>RELPTY137</t>
  </si>
  <si>
    <t>Performances Birmingham Limited</t>
  </si>
  <si>
    <t>RELPTY141 Retail Birmingham Limited</t>
  </si>
  <si>
    <t>RELPTY141</t>
  </si>
  <si>
    <t>Retail Birmingham Limited</t>
  </si>
  <si>
    <t>RELPTY142 Roman Way Estate C.I.C</t>
  </si>
  <si>
    <t>RELPTY142</t>
  </si>
  <si>
    <t>Roman Way Estate C.I.C</t>
  </si>
  <si>
    <r>
      <rPr>
        <b/>
        <sz val="11"/>
        <color rgb="FF0000CC"/>
        <rFont val="Calibri"/>
        <family val="2"/>
        <scheme val="minor"/>
      </rPr>
      <t>CPIDNFTRXK</t>
    </r>
    <r>
      <rPr>
        <sz val="11"/>
        <color rgb="FF0000CC"/>
        <rFont val="Calibri"/>
        <family val="2"/>
        <scheme val="minor"/>
      </rPr>
      <t xml:space="preserve"> RELPTY312 Sandwell and West Birmingham Hospitals NFT</t>
    </r>
  </si>
  <si>
    <t>RELPTY312</t>
  </si>
  <si>
    <t>Sandwell &amp; West Birmingham Hospitals NHST (CPID NFTRXK)</t>
  </si>
  <si>
    <t>RELPTY311 Sandwell College</t>
  </si>
  <si>
    <t>RELPTY311</t>
  </si>
  <si>
    <t>Sandwell College</t>
  </si>
  <si>
    <t>RELPTY313 Sir Josiah Mason Trust</t>
  </si>
  <si>
    <t>RELPTY313</t>
  </si>
  <si>
    <t>Sir Josiah Mason Trust</t>
  </si>
  <si>
    <t>RELPTY147 South and City College Birmingham</t>
  </si>
  <si>
    <t>RELPTY147</t>
  </si>
  <si>
    <t>South and City College Birmingham</t>
  </si>
  <si>
    <t>RELPTY148 Southside Business District Limited</t>
  </si>
  <si>
    <t>RELPTY148</t>
  </si>
  <si>
    <t>Southside Business District Limited</t>
  </si>
  <si>
    <t>RELPTY144 St Basil's</t>
  </si>
  <si>
    <t>RELPTY144</t>
  </si>
  <si>
    <t>St Basil's</t>
  </si>
  <si>
    <t>RELPTY149 St. Paul'S Community Development Trust</t>
  </si>
  <si>
    <t>RELPTY149</t>
  </si>
  <si>
    <t>St. Paul'S Community Development Trust</t>
  </si>
  <si>
    <t>RELPTY151 Sutton Coldfield Town Centre Bid Limited</t>
  </si>
  <si>
    <t>RELPTY151</t>
  </si>
  <si>
    <t>Sutton Coldfield Town Centre Bid Limited</t>
  </si>
  <si>
    <t>RELPTY153 Thompsons Solicitors</t>
  </si>
  <si>
    <t>RELPTY153</t>
  </si>
  <si>
    <t>Thompsons Solicitors</t>
  </si>
  <si>
    <t>RELPTY107 Birmingham LEP Company Limited</t>
  </si>
  <si>
    <t>RELPTY107</t>
  </si>
  <si>
    <t>Birmingham LEP Company Limited</t>
  </si>
  <si>
    <t>RELPTY108 Birmingham Museums Trust</t>
  </si>
  <si>
    <t>RELPTY108</t>
  </si>
  <si>
    <t>Birmingham Museums Trust</t>
  </si>
  <si>
    <r>
      <rPr>
        <b/>
        <sz val="11"/>
        <color rgb="FF0000CC"/>
        <rFont val="Calibri"/>
        <family val="2"/>
        <scheme val="minor"/>
      </rPr>
      <t>CPIDCWG048</t>
    </r>
    <r>
      <rPr>
        <sz val="11"/>
        <color rgb="FF0000CC"/>
        <rFont val="Calibri"/>
        <family val="2"/>
        <scheme val="minor"/>
      </rPr>
      <t xml:space="preserve"> RELPTY300 Birmingham Organising Committee for 2022 Commonwealth Games</t>
    </r>
  </si>
  <si>
    <t>RELPTY300</t>
  </si>
  <si>
    <t>Birmingham Organising Committee For The 2022 Commonwealth Games Ltd (CPID CWG048)</t>
  </si>
  <si>
    <t>RELPTY109 Birmingham Repertory Theatre,Limited(The)</t>
  </si>
  <si>
    <t>RELPTY109</t>
  </si>
  <si>
    <t>Birmingham Repertory Theatre,Limited(The)</t>
  </si>
  <si>
    <t>RELPTY110 Birmingham Royal Ballet</t>
  </si>
  <si>
    <t>RELPTY110</t>
  </si>
  <si>
    <t>Birmingham Royal Ballet</t>
  </si>
  <si>
    <t>RELPTY111 Birmingham Schools SPC Phase 1A</t>
  </si>
  <si>
    <t>RELPTY111</t>
  </si>
  <si>
    <t>Birmingham Schools SPC Phase 1A</t>
  </si>
  <si>
    <t>RELPTY112 Birmingham Schools SPC Phase 1B</t>
  </si>
  <si>
    <t>RELPTY112</t>
  </si>
  <si>
    <t>Birmingham Schools SPC Phase 1B</t>
  </si>
  <si>
    <t>RELPTY304 Birmingham Settlement (The)</t>
  </si>
  <si>
    <t>RELPTY304</t>
  </si>
  <si>
    <t>Birmingham Settlement (The)</t>
  </si>
  <si>
    <t>RELPTY203 Birmingham Venture Capital Limited</t>
  </si>
  <si>
    <t>RELPTY203</t>
  </si>
  <si>
    <t>Birmingham Venture Capital Limited</t>
  </si>
  <si>
    <t>RELPTY113 Birmingham Voluntary Service Council</t>
  </si>
  <si>
    <t>RELPTY113</t>
  </si>
  <si>
    <t>Birmingham Voluntary Service Council</t>
  </si>
  <si>
    <t>RELPTY166 Birmingham Wholesale Market Company Limited</t>
  </si>
  <si>
    <t>RELPTY166</t>
  </si>
  <si>
    <t>Birmingham Wholesale Market Company Limited</t>
  </si>
  <si>
    <r>
      <rPr>
        <b/>
        <sz val="11"/>
        <color rgb="FF0000CC"/>
        <rFont val="Calibri"/>
        <family val="2"/>
        <scheme val="minor"/>
      </rPr>
      <t>CPIDFTRQ3X</t>
    </r>
    <r>
      <rPr>
        <sz val="11"/>
        <color rgb="FF0000CC"/>
        <rFont val="Calibri"/>
        <family val="2"/>
        <scheme val="minor"/>
      </rPr>
      <t xml:space="preserve"> RELPTY305 Birmingham Women's and Children's NHS FT</t>
    </r>
  </si>
  <si>
    <t>RELPTY305</t>
  </si>
  <si>
    <t>Birmingham Women’s and Children’s NHSFT (CPID FTRQ3X)</t>
  </si>
  <si>
    <t>RELPTY504 Black Country Housing Group Ltd.</t>
  </si>
  <si>
    <t>RELPTY504</t>
  </si>
  <si>
    <t>Black Country Housing Group Ltd.</t>
  </si>
  <si>
    <t>RELPTY115 Bloomsbury Estate Management Board</t>
  </si>
  <si>
    <t>RELPTY115</t>
  </si>
  <si>
    <t>Bloomsbury Estate Management Board</t>
  </si>
  <si>
    <t>RELPTY306 Bournville Village Trust</t>
  </si>
  <si>
    <t>RELPTY306</t>
  </si>
  <si>
    <t>Bournville Village Trust</t>
  </si>
  <si>
    <t>RELPTY503 Canal and River Trust</t>
  </si>
  <si>
    <t>RELPTY503</t>
  </si>
  <si>
    <t>Canal and River Trust</t>
  </si>
  <si>
    <t>RELPTY120 City of Birmingham Symphony Orchestra</t>
  </si>
  <si>
    <t>RELPTY120</t>
  </si>
  <si>
    <t>City of Birmingham Symphony Orchestra</t>
  </si>
  <si>
    <t>RELPTY117 Colmore Business District Limited</t>
  </si>
  <si>
    <t>RELPTY117</t>
  </si>
  <si>
    <t>Colmore Business District Limited</t>
  </si>
  <si>
    <t>RELPTY121 Dance Xchange</t>
  </si>
  <si>
    <t>RELPTY121</t>
  </si>
  <si>
    <t>Dance Xchange</t>
  </si>
  <si>
    <t>RELPTY307 E S N Solicitors</t>
  </si>
  <si>
    <t>RELPTY307</t>
  </si>
  <si>
    <t>E S N Solicitors</t>
  </si>
  <si>
    <t>RELPTY124 4 Towers TMO Limited</t>
  </si>
  <si>
    <t>RELPTY124</t>
  </si>
  <si>
    <t>4 Towers TMO Limited</t>
  </si>
  <si>
    <t>RELPTY202 Finance Birmingham Limited</t>
  </si>
  <si>
    <t>RELPTY202</t>
  </si>
  <si>
    <t>Finance Birmingham Limited</t>
  </si>
  <si>
    <t>RELPTY400 Frontier Development Capital Limited</t>
  </si>
  <si>
    <t>RELPTY400</t>
  </si>
  <si>
    <t>Frontier Development Capital Limited</t>
  </si>
  <si>
    <t>RELPTY314 Uk Municipal Bonds Agency Plc</t>
  </si>
  <si>
    <t>RELPTY314</t>
  </si>
  <si>
    <t>Uk Municipal Bonds Agency Plc</t>
  </si>
  <si>
    <r>
      <rPr>
        <b/>
        <sz val="11"/>
        <color rgb="FF0000CC"/>
        <rFont val="Calibri"/>
        <family val="2"/>
        <scheme val="minor"/>
      </rPr>
      <t>CPIDFTRRKX</t>
    </r>
    <r>
      <rPr>
        <sz val="11"/>
        <color rgb="FF0000CC"/>
        <rFont val="Calibri"/>
        <family val="2"/>
        <scheme val="minor"/>
      </rPr>
      <t xml:space="preserve"> RELPTY154 University Hospital Birmingham NHSFT</t>
    </r>
  </si>
  <si>
    <t>RELPTY154</t>
  </si>
  <si>
    <t>University Hospitals Birmingham FT (CPID FTRRKX)</t>
  </si>
  <si>
    <t>RELPTY155 Veolia ES Birmingham Limited</t>
  </si>
  <si>
    <t>RELPTY155</t>
  </si>
  <si>
    <t>Veolia ES Birmingham Limited</t>
  </si>
  <si>
    <t>RELPTY156 Warwickshire County Cricket Club Limited (The)</t>
  </si>
  <si>
    <t>RELPTY156</t>
  </si>
  <si>
    <t>Warwickshire County Cricket Club Limited (The)</t>
  </si>
  <si>
    <r>
      <rPr>
        <b/>
        <sz val="11"/>
        <color rgb="FF0000CC"/>
        <rFont val="Calibri"/>
        <family val="2"/>
        <scheme val="minor"/>
      </rPr>
      <t>CPIDE6346X</t>
    </r>
    <r>
      <rPr>
        <sz val="11"/>
        <color rgb="FF0000CC"/>
        <rFont val="Calibri"/>
        <family val="2"/>
        <scheme val="minor"/>
      </rPr>
      <t xml:space="preserve"> RELPTY118 West Midlands Combined Authority</t>
    </r>
  </si>
  <si>
    <t>RELPTY118</t>
  </si>
  <si>
    <t>West Midlands Combined Authority (CPID E6346X)</t>
  </si>
  <si>
    <t>RELPTY129 West Midlands Growth Company Limited</t>
  </si>
  <si>
    <t>RELPTY129</t>
  </si>
  <si>
    <t>West Midlands Growth Company Limited</t>
  </si>
  <si>
    <t>RELPTY157 Westside Partnership Limited</t>
  </si>
  <si>
    <t>RELPTY157</t>
  </si>
  <si>
    <t>Westside Partnership Limited</t>
  </si>
  <si>
    <t>RELPTY158 Witton Lodge Community Association</t>
  </si>
  <si>
    <t>RELPTY158</t>
  </si>
  <si>
    <t>Witton Lodge Community Association</t>
  </si>
  <si>
    <t>RELPTY159 Yardley Great Trust</t>
  </si>
  <si>
    <t>RELPTY159</t>
  </si>
  <si>
    <t>Yardley Great Trust</t>
  </si>
  <si>
    <r>
      <rPr>
        <b/>
        <sz val="11"/>
        <color rgb="FF0000CC"/>
        <rFont val="Calibri"/>
        <family val="2"/>
        <scheme val="minor"/>
      </rPr>
      <t xml:space="preserve">CPIDCAD022 </t>
    </r>
    <r>
      <rPr>
        <sz val="11"/>
        <color rgb="FF0000CC"/>
        <rFont val="Calibri"/>
        <family val="2"/>
        <scheme val="minor"/>
      </rPr>
      <t>RELPTY160 Acocks Green Primary School Academy</t>
    </r>
  </si>
  <si>
    <t>RELPTY160</t>
  </si>
  <si>
    <t>Acocks Green Primary School Academy</t>
  </si>
  <si>
    <t>ACADEMY SCHOOLS RELATED PARTIES (all use CPID CAD022)</t>
  </si>
  <si>
    <r>
      <rPr>
        <b/>
        <sz val="11"/>
        <color rgb="FF0000CC"/>
        <rFont val="Calibri"/>
        <family val="2"/>
        <scheme val="minor"/>
      </rPr>
      <t>CPIDCAD022</t>
    </r>
    <r>
      <rPr>
        <sz val="11"/>
        <color rgb="FF0000CC"/>
        <rFont val="Calibri"/>
        <family val="2"/>
        <scheme val="minor"/>
      </rPr>
      <t xml:space="preserve"> RELPTY165 Bartley Green School Academy</t>
    </r>
  </si>
  <si>
    <t>RELPTY165</t>
  </si>
  <si>
    <t>Bartley Green School Academy</t>
  </si>
  <si>
    <r>
      <rPr>
        <b/>
        <sz val="11"/>
        <color rgb="FF0000CC"/>
        <rFont val="Calibri"/>
        <family val="2"/>
        <scheme val="minor"/>
      </rPr>
      <t>CPIDCAD022</t>
    </r>
    <r>
      <rPr>
        <sz val="11"/>
        <color rgb="FF0000CC"/>
        <rFont val="Calibri"/>
        <family val="2"/>
        <scheme val="minor"/>
      </rPr>
      <t xml:space="preserve"> RELPTY320 Cottesbrooke Infant &amp; Nursery School Academy</t>
    </r>
  </si>
  <si>
    <t>RELPTY320</t>
  </si>
  <si>
    <t>Cottesbrooke Infant &amp; Nursery School Academy</t>
  </si>
  <si>
    <r>
      <rPr>
        <b/>
        <sz val="11"/>
        <color rgb="FF0000CC"/>
        <rFont val="Calibri"/>
        <family val="2"/>
        <scheme val="minor"/>
      </rPr>
      <t>CPIDCAD022</t>
    </r>
    <r>
      <rPr>
        <sz val="11"/>
        <color rgb="FF0000CC"/>
        <rFont val="Calibri"/>
        <family val="2"/>
        <scheme val="minor"/>
      </rPr>
      <t xml:space="preserve"> RELPTY319 King Edward VI Academy Trust</t>
    </r>
  </si>
  <si>
    <t>RELPTY319</t>
  </si>
  <si>
    <t>King Edward VI Academy Trust</t>
  </si>
  <si>
    <r>
      <rPr>
        <b/>
        <sz val="11"/>
        <color rgb="FF0000CC"/>
        <rFont val="Calibri"/>
        <family val="2"/>
        <scheme val="minor"/>
      </rPr>
      <t>CPIDCAD022</t>
    </r>
    <r>
      <rPr>
        <sz val="11"/>
        <color rgb="FF0000CC"/>
        <rFont val="Calibri"/>
        <family val="2"/>
        <scheme val="minor"/>
      </rPr>
      <t xml:space="preserve"> RELPTY401 St. Michael’s Primary School Academy</t>
    </r>
  </si>
  <si>
    <t>RELPTY401</t>
  </si>
  <si>
    <t>St. Michael’s Primary School Academy</t>
  </si>
  <si>
    <r>
      <rPr>
        <b/>
        <sz val="11"/>
        <color rgb="FF0000CC"/>
        <rFont val="Calibri"/>
        <family val="2"/>
        <scheme val="minor"/>
      </rPr>
      <t xml:space="preserve">CPIDCAD022 </t>
    </r>
    <r>
      <rPr>
        <sz val="11"/>
        <color rgb="FF0000CC"/>
        <rFont val="Calibri"/>
        <family val="2"/>
        <scheme val="minor"/>
      </rPr>
      <t>RELPTY402 Waverley School Academy</t>
    </r>
  </si>
  <si>
    <t>RELPTY402</t>
  </si>
  <si>
    <t>Waverley School Academy</t>
  </si>
  <si>
    <r>
      <rPr>
        <b/>
        <sz val="11"/>
        <color rgb="FF0000CC"/>
        <rFont val="Calibri"/>
        <family val="2"/>
        <scheme val="minor"/>
      </rPr>
      <t>CPIDCAD022</t>
    </r>
    <r>
      <rPr>
        <sz val="11"/>
        <color rgb="FF0000CC"/>
        <rFont val="Calibri"/>
        <family val="2"/>
        <scheme val="minor"/>
      </rPr>
      <t xml:space="preserve"> RELPTY179 Wilson Stuart School Academy</t>
    </r>
  </si>
  <si>
    <t>RELPTY179</t>
  </si>
  <si>
    <t>Wilson Stuart School Academy</t>
  </si>
  <si>
    <r>
      <rPr>
        <b/>
        <sz val="11"/>
        <color rgb="FF0000CC"/>
        <rFont val="Calibri"/>
        <family val="2"/>
        <scheme val="minor"/>
      </rPr>
      <t>CPIDCAD022</t>
    </r>
    <r>
      <rPr>
        <sz val="11"/>
        <color rgb="FF0000CC"/>
        <rFont val="Calibri"/>
        <family val="2"/>
        <scheme val="minor"/>
      </rPr>
      <t xml:space="preserve"> RELPTY403 Yenton Primary School (Academy)</t>
    </r>
  </si>
  <si>
    <t>RELPTY403</t>
  </si>
  <si>
    <t>Yenton Primary School (Academy)</t>
  </si>
  <si>
    <t>RELPTY600 B:Music Ltd</t>
  </si>
  <si>
    <t>RELPTY600</t>
  </si>
  <si>
    <t>B:Music Ltd</t>
  </si>
  <si>
    <t>New in 23-24 list to Directorates</t>
  </si>
  <si>
    <r>
      <rPr>
        <b/>
        <sz val="11"/>
        <color rgb="FF0000CC"/>
        <rFont val="Calibri"/>
        <family val="2"/>
        <scheme val="minor"/>
      </rPr>
      <t>CPIDCAD022</t>
    </r>
    <r>
      <rPr>
        <sz val="11"/>
        <color rgb="FF0000CC"/>
        <rFont val="Calibri"/>
        <family val="2"/>
        <scheme val="minor"/>
      </rPr>
      <t xml:space="preserve"> RELPTY601 Arthur Terry Learning Partnership (The) Academy</t>
    </r>
  </si>
  <si>
    <t>RELPTY601</t>
  </si>
  <si>
    <t>Arthur Terry Learning Partnership (The) Academy</t>
  </si>
  <si>
    <r>
      <rPr>
        <b/>
        <sz val="11"/>
        <color rgb="FF0000CC"/>
        <rFont val="Calibri"/>
        <family val="2"/>
        <scheme val="minor"/>
      </rPr>
      <t>CPIDCAD022</t>
    </r>
    <r>
      <rPr>
        <sz val="11"/>
        <color rgb="FF0000CC"/>
        <rFont val="Calibri"/>
        <family val="2"/>
        <scheme val="minor"/>
      </rPr>
      <t xml:space="preserve"> RELPTY602 Stirchley Primary School Academy</t>
    </r>
  </si>
  <si>
    <t>RELPTY602</t>
  </si>
  <si>
    <t>Stirchley Primary School Academy</t>
  </si>
  <si>
    <r>
      <rPr>
        <b/>
        <sz val="11"/>
        <color rgb="FF0000CC"/>
        <rFont val="Calibri"/>
        <family val="2"/>
        <scheme val="minor"/>
      </rPr>
      <t>CPIDNOTWGA</t>
    </r>
    <r>
      <rPr>
        <sz val="11"/>
        <color rgb="FF0000CC"/>
        <rFont val="Calibri"/>
        <family val="2"/>
        <scheme val="minor"/>
      </rPr>
      <t xml:space="preserve"> RELPTY603 Royal Sutton Coldfield Town Council</t>
    </r>
  </si>
  <si>
    <t>RELPTY603</t>
  </si>
  <si>
    <t>Royal Sutton Coldfield Town Council</t>
  </si>
  <si>
    <r>
      <rPr>
        <b/>
        <sz val="11"/>
        <color rgb="FF0000CC"/>
        <rFont val="Calibri"/>
        <family val="2"/>
        <scheme val="minor"/>
      </rPr>
      <t>CPIDCAD022</t>
    </r>
    <r>
      <rPr>
        <sz val="11"/>
        <color rgb="FF0000CC"/>
        <rFont val="Calibri"/>
        <family val="2"/>
        <scheme val="minor"/>
      </rPr>
      <t xml:space="preserve"> RELPTY604 Stockland Green School Academy</t>
    </r>
  </si>
  <si>
    <t>RELPTY604</t>
  </si>
  <si>
    <t>Stockland Green School Academy</t>
  </si>
  <si>
    <t>RELPTY605 Spitfire Advice And Support Services Ltd</t>
  </si>
  <si>
    <t>RELPTY605</t>
  </si>
  <si>
    <t>Spitfire Advice And Support Services Ltd</t>
  </si>
  <si>
    <r>
      <rPr>
        <b/>
        <sz val="11"/>
        <color rgb="FF0000CC"/>
        <rFont val="Calibri"/>
        <family val="2"/>
        <scheme val="minor"/>
      </rPr>
      <t>CPIDFSA026</t>
    </r>
    <r>
      <rPr>
        <sz val="11"/>
        <color rgb="FF0000CC"/>
        <rFont val="Calibri"/>
        <family val="2"/>
        <scheme val="minor"/>
      </rPr>
      <t xml:space="preserve"> RELPTY606 RELPTY606 Food Standards Agency</t>
    </r>
  </si>
  <si>
    <t>RELPTY606</t>
  </si>
  <si>
    <t>23/24</t>
  </si>
  <si>
    <t>In-year</t>
  </si>
  <si>
    <t>LA</t>
  </si>
  <si>
    <t>Non LA</t>
  </si>
  <si>
    <t>In year</t>
  </si>
  <si>
    <t>closing balance</t>
  </si>
  <si>
    <t>income</t>
  </si>
  <si>
    <t>income R</t>
  </si>
  <si>
    <t xml:space="preserve">per type of accrual </t>
  </si>
  <si>
    <t>DR</t>
  </si>
  <si>
    <t>expenditure</t>
  </si>
  <si>
    <t>expenditure R</t>
  </si>
  <si>
    <t>CR</t>
  </si>
  <si>
    <t>Balance Sheet</t>
  </si>
  <si>
    <t>Cash</t>
  </si>
  <si>
    <t>We need a check to make sure this closing cash balance reflects cash at bank, as we are posting in-year movement</t>
  </si>
  <si>
    <t>Grant Cost Centre</t>
  </si>
  <si>
    <t>check</t>
  </si>
  <si>
    <t>School Cost Centre</t>
  </si>
  <si>
    <t>5A02</t>
  </si>
  <si>
    <t>In year funding on I&amp;E should match ETA4 as schools receiving the cash</t>
  </si>
  <si>
    <t>FTEs</t>
  </si>
  <si>
    <t>Bank account clearing after return submission</t>
  </si>
  <si>
    <t>Main Bank Balance</t>
  </si>
  <si>
    <t>Payroll Bank Balance</t>
  </si>
  <si>
    <r>
      <t xml:space="preserve">Total of Items that cleared </t>
    </r>
    <r>
      <rPr>
        <b/>
        <u/>
        <sz val="11"/>
        <color theme="1"/>
        <rFont val="Calibri"/>
        <family val="2"/>
        <scheme val="minor"/>
      </rPr>
      <t>MAIN</t>
    </r>
    <r>
      <rPr>
        <sz val="11"/>
        <color theme="1"/>
        <rFont val="Calibri"/>
        <family val="2"/>
        <scheme val="minor"/>
      </rPr>
      <t xml:space="preserve"> bank by 31 March 2025</t>
    </r>
  </si>
  <si>
    <r>
      <t xml:space="preserve">Total of Items cleared </t>
    </r>
    <r>
      <rPr>
        <b/>
        <u/>
        <sz val="11"/>
        <color theme="1"/>
        <rFont val="Calibri"/>
        <family val="2"/>
        <scheme val="minor"/>
      </rPr>
      <t>PAYROLL</t>
    </r>
    <r>
      <rPr>
        <sz val="11"/>
        <color theme="1"/>
        <rFont val="Calibri"/>
        <family val="2"/>
        <scheme val="minor"/>
      </rPr>
      <t xml:space="preserve"> bank by 31 March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</si>
</sst>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quot;£&quot;#,##0.00;[Red]\-&quot;£&quot;#,##0.00"/>
    <numFmt numFmtId="44" formatCode="_-&quot;£&quot;* #,##0.00_-;\-&quot;£&quot;* #,##0.00_-;_-&quot;£&quot;* &quot;-&quot;??_-;_-@_-"/>
    <numFmt numFmtId="43" formatCode="_-* #,##0.00_-;\-* #,##0.00_-;_-* &quot;-&quot;??_-;_-@_-"/>
    <numFmt numFmtId="164" formatCode="_-* #,##0_-;\-* #,##0_-;_-* &quot;-&quot;??_-;_-@_-"/>
    <numFmt numFmtId="165" formatCode="#,##0_ ;\(#,##0\);_-* &quot;-&quot;??_-"/>
    <numFmt numFmtId="166" formatCode="#,##0.00;\(#,##0.00\)"/>
    <numFmt numFmtId="167" formatCode="#,##0;\(#,##0\)"/>
    <numFmt numFmtId="168" formatCode="dd\.mm\.yy"/>
    <numFmt numFmtId="169" formatCode="@_)"/>
    <numFmt numFmtId="170" formatCode="#,##0_ ;[Red]\-#,##0\ "/>
    <numFmt numFmtId="171" formatCode="#,##0.00_ ;[Red]\-#,##0.00\ "/>
    <numFmt numFmtId="172" formatCode="#,##0.00;[Red]\(#,##0.00\)"/>
    <numFmt numFmtId="173" formatCode="#,##0.00_ ;[Red]\(#,##0.00\)"/>
    <numFmt numFmtId="174" formatCode="#,##0.00_ ;\(#,##0.00\);_-* &quot;-&quot;??_-"/>
    <numFmt numFmtId="175" formatCode="#,##0_ ;[Red]\(#,##0\)"/>
    <numFmt numFmtId="176" formatCode="#,##0.00;[Red]#,##0.00"/>
    <numFmt numFmtId="177" formatCode="#,##0.00_ ;[Red]\(#,##0.00\)\ "/>
    <numFmt numFmtId="178" formatCode="#,##0_ ;[Red]\(#,##0\)\ "/>
  </numFmts>
  <fonts count="92">
    <font>
      <sz val="11"/>
      <color theme="1"/>
      <name val="Calibri"/>
      <family val="2"/>
      <scheme val="minor"/>
    </font>
    <font>
      <sz val="11"/>
      <color theme="1"/>
      <name val="Calibri"/>
      <family val="2"/>
      <scheme val="minor"/>
    </font>
    <font>
      <b/>
      <sz val="11"/>
      <color theme="1"/>
      <name val="Calibri"/>
      <family val="2"/>
      <scheme val="minor"/>
    </font>
    <font>
      <b/>
      <sz val="11"/>
      <color theme="1"/>
      <name val="Arial"/>
      <family val="2"/>
    </font>
    <font>
      <b/>
      <i/>
      <sz val="11"/>
      <color theme="1"/>
      <name val="Arial"/>
      <family val="2"/>
    </font>
    <font>
      <b/>
      <sz val="9"/>
      <color theme="1"/>
      <name val="Arial"/>
      <family val="2"/>
    </font>
    <font>
      <sz val="9"/>
      <color theme="1"/>
      <name val="Arial"/>
      <family val="2"/>
    </font>
    <font>
      <b/>
      <i/>
      <sz val="9"/>
      <color theme="1"/>
      <name val="Arial"/>
      <family val="2"/>
    </font>
    <font>
      <b/>
      <sz val="14"/>
      <color theme="1"/>
      <name val="Arial"/>
      <family val="2"/>
    </font>
    <font>
      <sz val="8"/>
      <color theme="0"/>
      <name val="Arial"/>
      <family val="2"/>
    </font>
    <font>
      <i/>
      <sz val="9"/>
      <color theme="1"/>
      <name val="Arial"/>
      <family val="2"/>
    </font>
    <font>
      <b/>
      <i/>
      <sz val="9"/>
      <color theme="5" tint="-0.249977111117893"/>
      <name val="Arial"/>
      <family val="2"/>
    </font>
    <font>
      <b/>
      <u/>
      <sz val="9"/>
      <color theme="1"/>
      <name val="Arial"/>
      <family val="2"/>
    </font>
    <font>
      <sz val="11"/>
      <color theme="1"/>
      <name val="Calibri"/>
      <family val="2"/>
    </font>
    <font>
      <b/>
      <sz val="9"/>
      <color rgb="FFFF0000"/>
      <name val="Arial"/>
      <family val="2"/>
    </font>
    <font>
      <i/>
      <sz val="8"/>
      <color theme="1"/>
      <name val="Arial"/>
      <family val="2"/>
    </font>
    <font>
      <sz val="9"/>
      <color indexed="81"/>
      <name val="Tahoma"/>
      <family val="2"/>
    </font>
    <font>
      <b/>
      <sz val="9"/>
      <color indexed="81"/>
      <name val="Tahoma"/>
      <family val="2"/>
    </font>
    <font>
      <sz val="10"/>
      <color indexed="12"/>
      <name val="Myriad Pro"/>
      <family val="2"/>
    </font>
    <font>
      <sz val="10"/>
      <name val="Times New Roman"/>
      <family val="1"/>
    </font>
    <font>
      <b/>
      <u/>
      <sz val="10"/>
      <color theme="1"/>
      <name val="Arial"/>
      <family val="2"/>
    </font>
    <font>
      <b/>
      <sz val="11"/>
      <color rgb="FF000000"/>
      <name val="Calibri"/>
      <family val="2"/>
    </font>
    <font>
      <sz val="10"/>
      <color theme="1"/>
      <name val="Times New Roman"/>
      <family val="1"/>
    </font>
    <font>
      <b/>
      <sz val="10"/>
      <name val="Times New Roman"/>
      <family val="1"/>
    </font>
    <font>
      <b/>
      <sz val="11"/>
      <name val="Tahoma"/>
      <family val="2"/>
    </font>
    <font>
      <sz val="12"/>
      <color theme="1"/>
      <name val="Myriad Pro"/>
      <family val="2"/>
    </font>
    <font>
      <sz val="10"/>
      <name val="Tahoma"/>
      <family val="2"/>
    </font>
    <font>
      <u/>
      <sz val="10"/>
      <color indexed="12"/>
      <name val="Arial"/>
      <family val="2"/>
    </font>
    <font>
      <b/>
      <sz val="12"/>
      <name val="Calibri"/>
      <family val="2"/>
      <scheme val="minor"/>
    </font>
    <font>
      <sz val="12"/>
      <name val="Calibri"/>
      <family val="2"/>
      <scheme val="minor"/>
    </font>
    <font>
      <sz val="12"/>
      <color theme="1"/>
      <name val="Calibri"/>
      <family val="2"/>
      <scheme val="minor"/>
    </font>
    <font>
      <b/>
      <sz val="12"/>
      <name val="Calibri"/>
      <family val="2"/>
    </font>
    <font>
      <sz val="12"/>
      <name val="Calibri"/>
      <family val="2"/>
    </font>
    <font>
      <u/>
      <sz val="12"/>
      <color indexed="12"/>
      <name val="Calibri"/>
      <family val="2"/>
    </font>
    <font>
      <b/>
      <sz val="12"/>
      <color theme="1"/>
      <name val="Calibri"/>
      <family val="2"/>
      <scheme val="minor"/>
    </font>
    <font>
      <sz val="11"/>
      <color theme="1"/>
      <name val="Myriad Pro"/>
      <family val="2"/>
    </font>
    <font>
      <b/>
      <sz val="14"/>
      <color theme="1"/>
      <name val="Myriad Pro"/>
      <family val="2"/>
    </font>
    <font>
      <b/>
      <sz val="10"/>
      <name val="Calibri"/>
      <family val="2"/>
    </font>
    <font>
      <sz val="11"/>
      <color theme="0"/>
      <name val="Calibri"/>
      <family val="2"/>
      <scheme val="minor"/>
    </font>
    <font>
      <sz val="10"/>
      <name val="Arial"/>
      <family val="2"/>
    </font>
    <font>
      <b/>
      <u/>
      <sz val="10"/>
      <color indexed="8"/>
      <name val="Tahoma"/>
      <family val="2"/>
    </font>
    <font>
      <sz val="10"/>
      <name val="Courier"/>
      <family val="3"/>
    </font>
    <font>
      <sz val="10"/>
      <name val="MS Sans Serif"/>
      <family val="2"/>
    </font>
    <font>
      <sz val="11"/>
      <color rgb="FF9C6500"/>
      <name val="Calibri"/>
      <family val="2"/>
      <scheme val="minor"/>
    </font>
    <font>
      <u/>
      <sz val="11"/>
      <color theme="10"/>
      <name val="Calibri"/>
      <family val="2"/>
      <scheme val="minor"/>
    </font>
    <font>
      <b/>
      <sz val="10"/>
      <color theme="0"/>
      <name val="Times New Roman"/>
      <family val="1"/>
    </font>
    <font>
      <sz val="8"/>
      <name val="Calibri"/>
      <family val="2"/>
      <scheme val="minor"/>
    </font>
    <font>
      <b/>
      <u/>
      <sz val="11"/>
      <color theme="1"/>
      <name val="Calibri"/>
      <family val="2"/>
      <scheme val="minor"/>
    </font>
    <font>
      <sz val="8"/>
      <color theme="1"/>
      <name val="Arial"/>
      <family val="2"/>
    </font>
    <font>
      <sz val="10"/>
      <color theme="1"/>
      <name val="Myriad Pro"/>
      <family val="2"/>
    </font>
    <font>
      <sz val="10"/>
      <color theme="1"/>
      <name val="Calibri"/>
      <family val="2"/>
      <scheme val="minor"/>
    </font>
    <font>
      <b/>
      <sz val="10"/>
      <color theme="1"/>
      <name val="Times New Roman"/>
      <family val="1"/>
    </font>
    <font>
      <b/>
      <sz val="11"/>
      <name val="Calibri"/>
      <family val="2"/>
      <scheme val="minor"/>
    </font>
    <font>
      <b/>
      <sz val="10"/>
      <color indexed="9"/>
      <name val="Arial"/>
      <family val="2"/>
    </font>
    <font>
      <b/>
      <sz val="11"/>
      <color theme="1"/>
      <name val="Myriad Pro"/>
    </font>
    <font>
      <sz val="12"/>
      <color rgb="FF000000"/>
      <name val="Myriad Pro"/>
    </font>
    <font>
      <b/>
      <sz val="12"/>
      <color rgb="FF000000"/>
      <name val="Myriad Pro"/>
    </font>
    <font>
      <b/>
      <sz val="10"/>
      <color theme="0"/>
      <name val="Arial"/>
      <family val="2"/>
    </font>
    <font>
      <sz val="10"/>
      <color theme="0"/>
      <name val="Arial"/>
      <family val="2"/>
    </font>
    <font>
      <sz val="10"/>
      <color theme="1"/>
      <name val="Arial"/>
      <family val="2"/>
    </font>
    <font>
      <b/>
      <sz val="10"/>
      <color theme="1"/>
      <name val="Arial"/>
      <family val="2"/>
    </font>
    <font>
      <sz val="12"/>
      <color rgb="FF000000"/>
      <name val="Myriad Pro"/>
      <family val="2"/>
    </font>
    <font>
      <b/>
      <i/>
      <sz val="10"/>
      <color theme="1"/>
      <name val="Arial"/>
      <family val="2"/>
    </font>
    <font>
      <b/>
      <sz val="10"/>
      <name val="Arial"/>
      <family val="2"/>
    </font>
    <font>
      <sz val="12"/>
      <color theme="0"/>
      <name val="Myriad Pro"/>
      <family val="2"/>
    </font>
    <font>
      <sz val="11"/>
      <color theme="1"/>
      <name val="Arial"/>
      <family val="2"/>
    </font>
    <font>
      <b/>
      <sz val="11"/>
      <color theme="0"/>
      <name val="Arial"/>
      <family val="2"/>
    </font>
    <font>
      <b/>
      <sz val="12"/>
      <color theme="0"/>
      <name val="Myriad Pro"/>
    </font>
    <font>
      <b/>
      <sz val="10"/>
      <color theme="0"/>
      <name val="Myriad Pro"/>
    </font>
    <font>
      <b/>
      <i/>
      <sz val="10"/>
      <name val="Arial"/>
      <family val="2"/>
    </font>
    <font>
      <b/>
      <sz val="10"/>
      <color theme="0"/>
      <name val="Myriad Pro"/>
      <family val="2"/>
    </font>
    <font>
      <b/>
      <sz val="11"/>
      <color rgb="FF0000FF"/>
      <name val="Calibri"/>
      <family val="2"/>
      <scheme val="minor"/>
    </font>
    <font>
      <sz val="11"/>
      <name val="Calibri"/>
      <family val="2"/>
      <scheme val="minor"/>
    </font>
    <font>
      <sz val="14"/>
      <name val="Arial"/>
      <family val="2"/>
    </font>
    <font>
      <b/>
      <sz val="11"/>
      <color rgb="FFFF0000"/>
      <name val="Calibri"/>
      <family val="2"/>
      <scheme val="minor"/>
    </font>
    <font>
      <sz val="11"/>
      <color rgb="FF000000"/>
      <name val="Calibri"/>
      <family val="2"/>
      <scheme val="minor"/>
    </font>
    <font>
      <b/>
      <u/>
      <sz val="14"/>
      <color rgb="FF0000FF"/>
      <name val="Calibri"/>
      <family val="2"/>
      <scheme val="minor"/>
    </font>
    <font>
      <b/>
      <i/>
      <sz val="11"/>
      <color theme="1"/>
      <name val="Calibri"/>
      <family val="2"/>
      <scheme val="minor"/>
    </font>
    <font>
      <sz val="9"/>
      <name val="Calibri"/>
      <family val="2"/>
      <scheme val="minor"/>
    </font>
    <font>
      <sz val="11"/>
      <color rgb="FF0000CC"/>
      <name val="Calibri"/>
      <family val="2"/>
      <scheme val="minor"/>
    </font>
    <font>
      <b/>
      <sz val="11"/>
      <color rgb="FF0000CC"/>
      <name val="Calibri"/>
      <family val="2"/>
      <scheme val="minor"/>
    </font>
    <font>
      <i/>
      <sz val="10"/>
      <color theme="1"/>
      <name val="Arial"/>
      <family val="2"/>
    </font>
    <font>
      <b/>
      <i/>
      <sz val="9"/>
      <color rgb="FFFF0000"/>
      <name val="Arial"/>
      <family val="2"/>
    </font>
    <font>
      <b/>
      <sz val="10"/>
      <color rgb="FFFF0000"/>
      <name val="Arial"/>
      <family val="2"/>
    </font>
    <font>
      <b/>
      <sz val="11"/>
      <color theme="0"/>
      <name val="Calibri"/>
      <family val="2"/>
      <scheme val="minor"/>
    </font>
    <font>
      <b/>
      <sz val="11"/>
      <color theme="0"/>
      <name val="Myriad Pro"/>
      <family val="2"/>
    </font>
    <font>
      <b/>
      <sz val="12"/>
      <color theme="0"/>
      <name val="Calibri"/>
      <family val="2"/>
      <scheme val="minor"/>
    </font>
    <font>
      <b/>
      <sz val="10"/>
      <name val="Tahoma"/>
      <family val="2"/>
    </font>
    <font>
      <b/>
      <sz val="10"/>
      <color rgb="FFFF0000"/>
      <name val="Tahoma"/>
      <family val="2"/>
    </font>
    <font>
      <b/>
      <i/>
      <sz val="10"/>
      <color rgb="FFFF0000"/>
      <name val="Arial"/>
      <family val="2"/>
    </font>
    <font>
      <sz val="10"/>
      <color theme="1"/>
      <name val="Myriad Pro"/>
    </font>
    <font>
      <b/>
      <i/>
      <sz val="11"/>
      <color rgb="FFFF0000"/>
      <name val="Calibri"/>
      <family val="2"/>
      <scheme val="minor"/>
    </font>
  </fonts>
  <fills count="32">
    <fill>
      <patternFill patternType="none"/>
    </fill>
    <fill>
      <patternFill patternType="gray125"/>
    </fill>
    <fill>
      <patternFill patternType="solid">
        <fgColor theme="6" tint="0.79998168889431442"/>
        <bgColor indexed="64"/>
      </patternFill>
    </fill>
    <fill>
      <patternFill patternType="solid">
        <fgColor rgb="FFFFFFCC"/>
        <bgColor indexed="64"/>
      </patternFill>
    </fill>
    <fill>
      <patternFill patternType="solid">
        <fgColor theme="0" tint="-0.249977111117893"/>
        <bgColor indexed="64"/>
      </patternFill>
    </fill>
    <fill>
      <patternFill patternType="lightGray"/>
    </fill>
    <fill>
      <patternFill patternType="solid">
        <fgColor theme="0"/>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92D050"/>
        <bgColor indexed="64"/>
      </patternFill>
    </fill>
    <fill>
      <patternFill patternType="solid">
        <fgColor theme="7" tint="0.59999389629810485"/>
        <bgColor indexed="64"/>
      </patternFill>
    </fill>
    <fill>
      <patternFill patternType="solid">
        <fgColor rgb="FFFFEB9C"/>
      </patternFill>
    </fill>
    <fill>
      <patternFill patternType="solid">
        <fgColor theme="0" tint="-0.14999847407452621"/>
        <bgColor theme="0" tint="-0.14999847407452621"/>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23"/>
        <bgColor indexed="64"/>
      </patternFill>
    </fill>
    <fill>
      <patternFill patternType="solid">
        <fgColor rgb="FFD00070"/>
        <bgColor indexed="64"/>
      </patternFill>
    </fill>
    <fill>
      <patternFill patternType="solid">
        <fgColor rgb="FFFFCCFF"/>
        <bgColor indexed="64"/>
      </patternFill>
    </fill>
    <fill>
      <patternFill patternType="solid">
        <fgColor theme="9" tint="0.59999389629810485"/>
        <bgColor indexed="64"/>
      </patternFill>
    </fill>
    <fill>
      <patternFill patternType="solid">
        <fgColor rgb="FFCAEDFB"/>
        <bgColor indexed="64"/>
      </patternFill>
    </fill>
    <fill>
      <patternFill patternType="solid">
        <fgColor rgb="FFCAEDFB"/>
        <bgColor theme="0" tint="-0.14999847407452621"/>
      </patternFill>
    </fill>
    <fill>
      <patternFill patternType="solid">
        <fgColor indexed="40"/>
        <bgColor indexed="64"/>
      </patternFill>
    </fill>
    <fill>
      <patternFill patternType="solid">
        <fgColor indexed="9"/>
        <bgColor indexed="64"/>
      </patternFill>
    </fill>
    <fill>
      <patternFill patternType="solid">
        <fgColor theme="1"/>
        <bgColor indexed="64"/>
      </patternFill>
    </fill>
  </fills>
  <borders count="8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style="thin">
        <color indexed="64"/>
      </bottom>
      <diagonal/>
    </border>
    <border>
      <left/>
      <right/>
      <top style="dotted">
        <color auto="1"/>
      </top>
      <bottom style="dotted">
        <color auto="1"/>
      </bottom>
      <diagonal/>
    </border>
    <border>
      <left style="thin">
        <color indexed="64"/>
      </left>
      <right/>
      <top style="thin">
        <color indexed="64"/>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thin">
        <color theme="0" tint="-0.499984740745262"/>
      </top>
      <bottom style="medium">
        <color indexed="64"/>
      </bottom>
      <diagonal/>
    </border>
    <border>
      <left style="medium">
        <color indexed="64"/>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medium">
        <color indexed="64"/>
      </right>
      <top style="medium">
        <color indexed="64"/>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indexed="64"/>
      </top>
      <bottom style="medium">
        <color indexed="64"/>
      </bottom>
      <diagonal/>
    </border>
  </borders>
  <cellStyleXfs count="33">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27" fillId="0" borderId="0" applyNumberFormat="0" applyFill="0" applyBorder="0" applyAlignment="0" applyProtection="0">
      <alignment vertical="top"/>
      <protection locked="0"/>
    </xf>
    <xf numFmtId="43" fontId="1" fillId="0" borderId="0" applyFont="0" applyFill="0" applyBorder="0" applyAlignment="0" applyProtection="0"/>
    <xf numFmtId="0" fontId="39" fillId="0" borderId="0"/>
    <xf numFmtId="43" fontId="39" fillId="0" borderId="0" applyFont="0" applyFill="0" applyBorder="0" applyAlignment="0" applyProtection="0"/>
    <xf numFmtId="1" fontId="40" fillId="0" borderId="0"/>
    <xf numFmtId="0" fontId="39" fillId="0" borderId="0" applyBorder="0"/>
    <xf numFmtId="39" fontId="41" fillId="0" borderId="0"/>
    <xf numFmtId="40" fontId="42" fillId="0" borderId="0" applyFont="0" applyFill="0" applyBorder="0" applyAlignment="0" applyProtection="0"/>
    <xf numFmtId="0" fontId="39" fillId="0" borderId="0"/>
    <xf numFmtId="43" fontId="39" fillId="0" borderId="0" applyFont="0" applyFill="0" applyBorder="0" applyAlignment="0" applyProtection="0"/>
    <xf numFmtId="43" fontId="39" fillId="0" borderId="0" applyFont="0" applyFill="0" applyBorder="0" applyAlignment="0" applyProtection="0"/>
    <xf numFmtId="0" fontId="43" fillId="18" borderId="0" applyNumberFormat="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0" fontId="39" fillId="0" borderId="0"/>
    <xf numFmtId="43" fontId="39" fillId="0" borderId="0" applyFont="0" applyFill="0" applyBorder="0" applyAlignment="0" applyProtection="0"/>
    <xf numFmtId="43" fontId="39" fillId="0" borderId="0" applyFont="0" applyFill="0" applyBorder="0" applyAlignment="0" applyProtection="0"/>
    <xf numFmtId="3" fontId="53" fillId="23" borderId="9" applyProtection="0">
      <alignment vertical="center"/>
    </xf>
    <xf numFmtId="0" fontId="39" fillId="0" borderId="9" applyNumberFormat="0" applyFont="0" applyFill="0" applyAlignment="0" applyProtection="0">
      <alignment vertical="center"/>
    </xf>
    <xf numFmtId="0" fontId="39" fillId="0" borderId="0"/>
    <xf numFmtId="0" fontId="73" fillId="0" borderId="0"/>
    <xf numFmtId="0" fontId="39" fillId="0" borderId="0"/>
    <xf numFmtId="0" fontId="87" fillId="29" borderId="61"/>
    <xf numFmtId="0" fontId="87" fillId="29" borderId="61">
      <alignment horizontal="right" wrapText="1"/>
    </xf>
    <xf numFmtId="0" fontId="87" fillId="29" borderId="61">
      <alignment horizontal="left" wrapText="1"/>
    </xf>
    <xf numFmtId="49" fontId="26" fillId="30" borderId="61"/>
    <xf numFmtId="4" fontId="26" fillId="30" borderId="61"/>
  </cellStyleXfs>
  <cellXfs count="908">
    <xf numFmtId="0" fontId="0" fillId="0" borderId="0" xfId="0"/>
    <xf numFmtId="0" fontId="3" fillId="0" borderId="0" xfId="0" applyFont="1"/>
    <xf numFmtId="49" fontId="4" fillId="0" borderId="0" xfId="0" applyNumberFormat="1" applyFont="1"/>
    <xf numFmtId="49" fontId="4" fillId="3" borderId="0" xfId="0" applyNumberFormat="1" applyFont="1" applyFill="1"/>
    <xf numFmtId="0" fontId="3" fillId="0" borderId="1" xfId="0" applyFont="1" applyBorder="1"/>
    <xf numFmtId="0" fontId="3" fillId="0" borderId="2" xfId="0" applyFont="1" applyBorder="1"/>
    <xf numFmtId="0" fontId="3" fillId="0" borderId="3" xfId="0" applyFont="1" applyBorder="1"/>
    <xf numFmtId="0" fontId="5" fillId="0" borderId="0" xfId="0" applyFont="1"/>
    <xf numFmtId="0" fontId="5" fillId="0" borderId="3" xfId="0" applyFont="1" applyBorder="1"/>
    <xf numFmtId="0" fontId="6" fillId="0" borderId="0" xfId="0" applyFont="1"/>
    <xf numFmtId="164" fontId="5" fillId="4" borderId="9" xfId="1" applyNumberFormat="1" applyFont="1" applyFill="1" applyBorder="1" applyAlignment="1">
      <alignment horizontal="center" vertical="center" wrapText="1"/>
    </xf>
    <xf numFmtId="49" fontId="7" fillId="0" borderId="0" xfId="0" applyNumberFormat="1" applyFont="1" applyAlignment="1">
      <alignment horizontal="center"/>
    </xf>
    <xf numFmtId="0" fontId="6" fillId="0" borderId="3" xfId="0" applyFont="1" applyBorder="1"/>
    <xf numFmtId="0" fontId="5" fillId="0" borderId="11" xfId="0" applyFont="1" applyBorder="1"/>
    <xf numFmtId="164" fontId="5" fillId="0" borderId="11" xfId="1" applyNumberFormat="1" applyFont="1" applyBorder="1" applyAlignment="1">
      <alignment horizontal="center" vertical="center" wrapText="1"/>
    </xf>
    <xf numFmtId="165" fontId="5" fillId="4" borderId="9" xfId="1" applyNumberFormat="1" applyFont="1" applyFill="1" applyBorder="1" applyAlignment="1">
      <alignment horizontal="right"/>
    </xf>
    <xf numFmtId="165" fontId="5" fillId="4" borderId="9" xfId="1" applyNumberFormat="1" applyFont="1" applyFill="1" applyBorder="1"/>
    <xf numFmtId="164" fontId="5" fillId="4" borderId="9" xfId="1" applyNumberFormat="1" applyFont="1" applyFill="1" applyBorder="1"/>
    <xf numFmtId="49" fontId="10" fillId="0" borderId="0" xfId="0" applyNumberFormat="1" applyFont="1"/>
    <xf numFmtId="49" fontId="6" fillId="0" borderId="3" xfId="0" applyNumberFormat="1" applyFont="1" applyBorder="1"/>
    <xf numFmtId="0" fontId="5" fillId="0" borderId="15" xfId="0" applyFont="1" applyBorder="1"/>
    <xf numFmtId="4" fontId="5" fillId="0" borderId="15" xfId="1" applyNumberFormat="1" applyFont="1" applyBorder="1"/>
    <xf numFmtId="0" fontId="6" fillId="0" borderId="13" xfId="0" applyFont="1" applyBorder="1"/>
    <xf numFmtId="165" fontId="6" fillId="0" borderId="15" xfId="1" applyNumberFormat="1" applyFont="1" applyBorder="1"/>
    <xf numFmtId="165" fontId="6" fillId="3" borderId="15" xfId="1" applyNumberFormat="1" applyFont="1" applyFill="1" applyBorder="1" applyProtection="1">
      <protection locked="0"/>
    </xf>
    <xf numFmtId="9" fontId="6" fillId="0" borderId="15" xfId="2" applyFont="1" applyBorder="1"/>
    <xf numFmtId="165" fontId="6" fillId="0" borderId="0" xfId="1" applyNumberFormat="1" applyFont="1"/>
    <xf numFmtId="0" fontId="6" fillId="0" borderId="15" xfId="0" applyFont="1" applyBorder="1"/>
    <xf numFmtId="4" fontId="6" fillId="0" borderId="15" xfId="1" applyNumberFormat="1" applyFont="1" applyBorder="1"/>
    <xf numFmtId="0" fontId="6" fillId="0" borderId="16" xfId="0" applyFont="1" applyBorder="1"/>
    <xf numFmtId="0" fontId="6" fillId="0" borderId="11" xfId="0" applyFont="1" applyBorder="1"/>
    <xf numFmtId="4" fontId="5" fillId="0" borderId="11" xfId="1" applyNumberFormat="1" applyFont="1" applyBorder="1"/>
    <xf numFmtId="0" fontId="6" fillId="0" borderId="17" xfId="0" applyFont="1" applyBorder="1"/>
    <xf numFmtId="4" fontId="5" fillId="0" borderId="17" xfId="1" applyNumberFormat="1" applyFont="1" applyBorder="1"/>
    <xf numFmtId="164" fontId="6" fillId="0" borderId="15" xfId="1" applyNumberFormat="1" applyFont="1" applyBorder="1"/>
    <xf numFmtId="164" fontId="5" fillId="0" borderId="15" xfId="1" applyNumberFormat="1" applyFont="1" applyBorder="1"/>
    <xf numFmtId="164" fontId="6" fillId="0" borderId="0" xfId="1" applyNumberFormat="1" applyFont="1"/>
    <xf numFmtId="4" fontId="6" fillId="0" borderId="15" xfId="0" applyNumberFormat="1" applyFont="1" applyBorder="1"/>
    <xf numFmtId="0" fontId="6" fillId="0" borderId="13" xfId="0" applyFont="1" applyBorder="1" applyAlignment="1">
      <alignment horizontal="center" wrapText="1"/>
    </xf>
    <xf numFmtId="0" fontId="5" fillId="0" borderId="13" xfId="0" applyFont="1" applyBorder="1"/>
    <xf numFmtId="0" fontId="5" fillId="0" borderId="18" xfId="0" applyFont="1" applyBorder="1"/>
    <xf numFmtId="4" fontId="5" fillId="0" borderId="18" xfId="1" applyNumberFormat="1" applyFont="1" applyBorder="1"/>
    <xf numFmtId="165" fontId="6" fillId="6" borderId="15" xfId="1" applyNumberFormat="1" applyFont="1" applyFill="1" applyBorder="1"/>
    <xf numFmtId="164" fontId="6" fillId="0" borderId="11" xfId="1" applyNumberFormat="1" applyFont="1" applyBorder="1"/>
    <xf numFmtId="0" fontId="5" fillId="0" borderId="0" xfId="3" applyFont="1"/>
    <xf numFmtId="166" fontId="5" fillId="0" borderId="0" xfId="3" applyNumberFormat="1" applyFont="1"/>
    <xf numFmtId="166" fontId="6" fillId="0" borderId="0" xfId="3" applyNumberFormat="1" applyFont="1"/>
    <xf numFmtId="0" fontId="12" fillId="0" borderId="0" xfId="3" applyFont="1"/>
    <xf numFmtId="0" fontId="5" fillId="7" borderId="9" xfId="3" applyFont="1" applyFill="1" applyBorder="1"/>
    <xf numFmtId="165" fontId="6" fillId="3" borderId="9" xfId="1" applyNumberFormat="1" applyFont="1" applyFill="1" applyBorder="1" applyProtection="1">
      <protection locked="0"/>
    </xf>
    <xf numFmtId="165" fontId="6" fillId="0" borderId="15" xfId="1" applyNumberFormat="1" applyFont="1" applyBorder="1" applyProtection="1">
      <protection locked="0"/>
    </xf>
    <xf numFmtId="0" fontId="13" fillId="0" borderId="0" xfId="3" applyFont="1"/>
    <xf numFmtId="0" fontId="6" fillId="0" borderId="9" xfId="3" applyFont="1" applyBorder="1"/>
    <xf numFmtId="165" fontId="5" fillId="0" borderId="15" xfId="1" applyNumberFormat="1" applyFont="1" applyBorder="1"/>
    <xf numFmtId="165" fontId="6" fillId="8" borderId="9" xfId="1" applyNumberFormat="1" applyFont="1" applyFill="1" applyBorder="1"/>
    <xf numFmtId="0" fontId="5" fillId="0" borderId="11" xfId="3" applyFont="1" applyBorder="1"/>
    <xf numFmtId="0" fontId="5" fillId="7" borderId="9" xfId="3" applyFont="1" applyFill="1" applyBorder="1" applyAlignment="1">
      <alignment wrapText="1"/>
    </xf>
    <xf numFmtId="167" fontId="5" fillId="7" borderId="9" xfId="3" applyNumberFormat="1" applyFont="1" applyFill="1" applyBorder="1"/>
    <xf numFmtId="165" fontId="6" fillId="0" borderId="16" xfId="1" applyNumberFormat="1" applyFont="1" applyBorder="1" applyProtection="1">
      <protection locked="0"/>
    </xf>
    <xf numFmtId="49" fontId="7" fillId="0" borderId="0" xfId="0" applyNumberFormat="1" applyFont="1"/>
    <xf numFmtId="166" fontId="5" fillId="4" borderId="9" xfId="3" applyNumberFormat="1" applyFont="1" applyFill="1" applyBorder="1"/>
    <xf numFmtId="166" fontId="10" fillId="4" borderId="9" xfId="3" applyNumberFormat="1" applyFont="1" applyFill="1" applyBorder="1" applyAlignment="1">
      <alignment wrapText="1"/>
    </xf>
    <xf numFmtId="166" fontId="10" fillId="4" borderId="9" xfId="3" applyNumberFormat="1" applyFont="1" applyFill="1" applyBorder="1"/>
    <xf numFmtId="14" fontId="5" fillId="4" borderId="9" xfId="3" applyNumberFormat="1" applyFont="1" applyFill="1" applyBorder="1"/>
    <xf numFmtId="0" fontId="5" fillId="4" borderId="9" xfId="3" applyFont="1" applyFill="1" applyBorder="1"/>
    <xf numFmtId="0" fontId="6" fillId="0" borderId="0" xfId="0" applyFont="1" applyProtection="1">
      <protection locked="0"/>
    </xf>
    <xf numFmtId="164" fontId="6" fillId="0" borderId="0" xfId="1" applyNumberFormat="1" applyFont="1" applyProtection="1">
      <protection locked="0"/>
    </xf>
    <xf numFmtId="0" fontId="6" fillId="6" borderId="0" xfId="0" applyFont="1" applyFill="1" applyProtection="1">
      <protection locked="0"/>
    </xf>
    <xf numFmtId="0" fontId="6" fillId="0" borderId="13" xfId="0" applyFont="1" applyBorder="1" applyAlignment="1" applyProtection="1">
      <alignment wrapText="1"/>
      <protection locked="0"/>
    </xf>
    <xf numFmtId="0" fontId="5" fillId="0" borderId="0" xfId="0" applyFont="1" applyAlignment="1" applyProtection="1">
      <alignment horizontal="left" wrapText="1"/>
      <protection locked="0"/>
    </xf>
    <xf numFmtId="0" fontId="10" fillId="0" borderId="0" xfId="0" applyFont="1" applyProtection="1">
      <protection locked="0"/>
    </xf>
    <xf numFmtId="0" fontId="6" fillId="0" borderId="0" xfId="0" applyFont="1" applyAlignment="1">
      <alignment wrapText="1"/>
    </xf>
    <xf numFmtId="0" fontId="0" fillId="0" borderId="0" xfId="0" applyAlignment="1">
      <alignment horizontal="center"/>
    </xf>
    <xf numFmtId="0" fontId="2" fillId="10" borderId="0" xfId="0" applyFont="1" applyFill="1"/>
    <xf numFmtId="0" fontId="0" fillId="10" borderId="0" xfId="0" applyFill="1"/>
    <xf numFmtId="0" fontId="2" fillId="10" borderId="0" xfId="0" applyFont="1" applyFill="1" applyAlignment="1">
      <alignment horizontal="left"/>
    </xf>
    <xf numFmtId="0" fontId="2" fillId="0" borderId="0" xfId="0" applyFont="1"/>
    <xf numFmtId="0" fontId="19" fillId="0" borderId="0" xfId="0" applyFont="1" applyAlignment="1">
      <alignment vertical="center"/>
    </xf>
    <xf numFmtId="0" fontId="18" fillId="0" borderId="0" xfId="0" applyFont="1" applyAlignment="1">
      <alignment vertical="center"/>
    </xf>
    <xf numFmtId="0" fontId="20" fillId="0" borderId="7" xfId="0" applyFont="1" applyBorder="1" applyAlignment="1">
      <alignment vertical="center"/>
    </xf>
    <xf numFmtId="0" fontId="21" fillId="0" borderId="7" xfId="0" applyFont="1" applyBorder="1" applyAlignment="1">
      <alignment vertical="center"/>
    </xf>
    <xf numFmtId="0" fontId="21" fillId="0" borderId="7" xfId="0" applyFont="1" applyBorder="1" applyAlignment="1">
      <alignment horizontal="center" vertical="center"/>
    </xf>
    <xf numFmtId="0" fontId="22" fillId="0" borderId="0" xfId="0" applyFont="1"/>
    <xf numFmtId="0" fontId="21" fillId="0" borderId="0" xfId="0" applyFont="1" applyAlignment="1">
      <alignment horizontal="center" vertical="center"/>
    </xf>
    <xf numFmtId="0" fontId="0" fillId="3" borderId="0" xfId="0" applyFill="1"/>
    <xf numFmtId="14" fontId="0" fillId="3" borderId="9" xfId="0" applyNumberFormat="1" applyFill="1" applyBorder="1" applyProtection="1">
      <protection locked="0"/>
    </xf>
    <xf numFmtId="14" fontId="0" fillId="0" borderId="0" xfId="0" applyNumberFormat="1"/>
    <xf numFmtId="0" fontId="0" fillId="0" borderId="0" xfId="0" applyAlignment="1">
      <alignment wrapText="1"/>
    </xf>
    <xf numFmtId="165" fontId="6" fillId="0" borderId="9" xfId="1" applyNumberFormat="1" applyFont="1" applyBorder="1"/>
    <xf numFmtId="0" fontId="23" fillId="0" borderId="0" xfId="0" applyFont="1" applyAlignment="1">
      <alignment vertical="center"/>
    </xf>
    <xf numFmtId="0" fontId="19" fillId="0" borderId="0" xfId="0" applyFont="1" applyAlignment="1">
      <alignment horizontal="center" vertical="center"/>
    </xf>
    <xf numFmtId="0" fontId="25" fillId="0" borderId="0" xfId="0" applyFont="1" applyAlignment="1">
      <alignment horizontal="justify" vertical="center"/>
    </xf>
    <xf numFmtId="0" fontId="26" fillId="0" borderId="0" xfId="0" quotePrefix="1" applyFont="1" applyAlignment="1">
      <alignment horizontal="center" vertical="top" readingOrder="1"/>
    </xf>
    <xf numFmtId="0" fontId="26" fillId="0" borderId="0" xfId="0" applyFont="1" applyAlignment="1">
      <alignment horizontal="center" vertical="top" readingOrder="1"/>
    </xf>
    <xf numFmtId="43" fontId="0" fillId="0" borderId="0" xfId="1" applyFont="1"/>
    <xf numFmtId="0" fontId="28" fillId="0" borderId="0" xfId="0" applyFont="1"/>
    <xf numFmtId="0" fontId="29" fillId="0" borderId="0" xfId="0" applyFont="1"/>
    <xf numFmtId="0" fontId="30" fillId="0" borderId="0" xfId="0" applyFont="1"/>
    <xf numFmtId="170" fontId="31" fillId="12" borderId="9" xfId="0" applyNumberFormat="1" applyFont="1" applyFill="1" applyBorder="1" applyAlignment="1">
      <alignment horizontal="center" vertical="center" wrapText="1"/>
    </xf>
    <xf numFmtId="170" fontId="31" fillId="10" borderId="9" xfId="0" applyNumberFormat="1" applyFont="1" applyFill="1" applyBorder="1" applyAlignment="1">
      <alignment horizontal="center" vertical="center" wrapText="1"/>
    </xf>
    <xf numFmtId="0" fontId="32" fillId="15" borderId="9" xfId="0" applyFont="1" applyFill="1" applyBorder="1" applyAlignment="1">
      <alignment horizontal="center"/>
    </xf>
    <xf numFmtId="0" fontId="32" fillId="3" borderId="9" xfId="0" applyFont="1" applyFill="1" applyBorder="1" applyAlignment="1">
      <alignment horizontal="center"/>
    </xf>
    <xf numFmtId="0" fontId="32" fillId="16" borderId="0" xfId="0" applyFont="1" applyFill="1" applyAlignment="1">
      <alignment horizontal="center"/>
    </xf>
    <xf numFmtId="0" fontId="32" fillId="0" borderId="0" xfId="0" applyFont="1" applyAlignment="1">
      <alignment horizontal="center"/>
    </xf>
    <xf numFmtId="0" fontId="31" fillId="10" borderId="18" xfId="0" applyFont="1" applyFill="1" applyBorder="1" applyAlignment="1">
      <alignment horizontal="center" vertical="center" wrapText="1"/>
    </xf>
    <xf numFmtId="170" fontId="31" fillId="9" borderId="18" xfId="0" applyNumberFormat="1" applyFont="1" applyFill="1" applyBorder="1" applyAlignment="1">
      <alignment horizontal="center" vertical="center" wrapText="1"/>
    </xf>
    <xf numFmtId="170" fontId="31" fillId="11" borderId="18" xfId="0" applyNumberFormat="1" applyFont="1" applyFill="1" applyBorder="1" applyAlignment="1">
      <alignment horizontal="center" vertical="center" wrapText="1"/>
    </xf>
    <xf numFmtId="170" fontId="31" fillId="2" borderId="9" xfId="0" applyNumberFormat="1" applyFont="1" applyFill="1" applyBorder="1" applyAlignment="1">
      <alignment horizontal="center" vertical="center" wrapText="1"/>
    </xf>
    <xf numFmtId="170" fontId="31" fillId="13" borderId="9" xfId="0" applyNumberFormat="1" applyFont="1" applyFill="1" applyBorder="1" applyAlignment="1">
      <alignment horizontal="center" vertical="center" wrapText="1"/>
    </xf>
    <xf numFmtId="170" fontId="31" fillId="14" borderId="9" xfId="0" applyNumberFormat="1" applyFont="1" applyFill="1" applyBorder="1" applyAlignment="1">
      <alignment horizontal="center" vertical="center" wrapText="1"/>
    </xf>
    <xf numFmtId="170" fontId="31" fillId="15" borderId="9" xfId="0" applyNumberFormat="1" applyFont="1" applyFill="1" applyBorder="1" applyAlignment="1">
      <alignment horizontal="center" vertical="center" wrapText="1"/>
    </xf>
    <xf numFmtId="170" fontId="31" fillId="3" borderId="9" xfId="0" applyNumberFormat="1" applyFont="1" applyFill="1" applyBorder="1" applyAlignment="1">
      <alignment horizontal="center" vertical="center" wrapText="1"/>
    </xf>
    <xf numFmtId="170" fontId="31" fillId="16" borderId="9" xfId="0" applyNumberFormat="1" applyFont="1" applyFill="1" applyBorder="1" applyAlignment="1">
      <alignment horizontal="center" vertical="center" wrapText="1"/>
    </xf>
    <xf numFmtId="170" fontId="31" fillId="17" borderId="9" xfId="0" applyNumberFormat="1" applyFont="1" applyFill="1" applyBorder="1" applyAlignment="1">
      <alignment horizontal="center" vertical="center" wrapText="1"/>
    </xf>
    <xf numFmtId="0" fontId="31" fillId="0" borderId="0" xfId="0" applyFont="1" applyAlignment="1">
      <alignment horizontal="center"/>
    </xf>
    <xf numFmtId="0" fontId="32" fillId="0" borderId="9" xfId="0" applyFont="1" applyBorder="1" applyAlignment="1">
      <alignment horizontal="center"/>
    </xf>
    <xf numFmtId="0" fontId="32" fillId="0" borderId="9" xfId="0" applyFont="1" applyBorder="1" applyAlignment="1">
      <alignment horizontal="center" vertical="center" wrapText="1"/>
    </xf>
    <xf numFmtId="170" fontId="32" fillId="0" borderId="9" xfId="0" applyNumberFormat="1" applyFont="1" applyBorder="1" applyAlignment="1">
      <alignment horizontal="center" vertical="center" wrapText="1"/>
    </xf>
    <xf numFmtId="0" fontId="28" fillId="0" borderId="0" xfId="0" applyFont="1" applyAlignment="1">
      <alignment horizontal="center" vertical="center" wrapText="1"/>
    </xf>
    <xf numFmtId="0" fontId="32" fillId="10" borderId="21" xfId="0" applyFont="1" applyFill="1" applyBorder="1" applyAlignment="1">
      <alignment horizontal="center"/>
    </xf>
    <xf numFmtId="0" fontId="32" fillId="9" borderId="21" xfId="0" applyFont="1" applyFill="1" applyBorder="1" applyAlignment="1">
      <alignment horizontal="center"/>
    </xf>
    <xf numFmtId="170" fontId="33" fillId="9" borderId="21" xfId="4" applyNumberFormat="1" applyFont="1" applyFill="1" applyBorder="1" applyAlignment="1" applyProtection="1">
      <alignment horizontal="center" vertical="center" wrapText="1"/>
    </xf>
    <xf numFmtId="0" fontId="32" fillId="11" borderId="21" xfId="0" applyFont="1" applyFill="1" applyBorder="1" applyAlignment="1">
      <alignment horizontal="center"/>
    </xf>
    <xf numFmtId="0" fontId="32" fillId="2" borderId="9" xfId="0" applyFont="1" applyFill="1" applyBorder="1" applyAlignment="1">
      <alignment horizontal="center"/>
    </xf>
    <xf numFmtId="0" fontId="32" fillId="12" borderId="9" xfId="0" applyFont="1" applyFill="1" applyBorder="1" applyAlignment="1">
      <alignment horizontal="center"/>
    </xf>
    <xf numFmtId="0" fontId="32" fillId="13" borderId="9" xfId="0" applyFont="1" applyFill="1" applyBorder="1" applyAlignment="1">
      <alignment horizontal="center"/>
    </xf>
    <xf numFmtId="0" fontId="32" fillId="14" borderId="9" xfId="0" applyFont="1" applyFill="1" applyBorder="1" applyAlignment="1">
      <alignment horizontal="center"/>
    </xf>
    <xf numFmtId="0" fontId="32" fillId="10" borderId="9" xfId="0" applyFont="1" applyFill="1" applyBorder="1" applyAlignment="1">
      <alignment horizontal="center"/>
    </xf>
    <xf numFmtId="0" fontId="32" fillId="16" borderId="9" xfId="0" applyFont="1" applyFill="1" applyBorder="1" applyAlignment="1">
      <alignment horizontal="center"/>
    </xf>
    <xf numFmtId="0" fontId="32" fillId="17" borderId="9" xfId="0" applyFont="1" applyFill="1" applyBorder="1" applyAlignment="1">
      <alignment horizontal="center"/>
    </xf>
    <xf numFmtId="171" fontId="32" fillId="0" borderId="0" xfId="0" applyNumberFormat="1" applyFont="1" applyAlignment="1">
      <alignment horizontal="center"/>
    </xf>
    <xf numFmtId="165" fontId="6" fillId="0" borderId="15" xfId="1" applyNumberFormat="1" applyFont="1" applyFill="1" applyBorder="1" applyProtection="1">
      <protection locked="0"/>
    </xf>
    <xf numFmtId="43" fontId="0" fillId="0" borderId="9" xfId="1" applyFont="1" applyBorder="1"/>
    <xf numFmtId="0" fontId="0" fillId="0" borderId="9" xfId="0" applyBorder="1"/>
    <xf numFmtId="165" fontId="5" fillId="4" borderId="9" xfId="1" applyNumberFormat="1" applyFont="1" applyFill="1" applyBorder="1" applyAlignment="1" applyProtection="1">
      <alignment horizontal="right"/>
    </xf>
    <xf numFmtId="4" fontId="5" fillId="0" borderId="15" xfId="1" applyNumberFormat="1" applyFont="1" applyBorder="1" applyProtection="1"/>
    <xf numFmtId="165" fontId="5" fillId="4" borderId="9" xfId="1" applyNumberFormat="1" applyFont="1" applyFill="1" applyBorder="1" applyProtection="1"/>
    <xf numFmtId="4" fontId="6" fillId="0" borderId="15" xfId="1" applyNumberFormat="1" applyFont="1" applyBorder="1" applyProtection="1"/>
    <xf numFmtId="4" fontId="5" fillId="0" borderId="11" xfId="1" applyNumberFormat="1" applyFont="1" applyBorder="1" applyProtection="1"/>
    <xf numFmtId="165" fontId="6" fillId="0" borderId="15" xfId="1" applyNumberFormat="1" applyFont="1" applyBorder="1" applyProtection="1"/>
    <xf numFmtId="4" fontId="5" fillId="0" borderId="18" xfId="1" applyNumberFormat="1" applyFont="1" applyBorder="1" applyProtection="1"/>
    <xf numFmtId="0" fontId="6" fillId="0" borderId="12" xfId="0" applyFont="1" applyBorder="1"/>
    <xf numFmtId="0" fontId="45" fillId="0" borderId="0" xfId="0" applyFont="1" applyAlignment="1">
      <alignment vertical="center"/>
    </xf>
    <xf numFmtId="0" fontId="6" fillId="0" borderId="0" xfId="0" applyFont="1" applyAlignment="1">
      <alignment horizontal="center" wrapText="1"/>
    </xf>
    <xf numFmtId="9" fontId="6" fillId="0" borderId="15" xfId="2" applyFont="1" applyFill="1" applyBorder="1" applyProtection="1"/>
    <xf numFmtId="0" fontId="38" fillId="0" borderId="0" xfId="0" applyFont="1" applyProtection="1">
      <protection locked="0"/>
    </xf>
    <xf numFmtId="0" fontId="2" fillId="0" borderId="0" xfId="0" applyFont="1" applyProtection="1">
      <protection locked="0"/>
    </xf>
    <xf numFmtId="0" fontId="2" fillId="0" borderId="0" xfId="0" applyFont="1" applyAlignment="1" applyProtection="1">
      <alignment horizontal="left"/>
      <protection locked="0"/>
    </xf>
    <xf numFmtId="9" fontId="5" fillId="4" borderId="9" xfId="1" applyNumberFormat="1" applyFont="1" applyFill="1" applyBorder="1" applyProtection="1"/>
    <xf numFmtId="9" fontId="32" fillId="0" borderId="9" xfId="0" applyNumberFormat="1" applyFont="1" applyBorder="1" applyAlignment="1">
      <alignment horizontal="center" vertical="center" wrapText="1"/>
    </xf>
    <xf numFmtId="164" fontId="5" fillId="0" borderId="0" xfId="1" applyNumberFormat="1" applyFont="1" applyFill="1" applyBorder="1" applyProtection="1"/>
    <xf numFmtId="164" fontId="5" fillId="0" borderId="0" xfId="1" applyNumberFormat="1" applyFont="1" applyBorder="1" applyAlignment="1">
      <alignment horizontal="center" vertical="center" wrapText="1"/>
    </xf>
    <xf numFmtId="4" fontId="5" fillId="0" borderId="0" xfId="1" applyNumberFormat="1" applyFont="1" applyBorder="1"/>
    <xf numFmtId="165" fontId="6" fillId="0" borderId="15" xfId="1" applyNumberFormat="1" applyFont="1" applyFill="1" applyBorder="1" applyProtection="1"/>
    <xf numFmtId="0" fontId="51" fillId="0" borderId="0" xfId="0" applyFont="1" applyAlignment="1">
      <alignment vertical="center"/>
    </xf>
    <xf numFmtId="0" fontId="2" fillId="0" borderId="36" xfId="0" applyFont="1" applyBorder="1" applyAlignment="1" applyProtection="1">
      <alignment horizontal="center" vertical="top" wrapText="1"/>
      <protection locked="0"/>
    </xf>
    <xf numFmtId="0" fontId="2" fillId="0" borderId="38" xfId="0" applyFont="1" applyBorder="1" applyAlignment="1" applyProtection="1">
      <alignment horizontal="center" vertical="top" wrapText="1"/>
      <protection locked="0"/>
    </xf>
    <xf numFmtId="0" fontId="2" fillId="0" borderId="37" xfId="0" applyFont="1" applyBorder="1" applyAlignment="1" applyProtection="1">
      <alignment horizontal="center" vertical="top" wrapText="1"/>
      <protection locked="0"/>
    </xf>
    <xf numFmtId="0" fontId="2" fillId="0" borderId="39" xfId="0" applyFont="1" applyBorder="1" applyAlignment="1" applyProtection="1">
      <alignment horizontal="center" vertical="top" wrapText="1"/>
      <protection locked="0"/>
    </xf>
    <xf numFmtId="43" fontId="0" fillId="0" borderId="21" xfId="0" applyNumberFormat="1" applyBorder="1" applyAlignment="1">
      <alignment vertical="center" wrapText="1"/>
    </xf>
    <xf numFmtId="0" fontId="0" fillId="0" borderId="26" xfId="0" applyBorder="1"/>
    <xf numFmtId="43" fontId="0" fillId="0" borderId="27" xfId="0" applyNumberFormat="1" applyBorder="1"/>
    <xf numFmtId="0" fontId="0" fillId="0" borderId="26" xfId="0" applyBorder="1" applyAlignment="1">
      <alignment vertical="center" wrapText="1"/>
    </xf>
    <xf numFmtId="0" fontId="0" fillId="0" borderId="40" xfId="0" applyBorder="1"/>
    <xf numFmtId="0" fontId="0" fillId="0" borderId="9" xfId="0" applyBorder="1" applyAlignment="1">
      <alignment vertical="center" wrapText="1"/>
    </xf>
    <xf numFmtId="0" fontId="0" fillId="0" borderId="21" xfId="0" applyBorder="1"/>
    <xf numFmtId="43" fontId="0" fillId="0" borderId="27" xfId="0" applyNumberFormat="1" applyBorder="1" applyAlignment="1">
      <alignment vertical="center" wrapText="1"/>
    </xf>
    <xf numFmtId="43" fontId="0" fillId="0" borderId="41" xfId="0" applyNumberFormat="1" applyBorder="1"/>
    <xf numFmtId="0" fontId="2" fillId="0" borderId="0" xfId="0" applyFont="1" applyAlignment="1">
      <alignment horizontal="right"/>
    </xf>
    <xf numFmtId="49" fontId="0" fillId="0" borderId="26" xfId="0" applyNumberFormat="1" applyBorder="1"/>
    <xf numFmtId="173" fontId="5" fillId="4" borderId="9" xfId="1" applyNumberFormat="1" applyFont="1" applyFill="1" applyBorder="1" applyAlignment="1">
      <alignment horizontal="center" vertical="center" wrapText="1"/>
    </xf>
    <xf numFmtId="173" fontId="5" fillId="0" borderId="0" xfId="1" applyNumberFormat="1" applyFont="1" applyBorder="1" applyAlignment="1">
      <alignment horizontal="center" vertical="center" wrapText="1"/>
    </xf>
    <xf numFmtId="173" fontId="5" fillId="4" borderId="9" xfId="1" applyNumberFormat="1" applyFont="1" applyFill="1" applyBorder="1"/>
    <xf numFmtId="173" fontId="5" fillId="0" borderId="15" xfId="1" applyNumberFormat="1" applyFont="1" applyBorder="1"/>
    <xf numFmtId="173" fontId="6" fillId="0" borderId="15" xfId="1" applyNumberFormat="1" applyFont="1" applyBorder="1"/>
    <xf numFmtId="173" fontId="5" fillId="0" borderId="11" xfId="1" applyNumberFormat="1" applyFont="1" applyBorder="1"/>
    <xf numFmtId="173" fontId="5" fillId="0" borderId="0" xfId="1" applyNumberFormat="1" applyFont="1" applyBorder="1"/>
    <xf numFmtId="173" fontId="6" fillId="0" borderId="15" xfId="0" applyNumberFormat="1" applyFont="1" applyBorder="1"/>
    <xf numFmtId="173" fontId="5" fillId="0" borderId="18" xfId="1" applyNumberFormat="1" applyFont="1" applyBorder="1"/>
    <xf numFmtId="173" fontId="6" fillId="0" borderId="11" xfId="1" applyNumberFormat="1" applyFont="1" applyBorder="1"/>
    <xf numFmtId="173" fontId="10" fillId="0" borderId="0" xfId="0" applyNumberFormat="1" applyFont="1"/>
    <xf numFmtId="173" fontId="6" fillId="0" borderId="0" xfId="0" applyNumberFormat="1" applyFont="1"/>
    <xf numFmtId="173" fontId="5" fillId="0" borderId="11" xfId="1" applyNumberFormat="1" applyFont="1" applyBorder="1" applyAlignment="1">
      <alignment horizontal="center" vertical="center" wrapText="1"/>
    </xf>
    <xf numFmtId="173" fontId="6" fillId="6" borderId="0" xfId="0" applyNumberFormat="1" applyFont="1" applyFill="1" applyProtection="1">
      <protection locked="0"/>
    </xf>
    <xf numFmtId="174" fontId="6" fillId="0" borderId="15" xfId="1" applyNumberFormat="1" applyFont="1" applyBorder="1"/>
    <xf numFmtId="174" fontId="5" fillId="4" borderId="9" xfId="1" applyNumberFormat="1" applyFont="1" applyFill="1" applyBorder="1"/>
    <xf numFmtId="174" fontId="5" fillId="4" borderId="9" xfId="1" applyNumberFormat="1" applyFont="1" applyFill="1" applyBorder="1" applyProtection="1"/>
    <xf numFmtId="174" fontId="6" fillId="0" borderId="15" xfId="2" applyNumberFormat="1" applyFont="1" applyBorder="1"/>
    <xf numFmtId="174" fontId="6" fillId="0" borderId="16" xfId="0" applyNumberFormat="1" applyFont="1" applyBorder="1"/>
    <xf numFmtId="174" fontId="6" fillId="0" borderId="11" xfId="0" applyNumberFormat="1" applyFont="1" applyBorder="1"/>
    <xf numFmtId="174" fontId="5" fillId="0" borderId="11" xfId="1" applyNumberFormat="1" applyFont="1" applyBorder="1" applyProtection="1"/>
    <xf numFmtId="174" fontId="5" fillId="0" borderId="11" xfId="1" applyNumberFormat="1" applyFont="1" applyBorder="1"/>
    <xf numFmtId="174" fontId="6" fillId="0" borderId="17" xfId="0" applyNumberFormat="1" applyFont="1" applyBorder="1"/>
    <xf numFmtId="174" fontId="5" fillId="0" borderId="17" xfId="1" applyNumberFormat="1" applyFont="1" applyBorder="1" applyProtection="1"/>
    <xf numFmtId="174" fontId="5" fillId="0" borderId="17" xfId="1" applyNumberFormat="1" applyFont="1" applyBorder="1"/>
    <xf numFmtId="174" fontId="5" fillId="0" borderId="15" xfId="1" applyNumberFormat="1" applyFont="1" applyBorder="1"/>
    <xf numFmtId="174" fontId="6" fillId="0" borderId="15" xfId="1" applyNumberFormat="1" applyFont="1" applyBorder="1" applyProtection="1"/>
    <xf numFmtId="174" fontId="6" fillId="0" borderId="15" xfId="0" applyNumberFormat="1" applyFont="1" applyBorder="1"/>
    <xf numFmtId="174" fontId="6" fillId="0" borderId="16" xfId="1" applyNumberFormat="1" applyFont="1" applyBorder="1"/>
    <xf numFmtId="174" fontId="6" fillId="0" borderId="12" xfId="1" applyNumberFormat="1" applyFont="1" applyBorder="1"/>
    <xf numFmtId="49" fontId="4" fillId="0" borderId="4" xfId="0" applyNumberFormat="1" applyFont="1" applyBorder="1"/>
    <xf numFmtId="49" fontId="4" fillId="0" borderId="5" xfId="0" applyNumberFormat="1" applyFont="1" applyBorder="1"/>
    <xf numFmtId="164" fontId="5" fillId="4" borderId="27" xfId="1" applyNumberFormat="1" applyFont="1" applyFill="1" applyBorder="1" applyAlignment="1">
      <alignment horizontal="center" vertical="center" wrapText="1"/>
    </xf>
    <xf numFmtId="164" fontId="5" fillId="0" borderId="5" xfId="1" applyNumberFormat="1" applyFont="1" applyBorder="1" applyAlignment="1">
      <alignment horizontal="center" vertical="center" wrapText="1"/>
    </xf>
    <xf numFmtId="165" fontId="5" fillId="0" borderId="0" xfId="1" applyNumberFormat="1" applyFont="1" applyBorder="1"/>
    <xf numFmtId="4" fontId="5" fillId="4" borderId="27" xfId="1" applyNumberFormat="1" applyFont="1" applyFill="1" applyBorder="1"/>
    <xf numFmtId="4" fontId="5" fillId="0" borderId="43" xfId="1" applyNumberFormat="1" applyFont="1" applyBorder="1"/>
    <xf numFmtId="165" fontId="6" fillId="0" borderId="0" xfId="1" applyNumberFormat="1" applyFont="1" applyBorder="1"/>
    <xf numFmtId="4" fontId="5" fillId="3" borderId="43" xfId="1" applyNumberFormat="1" applyFont="1" applyFill="1" applyBorder="1" applyProtection="1">
      <protection locked="0"/>
    </xf>
    <xf numFmtId="4" fontId="6" fillId="0" borderId="0" xfId="1" applyNumberFormat="1" applyFont="1" applyBorder="1"/>
    <xf numFmtId="4" fontId="6" fillId="0" borderId="43" xfId="1" applyNumberFormat="1" applyFont="1" applyBorder="1"/>
    <xf numFmtId="4" fontId="6" fillId="3" borderId="43" xfId="1" applyNumberFormat="1" applyFont="1" applyFill="1" applyBorder="1" applyProtection="1">
      <protection locked="0"/>
    </xf>
    <xf numFmtId="4" fontId="5" fillId="0" borderId="47" xfId="1" applyNumberFormat="1" applyFont="1" applyBorder="1"/>
    <xf numFmtId="4" fontId="11" fillId="4" borderId="27" xfId="1" applyNumberFormat="1" applyFont="1" applyFill="1" applyBorder="1"/>
    <xf numFmtId="4" fontId="5" fillId="0" borderId="5" xfId="1" applyNumberFormat="1" applyFont="1" applyBorder="1"/>
    <xf numFmtId="164" fontId="5" fillId="0" borderId="0" xfId="1" applyNumberFormat="1" applyFont="1" applyBorder="1"/>
    <xf numFmtId="164" fontId="6" fillId="0" borderId="0" xfId="1" applyNumberFormat="1" applyFont="1" applyBorder="1"/>
    <xf numFmtId="4" fontId="6" fillId="3" borderId="43" xfId="0" applyNumberFormat="1" applyFont="1" applyFill="1" applyBorder="1" applyProtection="1">
      <protection locked="0"/>
    </xf>
    <xf numFmtId="4" fontId="6" fillId="0" borderId="43" xfId="0" applyNumberFormat="1" applyFont="1" applyBorder="1"/>
    <xf numFmtId="4" fontId="6" fillId="0" borderId="0" xfId="0" applyNumberFormat="1" applyFont="1"/>
    <xf numFmtId="49" fontId="10" fillId="0" borderId="5" xfId="0" applyNumberFormat="1" applyFont="1" applyBorder="1"/>
    <xf numFmtId="4" fontId="5" fillId="0" borderId="43" xfId="0" applyNumberFormat="1" applyFont="1" applyBorder="1"/>
    <xf numFmtId="4" fontId="5" fillId="0" borderId="50" xfId="1" applyNumberFormat="1" applyFont="1" applyBorder="1"/>
    <xf numFmtId="4" fontId="11" fillId="0" borderId="43" xfId="1" applyNumberFormat="1" applyFont="1" applyBorder="1"/>
    <xf numFmtId="0" fontId="6" fillId="0" borderId="47" xfId="0" applyFont="1" applyBorder="1"/>
    <xf numFmtId="166" fontId="5" fillId="0" borderId="5" xfId="3" applyNumberFormat="1" applyFont="1" applyBorder="1"/>
    <xf numFmtId="164" fontId="5" fillId="0" borderId="0" xfId="1" applyNumberFormat="1" applyFont="1" applyBorder="1" applyAlignment="1">
      <alignment wrapText="1"/>
    </xf>
    <xf numFmtId="164" fontId="5" fillId="0" borderId="0" xfId="1" applyNumberFormat="1" applyFont="1" applyBorder="1" applyAlignment="1">
      <alignment horizontal="left"/>
    </xf>
    <xf numFmtId="165" fontId="5" fillId="6" borderId="0" xfId="1" applyNumberFormat="1" applyFont="1" applyFill="1" applyBorder="1"/>
    <xf numFmtId="167" fontId="6" fillId="0" borderId="0" xfId="3" applyNumberFormat="1" applyFont="1"/>
    <xf numFmtId="167" fontId="5" fillId="0" borderId="0" xfId="3" applyNumberFormat="1" applyFont="1"/>
    <xf numFmtId="165" fontId="6" fillId="0" borderId="0" xfId="1" applyNumberFormat="1" applyFont="1" applyBorder="1" applyProtection="1">
      <protection locked="0"/>
    </xf>
    <xf numFmtId="49" fontId="10" fillId="0" borderId="6" xfId="0" applyNumberFormat="1" applyFont="1" applyBorder="1"/>
    <xf numFmtId="49" fontId="10" fillId="0" borderId="7" xfId="0" applyNumberFormat="1" applyFont="1" applyBorder="1"/>
    <xf numFmtId="49" fontId="10" fillId="0" borderId="19" xfId="0" applyNumberFormat="1" applyFont="1" applyBorder="1"/>
    <xf numFmtId="164" fontId="6" fillId="0" borderId="0" xfId="1" applyNumberFormat="1" applyFont="1" applyBorder="1" applyProtection="1">
      <protection locked="0"/>
    </xf>
    <xf numFmtId="164" fontId="6" fillId="6" borderId="0" xfId="1" applyNumberFormat="1" applyFont="1" applyFill="1" applyBorder="1" applyProtection="1">
      <protection locked="0"/>
    </xf>
    <xf numFmtId="0" fontId="5" fillId="4" borderId="46" xfId="0" applyFont="1" applyFill="1" applyBorder="1" applyAlignment="1">
      <alignment horizontal="center" wrapText="1"/>
    </xf>
    <xf numFmtId="0" fontId="8" fillId="0" borderId="3" xfId="0" applyFont="1" applyBorder="1" applyAlignment="1">
      <alignment horizontal="left"/>
    </xf>
    <xf numFmtId="0" fontId="9" fillId="0" borderId="3" xfId="0" applyFont="1" applyBorder="1" applyAlignment="1">
      <alignment horizontal="left"/>
    </xf>
    <xf numFmtId="0" fontId="6" fillId="0" borderId="42" xfId="0" applyFont="1" applyBorder="1" applyAlignment="1">
      <alignment horizontal="center" wrapText="1"/>
    </xf>
    <xf numFmtId="0" fontId="6" fillId="0" borderId="45" xfId="0" applyFont="1" applyBorder="1" applyAlignment="1">
      <alignment horizontal="center" wrapText="1"/>
    </xf>
    <xf numFmtId="174" fontId="5" fillId="0" borderId="0" xfId="1" applyNumberFormat="1" applyFont="1" applyBorder="1" applyProtection="1"/>
    <xf numFmtId="174" fontId="5" fillId="0" borderId="0" xfId="1" applyNumberFormat="1" applyFont="1" applyBorder="1"/>
    <xf numFmtId="0" fontId="6" fillId="0" borderId="46" xfId="0" applyFont="1" applyBorder="1" applyAlignment="1">
      <alignment horizontal="center" wrapText="1"/>
    </xf>
    <xf numFmtId="174" fontId="6" fillId="0" borderId="0" xfId="0" applyNumberFormat="1" applyFont="1"/>
    <xf numFmtId="0" fontId="8" fillId="0" borderId="42" xfId="0" applyFont="1" applyBorder="1" applyAlignment="1">
      <alignment horizontal="left"/>
    </xf>
    <xf numFmtId="0" fontId="6" fillId="0" borderId="3" xfId="0" applyFont="1" applyBorder="1" applyAlignment="1">
      <alignment horizontal="center" wrapText="1"/>
    </xf>
    <xf numFmtId="0" fontId="6" fillId="0" borderId="3" xfId="0" applyFont="1" applyBorder="1" applyAlignment="1">
      <alignment wrapText="1"/>
    </xf>
    <xf numFmtId="174" fontId="6" fillId="0" borderId="0" xfId="1" applyNumberFormat="1" applyFont="1" applyBorder="1"/>
    <xf numFmtId="0" fontId="5" fillId="0" borderId="3" xfId="0" applyFont="1" applyBorder="1" applyAlignment="1">
      <alignment horizontal="center" wrapText="1"/>
    </xf>
    <xf numFmtId="0" fontId="6" fillId="0" borderId="48" xfId="0" applyFont="1" applyBorder="1" applyAlignment="1">
      <alignment horizontal="center" wrapText="1"/>
    </xf>
    <xf numFmtId="4" fontId="5" fillId="0" borderId="0" xfId="1" applyNumberFormat="1" applyFont="1" applyBorder="1" applyProtection="1"/>
    <xf numFmtId="0" fontId="8" fillId="0" borderId="48" xfId="0" applyFont="1" applyBorder="1" applyAlignment="1">
      <alignment horizontal="left"/>
    </xf>
    <xf numFmtId="0" fontId="6" fillId="0" borderId="46" xfId="0" applyFont="1" applyBorder="1" applyAlignment="1">
      <alignment wrapText="1"/>
    </xf>
    <xf numFmtId="173" fontId="5" fillId="0" borderId="0" xfId="1" applyNumberFormat="1" applyFont="1" applyBorder="1" applyAlignment="1">
      <alignment horizontal="left"/>
    </xf>
    <xf numFmtId="173" fontId="5" fillId="0" borderId="0" xfId="3" applyNumberFormat="1" applyFont="1"/>
    <xf numFmtId="173" fontId="6" fillId="0" borderId="0" xfId="3" applyNumberFormat="1" applyFont="1"/>
    <xf numFmtId="49" fontId="10" fillId="0" borderId="3" xfId="0" applyNumberFormat="1" applyFont="1" applyBorder="1"/>
    <xf numFmtId="173" fontId="5" fillId="6" borderId="0" xfId="1" applyNumberFormat="1" applyFont="1" applyFill="1" applyBorder="1"/>
    <xf numFmtId="0" fontId="6" fillId="0" borderId="0" xfId="3" applyFont="1"/>
    <xf numFmtId="0" fontId="48" fillId="0" borderId="0" xfId="3" applyFont="1"/>
    <xf numFmtId="0" fontId="15" fillId="0" borderId="0" xfId="3" applyFont="1"/>
    <xf numFmtId="0" fontId="48" fillId="0" borderId="0" xfId="3" applyFont="1" applyAlignment="1">
      <alignment wrapText="1"/>
    </xf>
    <xf numFmtId="0" fontId="15" fillId="0" borderId="0" xfId="3" applyFont="1" applyAlignment="1">
      <alignment wrapText="1"/>
    </xf>
    <xf numFmtId="0" fontId="6" fillId="0" borderId="6" xfId="0" applyFont="1" applyBorder="1" applyAlignment="1">
      <alignment wrapText="1"/>
    </xf>
    <xf numFmtId="0" fontId="48" fillId="0" borderId="7" xfId="3" applyFont="1" applyBorder="1"/>
    <xf numFmtId="166" fontId="5" fillId="0" borderId="7" xfId="3" applyNumberFormat="1" applyFont="1" applyBorder="1"/>
    <xf numFmtId="166" fontId="6" fillId="0" borderId="7" xfId="3" applyNumberFormat="1" applyFont="1" applyBorder="1"/>
    <xf numFmtId="173" fontId="5" fillId="0" borderId="7" xfId="3" applyNumberFormat="1" applyFont="1" applyBorder="1"/>
    <xf numFmtId="0" fontId="0" fillId="0" borderId="0" xfId="0" applyAlignment="1">
      <alignment horizontal="center" vertical="center"/>
    </xf>
    <xf numFmtId="0" fontId="0" fillId="0" borderId="0" xfId="0" applyAlignment="1">
      <alignment horizontal="center" vertical="center" wrapText="1"/>
    </xf>
    <xf numFmtId="165" fontId="5" fillId="0" borderId="0" xfId="1" applyNumberFormat="1" applyFont="1" applyFill="1"/>
    <xf numFmtId="0" fontId="5" fillId="4" borderId="21" xfId="3" applyFont="1" applyFill="1" applyBorder="1"/>
    <xf numFmtId="0" fontId="6" fillId="0" borderId="7" xfId="0" applyFont="1" applyBorder="1"/>
    <xf numFmtId="164" fontId="6" fillId="0" borderId="7" xfId="1" applyNumberFormat="1" applyFont="1" applyBorder="1"/>
    <xf numFmtId="173" fontId="6" fillId="0" borderId="7" xfId="0" applyNumberFormat="1" applyFont="1" applyBorder="1"/>
    <xf numFmtId="0" fontId="2" fillId="0" borderId="36" xfId="0" applyFont="1" applyBorder="1" applyAlignment="1" applyProtection="1">
      <alignment horizontal="center" vertical="center" wrapText="1"/>
      <protection locked="0"/>
    </xf>
    <xf numFmtId="0" fontId="2" fillId="0" borderId="38"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39" xfId="0" applyFont="1" applyBorder="1" applyAlignment="1" applyProtection="1">
      <alignment horizontal="center" vertical="center" wrapText="1"/>
      <protection locked="0"/>
    </xf>
    <xf numFmtId="0" fontId="0" fillId="0" borderId="0" xfId="0" applyAlignment="1">
      <alignment vertical="center" wrapText="1"/>
    </xf>
    <xf numFmtId="0" fontId="0" fillId="0" borderId="0" xfId="0" applyAlignment="1">
      <alignment horizontal="left"/>
    </xf>
    <xf numFmtId="0" fontId="31" fillId="10" borderId="18" xfId="0" applyFont="1" applyFill="1" applyBorder="1" applyAlignment="1">
      <alignment horizontal="left" vertical="center" wrapText="1"/>
    </xf>
    <xf numFmtId="49" fontId="10" fillId="3" borderId="9" xfId="0" applyNumberFormat="1" applyFont="1" applyFill="1" applyBorder="1"/>
    <xf numFmtId="0" fontId="2" fillId="22" borderId="0" xfId="0" applyFont="1" applyFill="1"/>
    <xf numFmtId="0" fontId="0" fillId="22" borderId="0" xfId="0" applyFill="1"/>
    <xf numFmtId="0" fontId="2" fillId="22" borderId="0" xfId="0" applyFont="1" applyFill="1" applyAlignment="1">
      <alignment horizontal="left"/>
    </xf>
    <xf numFmtId="0" fontId="2" fillId="0" borderId="0" xfId="0" applyFont="1" applyAlignment="1">
      <alignment horizontal="left"/>
    </xf>
    <xf numFmtId="0" fontId="37" fillId="22" borderId="52" xfId="0" applyFont="1" applyFill="1" applyBorder="1" applyAlignment="1">
      <alignment horizontal="center" vertical="center" wrapText="1"/>
    </xf>
    <xf numFmtId="0" fontId="37" fillId="22" borderId="53" xfId="0" applyFont="1" applyFill="1" applyBorder="1" applyAlignment="1">
      <alignment horizontal="center" vertical="center" wrapText="1"/>
    </xf>
    <xf numFmtId="40" fontId="37" fillId="0" borderId="31" xfId="0" applyNumberFormat="1" applyFont="1" applyBorder="1" applyAlignment="1">
      <alignment horizontal="center" vertical="center" wrapText="1"/>
    </xf>
    <xf numFmtId="0" fontId="37" fillId="22" borderId="40" xfId="0" applyFont="1" applyFill="1" applyBorder="1" applyAlignment="1">
      <alignment horizontal="center" vertical="center" wrapText="1"/>
    </xf>
    <xf numFmtId="0" fontId="37" fillId="22" borderId="41" xfId="0" applyFont="1" applyFill="1" applyBorder="1" applyAlignment="1">
      <alignment horizontal="center" vertical="center" wrapText="1"/>
    </xf>
    <xf numFmtId="0" fontId="37" fillId="22" borderId="36" xfId="0" applyFont="1" applyFill="1" applyBorder="1" applyAlignment="1">
      <alignment horizontal="center" vertical="center" wrapText="1"/>
    </xf>
    <xf numFmtId="0" fontId="37" fillId="22" borderId="39" xfId="0" applyFont="1" applyFill="1" applyBorder="1" applyAlignment="1">
      <alignment horizontal="center" vertical="center" wrapText="1"/>
    </xf>
    <xf numFmtId="0" fontId="37" fillId="22" borderId="42" xfId="0" applyFont="1" applyFill="1" applyBorder="1" applyAlignment="1">
      <alignment horizontal="center" vertical="center" wrapText="1"/>
    </xf>
    <xf numFmtId="0" fontId="37" fillId="22" borderId="43" xfId="0" applyFont="1" applyFill="1" applyBorder="1" applyAlignment="1">
      <alignment horizontal="center" vertical="center" wrapText="1"/>
    </xf>
    <xf numFmtId="0" fontId="0" fillId="0" borderId="28" xfId="0" applyBorder="1"/>
    <xf numFmtId="0" fontId="0" fillId="0" borderId="29" xfId="0" applyBorder="1"/>
    <xf numFmtId="40" fontId="0" fillId="0" borderId="32" xfId="0" applyNumberFormat="1" applyBorder="1" applyAlignment="1">
      <alignment horizontal="right"/>
    </xf>
    <xf numFmtId="43" fontId="2" fillId="0" borderId="9" xfId="0" applyNumberFormat="1" applyFont="1" applyBorder="1" applyAlignment="1">
      <alignment horizontal="center" vertical="center" wrapText="1"/>
    </xf>
    <xf numFmtId="0" fontId="37" fillId="22" borderId="15" xfId="0" applyFont="1" applyFill="1" applyBorder="1" applyAlignment="1">
      <alignment horizontal="center" vertical="center" wrapText="1"/>
    </xf>
    <xf numFmtId="43" fontId="37" fillId="0" borderId="15" xfId="0" applyNumberFormat="1" applyFont="1" applyBorder="1" applyAlignment="1">
      <alignment horizontal="center" vertical="center" wrapText="1"/>
    </xf>
    <xf numFmtId="0" fontId="37" fillId="22" borderId="12" xfId="0" applyFont="1" applyFill="1" applyBorder="1" applyAlignment="1">
      <alignment horizontal="center" vertical="center" wrapText="1"/>
    </xf>
    <xf numFmtId="43" fontId="37" fillId="22" borderId="9" xfId="0" applyNumberFormat="1" applyFont="1" applyFill="1" applyBorder="1" applyAlignment="1">
      <alignment horizontal="center" vertical="center" wrapText="1"/>
    </xf>
    <xf numFmtId="43" fontId="37" fillId="22" borderId="8" xfId="0" applyNumberFormat="1" applyFont="1" applyFill="1" applyBorder="1" applyAlignment="1">
      <alignment horizontal="center" vertical="center" wrapText="1"/>
    </xf>
    <xf numFmtId="43" fontId="0" fillId="3" borderId="9" xfId="0" applyNumberFormat="1" applyFill="1" applyBorder="1"/>
    <xf numFmtId="43" fontId="0" fillId="0" borderId="9" xfId="0" applyNumberFormat="1" applyBorder="1"/>
    <xf numFmtId="49" fontId="0" fillId="0" borderId="40" xfId="0" applyNumberFormat="1" applyBorder="1"/>
    <xf numFmtId="0" fontId="0" fillId="0" borderId="17" xfId="0" applyBorder="1"/>
    <xf numFmtId="0" fontId="57" fillId="24" borderId="0" xfId="0" applyFont="1" applyFill="1"/>
    <xf numFmtId="0" fontId="58" fillId="24" borderId="0" xfId="0" applyFont="1" applyFill="1"/>
    <xf numFmtId="0" fontId="59" fillId="0" borderId="0" xfId="0" applyFont="1"/>
    <xf numFmtId="0" fontId="57" fillId="6" borderId="0" xfId="0" applyFont="1" applyFill="1"/>
    <xf numFmtId="0" fontId="58" fillId="6" borderId="0" xfId="0" applyFont="1" applyFill="1"/>
    <xf numFmtId="0" fontId="57" fillId="24" borderId="9" xfId="0" applyFont="1" applyFill="1" applyBorder="1"/>
    <xf numFmtId="0" fontId="57" fillId="24" borderId="9" xfId="0" applyFont="1" applyFill="1" applyBorder="1" applyAlignment="1">
      <alignment horizontal="left"/>
    </xf>
    <xf numFmtId="0" fontId="60" fillId="0" borderId="0" xfId="0" applyFont="1"/>
    <xf numFmtId="0" fontId="60" fillId="7" borderId="0" xfId="0" applyFont="1" applyFill="1" applyAlignment="1">
      <alignment horizontal="center"/>
    </xf>
    <xf numFmtId="0" fontId="61" fillId="0" borderId="0" xfId="0" applyFont="1" applyAlignment="1" applyProtection="1">
      <alignment horizontal="justify"/>
      <protection locked="0"/>
    </xf>
    <xf numFmtId="49" fontId="62" fillId="3" borderId="0" xfId="0" applyNumberFormat="1" applyFont="1" applyFill="1"/>
    <xf numFmtId="0" fontId="60" fillId="3" borderId="0" xfId="0" applyFont="1" applyFill="1"/>
    <xf numFmtId="0" fontId="60" fillId="0" borderId="0" xfId="0" applyFont="1" applyAlignment="1">
      <alignment horizontal="left"/>
    </xf>
    <xf numFmtId="0" fontId="59" fillId="0" borderId="2" xfId="0" applyFont="1" applyBorder="1"/>
    <xf numFmtId="0" fontId="0" fillId="7" borderId="24" xfId="0" applyFill="1" applyBorder="1" applyProtection="1">
      <protection locked="0"/>
    </xf>
    <xf numFmtId="0" fontId="0" fillId="20" borderId="26" xfId="0" applyFill="1" applyBorder="1" applyAlignment="1" applyProtection="1">
      <alignment horizontal="center" vertical="center"/>
      <protection locked="0"/>
    </xf>
    <xf numFmtId="0" fontId="64" fillId="0" borderId="0" xfId="0" applyFont="1" applyAlignment="1" applyProtection="1">
      <alignment horizontal="justify"/>
      <protection locked="0"/>
    </xf>
    <xf numFmtId="0" fontId="0" fillId="20" borderId="26" xfId="0" applyFill="1" applyBorder="1" applyAlignment="1" applyProtection="1">
      <alignment horizontal="right" vertical="center"/>
      <protection locked="0"/>
    </xf>
    <xf numFmtId="0" fontId="0" fillId="4" borderId="26" xfId="0" applyFill="1" applyBorder="1" applyAlignment="1" applyProtection="1">
      <alignment vertical="center"/>
      <protection locked="0"/>
    </xf>
    <xf numFmtId="0" fontId="59" fillId="0" borderId="9" xfId="0" applyFont="1" applyBorder="1"/>
    <xf numFmtId="0" fontId="0" fillId="4" borderId="27" xfId="0" applyFill="1" applyBorder="1" applyProtection="1">
      <protection locked="0"/>
    </xf>
    <xf numFmtId="0" fontId="0" fillId="4" borderId="26" xfId="0" applyFill="1" applyBorder="1" applyAlignment="1" applyProtection="1">
      <alignment horizontal="center" vertical="center"/>
      <protection locked="0"/>
    </xf>
    <xf numFmtId="0" fontId="0" fillId="4" borderId="29" xfId="0" applyFill="1" applyBorder="1" applyProtection="1">
      <protection locked="0"/>
    </xf>
    <xf numFmtId="0" fontId="8" fillId="0" borderId="1" xfId="0" applyFont="1" applyBorder="1" applyAlignment="1" applyProtection="1">
      <alignment horizontal="left"/>
      <protection locked="0"/>
    </xf>
    <xf numFmtId="0" fontId="6" fillId="0" borderId="2" xfId="0" applyFont="1" applyBorder="1" applyProtection="1">
      <protection locked="0"/>
    </xf>
    <xf numFmtId="164" fontId="6" fillId="0" borderId="4" xfId="1" applyNumberFormat="1" applyFont="1" applyBorder="1" applyProtection="1">
      <protection locked="0"/>
    </xf>
    <xf numFmtId="164" fontId="6" fillId="0" borderId="0" xfId="1" applyNumberFormat="1" applyFont="1" applyFill="1" applyProtection="1">
      <protection locked="0"/>
    </xf>
    <xf numFmtId="0" fontId="8" fillId="0" borderId="3" xfId="0" applyFont="1" applyBorder="1" applyAlignment="1" applyProtection="1">
      <alignment horizontal="left"/>
      <protection locked="0"/>
    </xf>
    <xf numFmtId="164" fontId="6" fillId="0" borderId="5" xfId="1" applyNumberFormat="1" applyFont="1" applyBorder="1" applyProtection="1">
      <protection locked="0"/>
    </xf>
    <xf numFmtId="0" fontId="6" fillId="0" borderId="3" xfId="0" applyFont="1" applyBorder="1" applyAlignment="1" applyProtection="1">
      <alignment wrapText="1"/>
      <protection locked="0"/>
    </xf>
    <xf numFmtId="0" fontId="5" fillId="0" borderId="3" xfId="0" applyFont="1" applyBorder="1" applyAlignment="1" applyProtection="1">
      <alignment wrapText="1"/>
      <protection locked="0"/>
    </xf>
    <xf numFmtId="0" fontId="59" fillId="0" borderId="17" xfId="0" applyFont="1" applyBorder="1"/>
    <xf numFmtId="0" fontId="10" fillId="0" borderId="49" xfId="0" applyFont="1" applyBorder="1" applyAlignment="1" applyProtection="1">
      <alignment horizontal="right"/>
      <protection locked="0"/>
    </xf>
    <xf numFmtId="0" fontId="10" fillId="0" borderId="0" xfId="0" applyFont="1" applyAlignment="1" applyProtection="1">
      <alignment horizontal="right"/>
      <protection locked="0"/>
    </xf>
    <xf numFmtId="0" fontId="10" fillId="0" borderId="3" xfId="0" applyFont="1" applyBorder="1" applyProtection="1">
      <protection locked="0"/>
    </xf>
    <xf numFmtId="0" fontId="10" fillId="0" borderId="5" xfId="0" applyFont="1" applyBorder="1" applyProtection="1">
      <protection locked="0"/>
    </xf>
    <xf numFmtId="0" fontId="6" fillId="0" borderId="3" xfId="0" applyFont="1" applyBorder="1" applyProtection="1">
      <protection locked="0"/>
    </xf>
    <xf numFmtId="0" fontId="6" fillId="0" borderId="5" xfId="0" applyFont="1" applyBorder="1" applyProtection="1">
      <protection locked="0"/>
    </xf>
    <xf numFmtId="0" fontId="6" fillId="0" borderId="6" xfId="0" applyFont="1" applyBorder="1" applyAlignment="1" applyProtection="1">
      <alignment wrapText="1"/>
      <protection locked="0"/>
    </xf>
    <xf numFmtId="0" fontId="6" fillId="0" borderId="7" xfId="0" applyFont="1" applyBorder="1" applyAlignment="1" applyProtection="1">
      <alignment wrapText="1"/>
      <protection locked="0"/>
    </xf>
    <xf numFmtId="0" fontId="59" fillId="0" borderId="7" xfId="0" applyFont="1" applyBorder="1"/>
    <xf numFmtId="164" fontId="6" fillId="0" borderId="19" xfId="1" applyNumberFormat="1" applyFont="1" applyBorder="1" applyProtection="1">
      <protection locked="0"/>
    </xf>
    <xf numFmtId="0" fontId="57" fillId="24" borderId="3" xfId="0" applyFont="1" applyFill="1" applyBorder="1" applyAlignment="1">
      <alignment wrapText="1"/>
    </xf>
    <xf numFmtId="0" fontId="60" fillId="24" borderId="6" xfId="0" applyFont="1" applyFill="1" applyBorder="1" applyAlignment="1">
      <alignment wrapText="1"/>
    </xf>
    <xf numFmtId="0" fontId="60" fillId="24" borderId="7" xfId="0" applyFont="1" applyFill="1" applyBorder="1" applyAlignment="1">
      <alignment horizontal="left"/>
    </xf>
    <xf numFmtId="0" fontId="65" fillId="0" borderId="0" xfId="0" applyFont="1"/>
    <xf numFmtId="0" fontId="19" fillId="24" borderId="0" xfId="0" applyFont="1" applyFill="1" applyAlignment="1">
      <alignment vertical="center"/>
    </xf>
    <xf numFmtId="0" fontId="66" fillId="0" borderId="3" xfId="0" applyFont="1" applyBorder="1" applyAlignment="1">
      <alignment wrapText="1"/>
    </xf>
    <xf numFmtId="0" fontId="66" fillId="0" borderId="0" xfId="0" applyFont="1"/>
    <xf numFmtId="0" fontId="67" fillId="0" borderId="0" xfId="0" applyFont="1" applyAlignment="1">
      <alignment horizontal="center" vertical="center"/>
    </xf>
    <xf numFmtId="0" fontId="66" fillId="24" borderId="9" xfId="0" applyFont="1" applyFill="1" applyBorder="1" applyAlignment="1">
      <alignment wrapText="1"/>
    </xf>
    <xf numFmtId="0" fontId="66" fillId="24" borderId="16" xfId="0" applyFont="1" applyFill="1" applyBorder="1" applyAlignment="1">
      <alignment horizontal="left"/>
    </xf>
    <xf numFmtId="0" fontId="66" fillId="24" borderId="16" xfId="0" applyFont="1" applyFill="1" applyBorder="1"/>
    <xf numFmtId="0" fontId="67" fillId="24" borderId="16" xfId="0" applyFont="1" applyFill="1" applyBorder="1" applyAlignment="1">
      <alignment horizontal="center" vertical="center"/>
    </xf>
    <xf numFmtId="0" fontId="19" fillId="24" borderId="16" xfId="0" applyFont="1" applyFill="1" applyBorder="1" applyAlignment="1">
      <alignment vertical="center"/>
    </xf>
    <xf numFmtId="0" fontId="19" fillId="24" borderId="14" xfId="0" applyFont="1" applyFill="1" applyBorder="1" applyAlignment="1">
      <alignment vertical="center"/>
    </xf>
    <xf numFmtId="0" fontId="66" fillId="24" borderId="21" xfId="0" applyFont="1" applyFill="1" applyBorder="1" applyAlignment="1">
      <alignment wrapText="1"/>
    </xf>
    <xf numFmtId="0" fontId="66" fillId="24" borderId="17" xfId="0" applyFont="1" applyFill="1" applyBorder="1" applyAlignment="1">
      <alignment horizontal="left"/>
    </xf>
    <xf numFmtId="0" fontId="68" fillId="24" borderId="17" xfId="0" applyFont="1" applyFill="1" applyBorder="1" applyAlignment="1">
      <alignment horizontal="center" vertical="center"/>
    </xf>
    <xf numFmtId="0" fontId="19" fillId="24" borderId="17" xfId="0" applyFont="1" applyFill="1" applyBorder="1" applyAlignment="1">
      <alignment vertical="center"/>
    </xf>
    <xf numFmtId="0" fontId="19" fillId="24" borderId="20" xfId="0" applyFont="1" applyFill="1" applyBorder="1" applyAlignment="1">
      <alignment vertical="center"/>
    </xf>
    <xf numFmtId="0" fontId="66" fillId="0" borderId="0" xfId="0" applyFont="1" applyAlignment="1">
      <alignment wrapText="1"/>
    </xf>
    <xf numFmtId="0" fontId="66" fillId="0" borderId="0" xfId="0" applyFont="1" applyAlignment="1">
      <alignment horizontal="left"/>
    </xf>
    <xf numFmtId="168" fontId="68" fillId="0" borderId="0" xfId="0" applyNumberFormat="1" applyFont="1" applyAlignment="1">
      <alignment horizontal="center" vertical="center"/>
    </xf>
    <xf numFmtId="168" fontId="70" fillId="0" borderId="0" xfId="0" applyNumberFormat="1" applyFont="1" applyAlignment="1">
      <alignment horizontal="center" vertical="center"/>
    </xf>
    <xf numFmtId="0" fontId="71" fillId="0" borderId="17" xfId="0" applyFont="1" applyBorder="1" applyAlignment="1">
      <alignment horizontal="left"/>
    </xf>
    <xf numFmtId="0" fontId="2" fillId="0" borderId="17" xfId="0" applyFont="1" applyBorder="1" applyAlignment="1">
      <alignment horizontal="center"/>
    </xf>
    <xf numFmtId="0" fontId="2" fillId="25" borderId="33" xfId="0" applyFont="1" applyFill="1" applyBorder="1" applyAlignment="1">
      <alignment horizontal="left" vertical="center"/>
    </xf>
    <xf numFmtId="0" fontId="2" fillId="0" borderId="17" xfId="0" applyFont="1" applyBorder="1" applyAlignment="1">
      <alignment horizontal="left" vertical="center"/>
    </xf>
    <xf numFmtId="0" fontId="71" fillId="0" borderId="0" xfId="0" applyFont="1" applyAlignment="1">
      <alignment horizontal="left"/>
    </xf>
    <xf numFmtId="0" fontId="72" fillId="0" borderId="0" xfId="0" applyFont="1" applyAlignment="1">
      <alignment horizontal="left"/>
    </xf>
    <xf numFmtId="0" fontId="72" fillId="0" borderId="0" xfId="25" applyFont="1" applyAlignment="1">
      <alignment horizontal="center"/>
    </xf>
    <xf numFmtId="0" fontId="72" fillId="0" borderId="0" xfId="26" applyFont="1"/>
    <xf numFmtId="0" fontId="0" fillId="26" borderId="0" xfId="0" applyFill="1" applyAlignment="1">
      <alignment horizontal="left"/>
    </xf>
    <xf numFmtId="0" fontId="72" fillId="0" borderId="0" xfId="27" applyFont="1"/>
    <xf numFmtId="49" fontId="72" fillId="0" borderId="0" xfId="25" applyNumberFormat="1" applyFont="1" applyAlignment="1">
      <alignment horizontal="center"/>
    </xf>
    <xf numFmtId="0" fontId="72" fillId="0" borderId="0" xfId="0" applyFont="1" applyAlignment="1">
      <alignment horizontal="center"/>
    </xf>
    <xf numFmtId="0" fontId="75" fillId="0" borderId="0" xfId="0" applyFont="1" applyAlignment="1">
      <alignment horizontal="left"/>
    </xf>
    <xf numFmtId="0" fontId="72" fillId="0" borderId="0" xfId="25" applyFont="1" applyAlignment="1">
      <alignment horizontal="left"/>
    </xf>
    <xf numFmtId="0" fontId="0" fillId="17" borderId="0" xfId="0" applyFill="1" applyAlignment="1">
      <alignment horizontal="left"/>
    </xf>
    <xf numFmtId="0" fontId="74" fillId="0" borderId="9" xfId="0" applyFont="1" applyBorder="1" applyAlignment="1">
      <alignment horizontal="left" vertical="center"/>
    </xf>
    <xf numFmtId="0" fontId="71" fillId="0" borderId="9" xfId="0" applyFont="1" applyBorder="1" applyAlignment="1">
      <alignment horizontal="left" vertical="center"/>
    </xf>
    <xf numFmtId="0" fontId="77" fillId="0" borderId="9" xfId="0" applyFont="1" applyBorder="1" applyAlignment="1">
      <alignment vertical="center"/>
    </xf>
    <xf numFmtId="0" fontId="2" fillId="25" borderId="9" xfId="0" applyFont="1" applyFill="1" applyBorder="1" applyAlignment="1">
      <alignment horizontal="left" vertical="center"/>
    </xf>
    <xf numFmtId="0" fontId="0" fillId="0" borderId="0" xfId="0" applyAlignment="1">
      <alignment vertical="center"/>
    </xf>
    <xf numFmtId="0" fontId="78" fillId="0" borderId="0" xfId="0" applyFont="1" applyAlignment="1">
      <alignment horizontal="left" vertical="center"/>
    </xf>
    <xf numFmtId="0" fontId="79" fillId="0" borderId="0" xfId="0" applyFont="1"/>
    <xf numFmtId="0" fontId="74" fillId="0" borderId="0" xfId="0" applyFont="1" applyAlignment="1">
      <alignment horizontal="left"/>
    </xf>
    <xf numFmtId="0" fontId="52" fillId="0" borderId="0" xfId="0" applyFont="1"/>
    <xf numFmtId="0" fontId="74" fillId="0" borderId="0" xfId="0" applyFont="1"/>
    <xf numFmtId="0" fontId="80" fillId="0" borderId="0" xfId="0" applyFont="1"/>
    <xf numFmtId="8" fontId="60" fillId="0" borderId="9" xfId="0" applyNumberFormat="1" applyFont="1" applyBorder="1"/>
    <xf numFmtId="164" fontId="59" fillId="0" borderId="0" xfId="1" applyNumberFormat="1" applyFont="1" applyFill="1" applyBorder="1" applyProtection="1">
      <protection locked="0"/>
    </xf>
    <xf numFmtId="0" fontId="59" fillId="0" borderId="13" xfId="0" applyFont="1" applyBorder="1" applyAlignment="1" applyProtection="1">
      <alignment wrapText="1"/>
      <protection locked="0"/>
    </xf>
    <xf numFmtId="0" fontId="0" fillId="3" borderId="36" xfId="0" applyFill="1" applyBorder="1"/>
    <xf numFmtId="0" fontId="0" fillId="3" borderId="39" xfId="0" applyFill="1" applyBorder="1"/>
    <xf numFmtId="43" fontId="0" fillId="0" borderId="0" xfId="0" applyNumberFormat="1"/>
    <xf numFmtId="43" fontId="2" fillId="0" borderId="0" xfId="1" applyFont="1"/>
    <xf numFmtId="43" fontId="0" fillId="0" borderId="0" xfId="0" applyNumberFormat="1" applyAlignment="1">
      <alignment horizontal="center"/>
    </xf>
    <xf numFmtId="43" fontId="0" fillId="21" borderId="0" xfId="0" applyNumberFormat="1" applyFill="1"/>
    <xf numFmtId="43" fontId="0" fillId="22" borderId="0" xfId="1" applyFont="1" applyFill="1"/>
    <xf numFmtId="4" fontId="82" fillId="4" borderId="27" xfId="1" applyNumberFormat="1" applyFont="1" applyFill="1" applyBorder="1"/>
    <xf numFmtId="0" fontId="63" fillId="6" borderId="52" xfId="0" applyFont="1" applyFill="1" applyBorder="1" applyAlignment="1">
      <alignment horizontal="center" vertical="center" wrapText="1"/>
    </xf>
    <xf numFmtId="0" fontId="63" fillId="6" borderId="53" xfId="0" applyFont="1" applyFill="1" applyBorder="1" applyAlignment="1">
      <alignment horizontal="center" vertical="center" wrapText="1"/>
    </xf>
    <xf numFmtId="40" fontId="63" fillId="6" borderId="31" xfId="0" applyNumberFormat="1" applyFont="1" applyFill="1" applyBorder="1" applyAlignment="1">
      <alignment horizontal="center" vertical="center" wrapText="1"/>
    </xf>
    <xf numFmtId="0" fontId="63" fillId="6" borderId="40" xfId="0" applyFont="1" applyFill="1" applyBorder="1" applyAlignment="1">
      <alignment horizontal="center" vertical="center" wrapText="1"/>
    </xf>
    <xf numFmtId="0" fontId="63" fillId="6" borderId="41" xfId="0" applyFont="1" applyFill="1" applyBorder="1" applyAlignment="1">
      <alignment horizontal="center" vertical="center" wrapText="1"/>
    </xf>
    <xf numFmtId="40" fontId="63" fillId="6" borderId="5" xfId="0" applyNumberFormat="1" applyFont="1" applyFill="1" applyBorder="1" applyAlignment="1">
      <alignment horizontal="center" vertical="center" wrapText="1"/>
    </xf>
    <xf numFmtId="0" fontId="63" fillId="6" borderId="36" xfId="0" applyFont="1" applyFill="1" applyBorder="1" applyAlignment="1">
      <alignment horizontal="center" vertical="center" wrapText="1"/>
    </xf>
    <xf numFmtId="0" fontId="63" fillId="6" borderId="37" xfId="0" applyFont="1" applyFill="1" applyBorder="1" applyAlignment="1">
      <alignment horizontal="center" vertical="center" wrapText="1"/>
    </xf>
    <xf numFmtId="0" fontId="63" fillId="6" borderId="42" xfId="0" applyFont="1" applyFill="1" applyBorder="1" applyAlignment="1">
      <alignment horizontal="center" vertical="center" wrapText="1"/>
    </xf>
    <xf numFmtId="0" fontId="63" fillId="6" borderId="43" xfId="0" applyFont="1" applyFill="1" applyBorder="1" applyAlignment="1">
      <alignment horizontal="center" vertical="center" wrapText="1"/>
    </xf>
    <xf numFmtId="0" fontId="63" fillId="6" borderId="54" xfId="0" applyFont="1" applyFill="1" applyBorder="1" applyAlignment="1">
      <alignment horizontal="center" vertical="center" wrapText="1"/>
    </xf>
    <xf numFmtId="0" fontId="63" fillId="6" borderId="55" xfId="0" applyFont="1" applyFill="1" applyBorder="1" applyAlignment="1">
      <alignment horizontal="center" vertical="center" wrapText="1"/>
    </xf>
    <xf numFmtId="40" fontId="63" fillId="6" borderId="0" xfId="0" applyNumberFormat="1" applyFont="1" applyFill="1" applyAlignment="1">
      <alignment horizontal="center" vertical="center" wrapText="1"/>
    </xf>
    <xf numFmtId="40" fontId="60" fillId="0" borderId="30" xfId="0" applyNumberFormat="1" applyFont="1" applyBorder="1" applyAlignment="1">
      <alignment horizontal="center"/>
    </xf>
    <xf numFmtId="40" fontId="59" fillId="0" borderId="31" xfId="0" applyNumberFormat="1" applyFont="1" applyBorder="1" applyAlignment="1">
      <alignment horizontal="right"/>
    </xf>
    <xf numFmtId="40" fontId="59" fillId="0" borderId="0" xfId="0" applyNumberFormat="1" applyFont="1" applyAlignment="1">
      <alignment horizontal="right"/>
    </xf>
    <xf numFmtId="0" fontId="59" fillId="6" borderId="0" xfId="0" applyFont="1" applyFill="1"/>
    <xf numFmtId="0" fontId="59" fillId="0" borderId="28" xfId="0" applyFont="1" applyBorder="1"/>
    <xf numFmtId="0" fontId="59" fillId="0" borderId="29" xfId="0" applyFont="1" applyBorder="1"/>
    <xf numFmtId="40" fontId="59" fillId="0" borderId="32" xfId="0" applyNumberFormat="1" applyFont="1" applyBorder="1" applyAlignment="1">
      <alignment horizontal="right"/>
    </xf>
    <xf numFmtId="49" fontId="62" fillId="0" borderId="0" xfId="0" applyNumberFormat="1" applyFont="1"/>
    <xf numFmtId="0" fontId="69" fillId="0" borderId="0" xfId="0" applyFont="1" applyAlignment="1">
      <alignment vertical="center"/>
    </xf>
    <xf numFmtId="0" fontId="69" fillId="27" borderId="0" xfId="0" applyFont="1" applyFill="1" applyAlignment="1">
      <alignment vertical="center"/>
    </xf>
    <xf numFmtId="0" fontId="63" fillId="0" borderId="0" xfId="0" applyFont="1" applyAlignment="1">
      <alignment vertical="center"/>
    </xf>
    <xf numFmtId="0" fontId="39" fillId="0" borderId="0" xfId="0" applyFont="1" applyAlignment="1">
      <alignment vertical="center"/>
    </xf>
    <xf numFmtId="0" fontId="63" fillId="0" borderId="14"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27" xfId="0" applyFont="1" applyBorder="1" applyAlignment="1">
      <alignment horizontal="center" vertical="center" wrapText="1"/>
    </xf>
    <xf numFmtId="0" fontId="39" fillId="7" borderId="26" xfId="0" applyFont="1" applyFill="1" applyBorder="1" applyAlignment="1">
      <alignment horizontal="left" vertical="center"/>
    </xf>
    <xf numFmtId="0" fontId="39" fillId="7" borderId="9" xfId="0" applyFont="1" applyFill="1" applyBorder="1" applyAlignment="1">
      <alignment vertical="center"/>
    </xf>
    <xf numFmtId="0" fontId="39" fillId="19" borderId="9" xfId="0" applyFont="1" applyFill="1" applyBorder="1" applyAlignment="1">
      <alignment horizontal="center" vertical="center"/>
    </xf>
    <xf numFmtId="43" fontId="39" fillId="7" borderId="9" xfId="1" applyFont="1" applyFill="1" applyBorder="1" applyAlignment="1">
      <alignment horizontal="right" vertical="center"/>
    </xf>
    <xf numFmtId="4" fontId="39" fillId="7" borderId="9" xfId="0" applyNumberFormat="1" applyFont="1" applyFill="1" applyBorder="1" applyAlignment="1">
      <alignment horizontal="left" vertical="center"/>
    </xf>
    <xf numFmtId="3" fontId="39" fillId="7" borderId="14" xfId="0" applyNumberFormat="1" applyFont="1" applyFill="1" applyBorder="1" applyAlignment="1">
      <alignment horizontal="left" vertical="center"/>
    </xf>
    <xf numFmtId="3" fontId="39" fillId="7" borderId="9" xfId="0" applyNumberFormat="1" applyFont="1" applyFill="1" applyBorder="1" applyAlignment="1">
      <alignment horizontal="left" vertical="center"/>
    </xf>
    <xf numFmtId="43" fontId="39" fillId="7" borderId="9" xfId="1" applyFont="1" applyFill="1" applyBorder="1" applyAlignment="1" applyProtection="1">
      <alignment horizontal="right" vertical="center"/>
    </xf>
    <xf numFmtId="0" fontId="39" fillId="3" borderId="26" xfId="0" applyFont="1" applyFill="1" applyBorder="1" applyAlignment="1" applyProtection="1">
      <alignment horizontal="left" vertical="center"/>
      <protection locked="0"/>
    </xf>
    <xf numFmtId="0" fontId="39" fillId="3" borderId="9" xfId="0" applyFont="1" applyFill="1" applyBorder="1" applyAlignment="1" applyProtection="1">
      <alignment vertical="center"/>
      <protection locked="0"/>
    </xf>
    <xf numFmtId="0" fontId="39" fillId="3" borderId="9" xfId="0" applyFont="1" applyFill="1" applyBorder="1" applyAlignment="1" applyProtection="1">
      <alignment horizontal="left" vertical="center"/>
      <protection locked="0"/>
    </xf>
    <xf numFmtId="3" fontId="39" fillId="0" borderId="9" xfId="0" applyNumberFormat="1" applyFont="1" applyBorder="1" applyAlignment="1" applyProtection="1">
      <alignment horizontal="left" vertical="center"/>
      <protection locked="0"/>
    </xf>
    <xf numFmtId="0" fontId="39" fillId="3" borderId="28" xfId="0" applyFont="1" applyFill="1" applyBorder="1" applyAlignment="1" applyProtection="1">
      <alignment horizontal="left" vertical="center"/>
      <protection locked="0"/>
    </xf>
    <xf numFmtId="0" fontId="39" fillId="3" borderId="35" xfId="0" applyFont="1" applyFill="1" applyBorder="1" applyAlignment="1" applyProtection="1">
      <alignment vertical="center"/>
      <protection locked="0"/>
    </xf>
    <xf numFmtId="0" fontId="39" fillId="3" borderId="35" xfId="0" applyFont="1" applyFill="1" applyBorder="1" applyAlignment="1" applyProtection="1">
      <alignment horizontal="left" vertical="center"/>
      <protection locked="0"/>
    </xf>
    <xf numFmtId="3" fontId="39" fillId="0" borderId="56" xfId="0" applyNumberFormat="1" applyFont="1" applyBorder="1" applyAlignment="1" applyProtection="1">
      <alignment horizontal="left" vertical="center"/>
      <protection locked="0"/>
    </xf>
    <xf numFmtId="3" fontId="39" fillId="0" borderId="35" xfId="0" applyNumberFormat="1" applyFont="1" applyBorder="1" applyAlignment="1" applyProtection="1">
      <alignment horizontal="left" vertical="center"/>
      <protection locked="0"/>
    </xf>
    <xf numFmtId="0" fontId="39" fillId="28" borderId="9" xfId="0" applyFont="1" applyFill="1" applyBorder="1" applyAlignment="1" applyProtection="1">
      <alignment horizontal="center" vertical="center"/>
      <protection locked="0"/>
    </xf>
    <xf numFmtId="0" fontId="39" fillId="28" borderId="35" xfId="0" applyFont="1" applyFill="1" applyBorder="1" applyAlignment="1" applyProtection="1">
      <alignment horizontal="center" vertical="center"/>
      <protection locked="0"/>
    </xf>
    <xf numFmtId="3" fontId="39" fillId="27" borderId="9" xfId="0" applyNumberFormat="1" applyFont="1" applyFill="1" applyBorder="1" applyAlignment="1" applyProtection="1">
      <alignment horizontal="left" vertical="center"/>
      <protection locked="0"/>
    </xf>
    <xf numFmtId="3" fontId="39" fillId="27" borderId="35" xfId="0" applyNumberFormat="1" applyFont="1" applyFill="1" applyBorder="1" applyAlignment="1" applyProtection="1">
      <alignment horizontal="left" vertical="center"/>
      <protection locked="0"/>
    </xf>
    <xf numFmtId="49" fontId="6" fillId="0" borderId="0" xfId="0" applyNumberFormat="1" applyFont="1"/>
    <xf numFmtId="173" fontId="65" fillId="0" borderId="0" xfId="0" applyNumberFormat="1" applyFont="1" applyAlignment="1">
      <alignment horizontal="center"/>
    </xf>
    <xf numFmtId="165" fontId="6" fillId="0" borderId="0" xfId="0" applyNumberFormat="1" applyFont="1"/>
    <xf numFmtId="0" fontId="65" fillId="0" borderId="0" xfId="3" applyFont="1"/>
    <xf numFmtId="49" fontId="5" fillId="0" borderId="0" xfId="0" applyNumberFormat="1" applyFont="1"/>
    <xf numFmtId="0" fontId="9" fillId="0" borderId="17" xfId="0" applyFont="1" applyBorder="1" applyAlignment="1">
      <alignment horizontal="left"/>
    </xf>
    <xf numFmtId="0" fontId="5" fillId="4" borderId="18" xfId="0" applyFont="1" applyFill="1" applyBorder="1"/>
    <xf numFmtId="0" fontId="8" fillId="0" borderId="46" xfId="0" applyFont="1" applyBorder="1" applyAlignment="1">
      <alignment horizontal="left"/>
    </xf>
    <xf numFmtId="164" fontId="6" fillId="0" borderId="2" xfId="1" applyNumberFormat="1" applyFont="1" applyBorder="1" applyProtection="1">
      <protection locked="0"/>
    </xf>
    <xf numFmtId="164" fontId="6" fillId="6" borderId="2" xfId="1" applyNumberFormat="1" applyFont="1" applyFill="1" applyBorder="1" applyProtection="1">
      <protection locked="0"/>
    </xf>
    <xf numFmtId="0" fontId="6" fillId="6" borderId="2" xfId="0" applyFont="1" applyFill="1" applyBorder="1" applyProtection="1">
      <protection locked="0"/>
    </xf>
    <xf numFmtId="173" fontId="6" fillId="6" borderId="2" xfId="0" applyNumberFormat="1" applyFont="1" applyFill="1" applyBorder="1" applyProtection="1">
      <protection locked="0"/>
    </xf>
    <xf numFmtId="49" fontId="10" fillId="0" borderId="4" xfId="0" applyNumberFormat="1" applyFont="1" applyBorder="1"/>
    <xf numFmtId="173" fontId="6" fillId="0" borderId="0" xfId="0" applyNumberFormat="1" applyFont="1" applyProtection="1">
      <protection locked="0"/>
    </xf>
    <xf numFmtId="0" fontId="5" fillId="0" borderId="3" xfId="0" applyFont="1" applyBorder="1" applyAlignment="1" applyProtection="1">
      <alignment horizontal="right" wrapText="1"/>
      <protection locked="0"/>
    </xf>
    <xf numFmtId="0" fontId="6" fillId="0" borderId="3" xfId="0" applyFont="1" applyBorder="1" applyAlignment="1" applyProtection="1">
      <alignment horizontal="right" wrapText="1"/>
      <protection locked="0"/>
    </xf>
    <xf numFmtId="0" fontId="5" fillId="0" borderId="17" xfId="0" applyFont="1" applyBorder="1" applyAlignment="1" applyProtection="1">
      <alignment wrapText="1"/>
      <protection locked="0"/>
    </xf>
    <xf numFmtId="3" fontId="39" fillId="0" borderId="14" xfId="0" applyNumberFormat="1" applyFont="1" applyBorder="1" applyAlignment="1" applyProtection="1">
      <alignment horizontal="left" vertical="center"/>
      <protection locked="0"/>
    </xf>
    <xf numFmtId="0" fontId="39" fillId="0" borderId="0" xfId="0" applyFont="1" applyAlignment="1" applyProtection="1">
      <alignment vertical="center"/>
      <protection locked="0"/>
    </xf>
    <xf numFmtId="49" fontId="10" fillId="0" borderId="0" xfId="0" applyNumberFormat="1" applyFont="1" applyProtection="1">
      <protection locked="0"/>
    </xf>
    <xf numFmtId="0" fontId="5" fillId="0" borderId="6" xfId="0" applyFont="1" applyBorder="1" applyAlignment="1">
      <alignment wrapText="1"/>
    </xf>
    <xf numFmtId="49" fontId="7" fillId="0" borderId="7" xfId="0" applyNumberFormat="1" applyFont="1" applyBorder="1"/>
    <xf numFmtId="165" fontId="5" fillId="0" borderId="7" xfId="1" applyNumberFormat="1" applyFont="1" applyBorder="1"/>
    <xf numFmtId="165" fontId="5" fillId="4" borderId="35" xfId="1" applyNumberFormat="1" applyFont="1" applyFill="1" applyBorder="1"/>
    <xf numFmtId="166" fontId="14" fillId="0" borderId="7" xfId="3" applyNumberFormat="1" applyFont="1" applyBorder="1"/>
    <xf numFmtId="166" fontId="5" fillId="0" borderId="19" xfId="3" applyNumberFormat="1" applyFont="1" applyBorder="1"/>
    <xf numFmtId="0" fontId="59" fillId="3" borderId="24" xfId="0" applyFont="1" applyFill="1" applyBorder="1" applyProtection="1">
      <protection locked="0"/>
    </xf>
    <xf numFmtId="0" fontId="59" fillId="3" borderId="34" xfId="0" applyFont="1" applyFill="1" applyBorder="1" applyProtection="1">
      <protection locked="0"/>
    </xf>
    <xf numFmtId="0" fontId="59" fillId="3" borderId="25" xfId="0" applyFont="1" applyFill="1" applyBorder="1" applyProtection="1">
      <protection locked="0"/>
    </xf>
    <xf numFmtId="0" fontId="59" fillId="3" borderId="51" xfId="0" applyFont="1" applyFill="1" applyBorder="1" applyProtection="1">
      <protection locked="0"/>
    </xf>
    <xf numFmtId="40" fontId="59" fillId="0" borderId="32" xfId="0" applyNumberFormat="1" applyFont="1" applyBorder="1" applyAlignment="1" applyProtection="1">
      <alignment horizontal="right"/>
      <protection locked="0"/>
    </xf>
    <xf numFmtId="40" fontId="59" fillId="3" borderId="14" xfId="0" applyNumberFormat="1" applyFont="1" applyFill="1" applyBorder="1" applyAlignment="1" applyProtection="1">
      <alignment horizontal="right"/>
      <protection locked="0"/>
    </xf>
    <xf numFmtId="40" fontId="59" fillId="3" borderId="9" xfId="0" applyNumberFormat="1" applyFont="1" applyFill="1" applyBorder="1" applyAlignment="1" applyProtection="1">
      <alignment horizontal="right"/>
      <protection locked="0"/>
    </xf>
    <xf numFmtId="40" fontId="59" fillId="3" borderId="27" xfId="0" applyNumberFormat="1" applyFont="1" applyFill="1" applyBorder="1" applyAlignment="1" applyProtection="1">
      <alignment horizontal="right"/>
      <protection locked="0"/>
    </xf>
    <xf numFmtId="170" fontId="31" fillId="14" borderId="8" xfId="0" applyNumberFormat="1" applyFont="1" applyFill="1" applyBorder="1" applyAlignment="1">
      <alignment horizontal="center" vertical="center" wrapText="1"/>
    </xf>
    <xf numFmtId="170" fontId="31" fillId="2" borderId="8" xfId="0" applyNumberFormat="1" applyFont="1" applyFill="1" applyBorder="1" applyAlignment="1">
      <alignment horizontal="center" vertical="center" wrapText="1"/>
    </xf>
    <xf numFmtId="170" fontId="31" fillId="13" borderId="8" xfId="0" applyNumberFormat="1" applyFont="1" applyFill="1" applyBorder="1" applyAlignment="1">
      <alignment horizontal="center" vertical="center" wrapText="1"/>
    </xf>
    <xf numFmtId="0" fontId="57" fillId="24" borderId="0" xfId="0" applyFont="1" applyFill="1" applyAlignment="1" applyProtection="1">
      <alignment horizontal="left"/>
      <protection locked="0"/>
    </xf>
    <xf numFmtId="0" fontId="57" fillId="24" borderId="0" xfId="0" applyFont="1" applyFill="1" applyAlignment="1">
      <alignment horizontal="left"/>
    </xf>
    <xf numFmtId="173" fontId="65" fillId="24" borderId="4" xfId="0" applyNumberFormat="1" applyFont="1" applyFill="1" applyBorder="1"/>
    <xf numFmtId="173" fontId="65" fillId="24" borderId="5" xfId="0" applyNumberFormat="1" applyFont="1" applyFill="1" applyBorder="1"/>
    <xf numFmtId="173" fontId="65" fillId="24" borderId="19" xfId="0" applyNumberFormat="1" applyFont="1" applyFill="1" applyBorder="1"/>
    <xf numFmtId="0" fontId="28" fillId="0" borderId="0" xfId="0" applyFont="1" applyAlignment="1">
      <alignment horizontal="right"/>
    </xf>
    <xf numFmtId="0" fontId="28" fillId="0" borderId="0" xfId="0" applyFont="1" applyAlignment="1">
      <alignment horizontal="left"/>
    </xf>
    <xf numFmtId="0" fontId="28" fillId="0" borderId="0" xfId="0" applyFont="1" applyAlignment="1">
      <alignment horizontal="right" vertical="center" wrapText="1"/>
    </xf>
    <xf numFmtId="0" fontId="29" fillId="0" borderId="0" xfId="0" applyFont="1" applyAlignment="1">
      <alignment horizontal="center" vertical="center" wrapText="1"/>
    </xf>
    <xf numFmtId="0" fontId="31" fillId="10" borderId="8" xfId="0" applyFont="1" applyFill="1" applyBorder="1" applyAlignment="1">
      <alignment horizontal="right" vertical="center" wrapText="1"/>
    </xf>
    <xf numFmtId="0" fontId="0" fillId="11" borderId="9" xfId="0" applyFill="1" applyBorder="1"/>
    <xf numFmtId="0" fontId="31" fillId="10" borderId="18" xfId="0" applyFont="1" applyFill="1" applyBorder="1" applyAlignment="1">
      <alignment horizontal="right" vertical="center" wrapText="1"/>
    </xf>
    <xf numFmtId="0" fontId="31" fillId="0" borderId="0" xfId="0" applyFont="1" applyAlignment="1">
      <alignment horizontal="center" wrapText="1"/>
    </xf>
    <xf numFmtId="0" fontId="32" fillId="9" borderId="15" xfId="0" applyFont="1" applyFill="1" applyBorder="1" applyAlignment="1">
      <alignment horizontal="center"/>
    </xf>
    <xf numFmtId="0" fontId="32" fillId="11" borderId="15" xfId="0" applyFont="1" applyFill="1" applyBorder="1" applyAlignment="1">
      <alignment horizontal="center"/>
    </xf>
    <xf numFmtId="0" fontId="32" fillId="2" borderId="18" xfId="0" applyFont="1" applyFill="1" applyBorder="1" applyAlignment="1">
      <alignment horizontal="center"/>
    </xf>
    <xf numFmtId="0" fontId="32" fillId="12" borderId="18" xfId="0" applyFont="1" applyFill="1" applyBorder="1" applyAlignment="1">
      <alignment horizontal="center"/>
    </xf>
    <xf numFmtId="0" fontId="32" fillId="13" borderId="18" xfId="0" applyFont="1" applyFill="1" applyBorder="1" applyAlignment="1">
      <alignment horizontal="center"/>
    </xf>
    <xf numFmtId="0" fontId="32" fillId="14" borderId="18" xfId="0" applyFont="1" applyFill="1" applyBorder="1" applyAlignment="1">
      <alignment horizontal="center"/>
    </xf>
    <xf numFmtId="0" fontId="32" fillId="10" borderId="18" xfId="0" applyFont="1" applyFill="1" applyBorder="1" applyAlignment="1">
      <alignment horizontal="center"/>
    </xf>
    <xf numFmtId="0" fontId="32" fillId="15" borderId="18" xfId="0" applyFont="1" applyFill="1" applyBorder="1" applyAlignment="1">
      <alignment horizontal="center"/>
    </xf>
    <xf numFmtId="0" fontId="32" fillId="3" borderId="18" xfId="0" applyFont="1" applyFill="1" applyBorder="1" applyAlignment="1">
      <alignment horizontal="center"/>
    </xf>
    <xf numFmtId="0" fontId="32" fillId="16" borderId="18" xfId="0" applyFont="1" applyFill="1" applyBorder="1" applyAlignment="1">
      <alignment horizontal="center"/>
    </xf>
    <xf numFmtId="0" fontId="32" fillId="17" borderId="18" xfId="0" applyFont="1" applyFill="1" applyBorder="1" applyAlignment="1">
      <alignment horizontal="center"/>
    </xf>
    <xf numFmtId="49" fontId="32" fillId="10" borderId="9" xfId="0" applyNumberFormat="1" applyFont="1" applyFill="1" applyBorder="1" applyAlignment="1">
      <alignment horizontal="center"/>
    </xf>
    <xf numFmtId="0" fontId="32" fillId="17" borderId="10" xfId="0" applyFont="1" applyFill="1" applyBorder="1" applyAlignment="1">
      <alignment horizontal="center"/>
    </xf>
    <xf numFmtId="0" fontId="29" fillId="0" borderId="9" xfId="0" applyFont="1" applyBorder="1" applyAlignment="1">
      <alignment horizontal="right" vertical="center" wrapText="1"/>
    </xf>
    <xf numFmtId="0" fontId="29" fillId="0" borderId="9" xfId="0" applyFont="1" applyBorder="1" applyAlignment="1">
      <alignment horizontal="left" vertical="center" wrapText="1"/>
    </xf>
    <xf numFmtId="0" fontId="30" fillId="0" borderId="9" xfId="0" applyFont="1" applyBorder="1"/>
    <xf numFmtId="173" fontId="0" fillId="0" borderId="9" xfId="1" applyNumberFormat="1" applyFont="1" applyBorder="1"/>
    <xf numFmtId="173" fontId="0" fillId="0" borderId="8" xfId="1" applyNumberFormat="1" applyFont="1" applyBorder="1"/>
    <xf numFmtId="173" fontId="0" fillId="0" borderId="9" xfId="0" applyNumberFormat="1" applyBorder="1"/>
    <xf numFmtId="176" fontId="0" fillId="0" borderId="9" xfId="0" applyNumberFormat="1" applyBorder="1"/>
    <xf numFmtId="0" fontId="32" fillId="0" borderId="9" xfId="0" applyFont="1" applyBorder="1" applyAlignment="1">
      <alignment horizontal="right" wrapText="1"/>
    </xf>
    <xf numFmtId="0" fontId="32" fillId="0" borderId="9" xfId="0" applyFont="1" applyBorder="1" applyAlignment="1">
      <alignment wrapText="1"/>
    </xf>
    <xf numFmtId="0" fontId="30" fillId="0" borderId="9" xfId="0" applyFont="1" applyBorder="1" applyAlignment="1">
      <alignment horizontal="right"/>
    </xf>
    <xf numFmtId="0" fontId="29" fillId="0" borderId="0" xfId="0" applyFont="1" applyAlignment="1">
      <alignment horizontal="right" vertical="center" wrapText="1"/>
    </xf>
    <xf numFmtId="0" fontId="29" fillId="0" borderId="0" xfId="0" applyFont="1" applyAlignment="1">
      <alignment horizontal="left" vertical="center" wrapText="1"/>
    </xf>
    <xf numFmtId="173" fontId="0" fillId="0" borderId="0" xfId="1" applyNumberFormat="1" applyFont="1" applyBorder="1"/>
    <xf numFmtId="173" fontId="0" fillId="0" borderId="8" xfId="0" applyNumberFormat="1" applyBorder="1"/>
    <xf numFmtId="0" fontId="34" fillId="0" borderId="57" xfId="0" applyFont="1" applyBorder="1" applyAlignment="1">
      <alignment horizontal="right"/>
    </xf>
    <xf numFmtId="0" fontId="34" fillId="0" borderId="57" xfId="0" applyFont="1" applyBorder="1"/>
    <xf numFmtId="0" fontId="2" fillId="0" borderId="57" xfId="0" applyFont="1" applyBorder="1"/>
    <xf numFmtId="173" fontId="2" fillId="0" borderId="57" xfId="1" applyNumberFormat="1" applyFont="1" applyBorder="1"/>
    <xf numFmtId="173" fontId="32" fillId="9" borderId="15" xfId="0" applyNumberFormat="1" applyFont="1" applyFill="1" applyBorder="1" applyAlignment="1">
      <alignment horizontal="center"/>
    </xf>
    <xf numFmtId="173" fontId="32" fillId="11" borderId="15" xfId="0" applyNumberFormat="1" applyFont="1" applyFill="1" applyBorder="1" applyAlignment="1">
      <alignment horizontal="center"/>
    </xf>
    <xf numFmtId="173" fontId="32" fillId="2" borderId="18" xfId="0" applyNumberFormat="1" applyFont="1" applyFill="1" applyBorder="1" applyAlignment="1">
      <alignment horizontal="center"/>
    </xf>
    <xf numFmtId="173" fontId="32" fillId="12" borderId="18" xfId="0" applyNumberFormat="1" applyFont="1" applyFill="1" applyBorder="1" applyAlignment="1">
      <alignment horizontal="center"/>
    </xf>
    <xf numFmtId="173" fontId="32" fillId="13" borderId="18" xfId="0" applyNumberFormat="1" applyFont="1" applyFill="1" applyBorder="1" applyAlignment="1">
      <alignment horizontal="center"/>
    </xf>
    <xf numFmtId="173" fontId="32" fillId="14" borderId="18" xfId="0" applyNumberFormat="1" applyFont="1" applyFill="1" applyBorder="1" applyAlignment="1">
      <alignment horizontal="center"/>
    </xf>
    <xf numFmtId="173" fontId="32" fillId="10" borderId="18" xfId="0" applyNumberFormat="1" applyFont="1" applyFill="1" applyBorder="1" applyAlignment="1">
      <alignment horizontal="center"/>
    </xf>
    <xf numFmtId="173" fontId="32" fillId="15" borderId="18" xfId="0" applyNumberFormat="1" applyFont="1" applyFill="1" applyBorder="1" applyAlignment="1">
      <alignment horizontal="center"/>
    </xf>
    <xf numFmtId="173" fontId="32" fillId="3" borderId="18" xfId="0" applyNumberFormat="1" applyFont="1" applyFill="1" applyBorder="1" applyAlignment="1">
      <alignment horizontal="center"/>
    </xf>
    <xf numFmtId="173" fontId="32" fillId="16" borderId="18" xfId="0" applyNumberFormat="1" applyFont="1" applyFill="1" applyBorder="1" applyAlignment="1">
      <alignment horizontal="center"/>
    </xf>
    <xf numFmtId="173" fontId="32" fillId="17" borderId="18" xfId="0" applyNumberFormat="1" applyFont="1" applyFill="1" applyBorder="1" applyAlignment="1">
      <alignment horizontal="center"/>
    </xf>
    <xf numFmtId="176" fontId="0" fillId="0" borderId="0" xfId="0" applyNumberFormat="1"/>
    <xf numFmtId="173" fontId="0" fillId="0" borderId="0" xfId="0" applyNumberFormat="1"/>
    <xf numFmtId="0" fontId="30" fillId="0" borderId="0" xfId="0" applyFont="1" applyAlignment="1">
      <alignment horizontal="right"/>
    </xf>
    <xf numFmtId="165" fontId="6" fillId="0" borderId="15" xfId="1" applyNumberFormat="1" applyFont="1" applyFill="1" applyBorder="1"/>
    <xf numFmtId="165" fontId="5" fillId="0" borderId="0" xfId="1" applyNumberFormat="1" applyFont="1" applyBorder="1" applyProtection="1"/>
    <xf numFmtId="165" fontId="5" fillId="0" borderId="15" xfId="1" applyNumberFormat="1" applyFont="1" applyBorder="1" applyProtection="1"/>
    <xf numFmtId="165" fontId="5" fillId="0" borderId="13" xfId="1" applyNumberFormat="1" applyFont="1" applyBorder="1" applyProtection="1"/>
    <xf numFmtId="165" fontId="5" fillId="0" borderId="16" xfId="1" applyNumberFormat="1" applyFont="1" applyBorder="1"/>
    <xf numFmtId="165" fontId="6" fillId="0" borderId="15" xfId="0" applyNumberFormat="1" applyFont="1" applyBorder="1"/>
    <xf numFmtId="175" fontId="5" fillId="4" borderId="9" xfId="1" applyNumberFormat="1" applyFont="1" applyFill="1" applyBorder="1"/>
    <xf numFmtId="165" fontId="6" fillId="5" borderId="15" xfId="1" applyNumberFormat="1" applyFont="1" applyFill="1" applyBorder="1"/>
    <xf numFmtId="165" fontId="5" fillId="0" borderId="11" xfId="1" applyNumberFormat="1" applyFont="1" applyBorder="1"/>
    <xf numFmtId="165" fontId="5" fillId="0" borderId="17" xfId="1" applyNumberFormat="1" applyFont="1" applyBorder="1"/>
    <xf numFmtId="0" fontId="63" fillId="0" borderId="0" xfId="0" applyFont="1" applyAlignment="1">
      <alignment horizontal="center" vertical="center"/>
    </xf>
    <xf numFmtId="165" fontId="6" fillId="0" borderId="9" xfId="1" applyNumberFormat="1" applyFont="1" applyFill="1" applyBorder="1"/>
    <xf numFmtId="169" fontId="63" fillId="0" borderId="9" xfId="0" applyNumberFormat="1" applyFont="1" applyBorder="1" applyAlignment="1">
      <alignment horizontal="center" vertical="center" wrapText="1"/>
    </xf>
    <xf numFmtId="0" fontId="63" fillId="0" borderId="24" xfId="0" applyFont="1" applyBorder="1" applyAlignment="1">
      <alignment vertical="center" wrapText="1"/>
    </xf>
    <xf numFmtId="0" fontId="63" fillId="0" borderId="34" xfId="0" applyFont="1" applyBorder="1" applyAlignment="1">
      <alignment vertical="center" wrapText="1"/>
    </xf>
    <xf numFmtId="0" fontId="39" fillId="0" borderId="34" xfId="0" applyFont="1" applyBorder="1" applyAlignment="1">
      <alignment vertical="center"/>
    </xf>
    <xf numFmtId="0" fontId="63" fillId="0" borderId="25" xfId="0" applyFont="1" applyBorder="1" applyAlignment="1">
      <alignment vertical="center"/>
    </xf>
    <xf numFmtId="0" fontId="63" fillId="0" borderId="26" xfId="0" applyFont="1" applyBorder="1" applyAlignment="1">
      <alignment horizontal="center" vertical="center"/>
    </xf>
    <xf numFmtId="0" fontId="39" fillId="7" borderId="27" xfId="0" applyFont="1" applyFill="1" applyBorder="1" applyAlignment="1">
      <alignment vertical="center"/>
    </xf>
    <xf numFmtId="0" fontId="39" fillId="0" borderId="25" xfId="0" applyFont="1" applyBorder="1" applyAlignment="1">
      <alignment vertical="center"/>
    </xf>
    <xf numFmtId="4" fontId="39" fillId="7" borderId="27" xfId="0" applyNumberFormat="1" applyFont="1" applyFill="1" applyBorder="1" applyAlignment="1">
      <alignment horizontal="left" vertical="center"/>
    </xf>
    <xf numFmtId="0" fontId="39" fillId="3" borderId="27" xfId="0" applyFont="1" applyFill="1" applyBorder="1" applyAlignment="1" applyProtection="1">
      <alignment horizontal="left" vertical="center"/>
      <protection locked="0"/>
    </xf>
    <xf numFmtId="0" fontId="39" fillId="3" borderId="29" xfId="0" applyFont="1" applyFill="1" applyBorder="1" applyAlignment="1" applyProtection="1">
      <alignment horizontal="left" vertical="center"/>
      <protection locked="0"/>
    </xf>
    <xf numFmtId="0" fontId="60" fillId="0" borderId="0" xfId="0" applyFont="1" applyAlignment="1" applyProtection="1">
      <alignment horizontal="right"/>
      <protection locked="0"/>
    </xf>
    <xf numFmtId="0" fontId="59" fillId="0" borderId="0" xfId="0" applyFont="1" applyProtection="1">
      <protection locked="0"/>
    </xf>
    <xf numFmtId="0" fontId="60" fillId="6" borderId="52" xfId="0" applyFont="1" applyFill="1" applyBorder="1" applyAlignment="1">
      <alignment horizontal="left" wrapText="1"/>
    </xf>
    <xf numFmtId="0" fontId="60" fillId="6" borderId="54" xfId="0" applyFont="1" applyFill="1" applyBorder="1" applyAlignment="1">
      <alignment horizontal="center" wrapText="1"/>
    </xf>
    <xf numFmtId="0" fontId="60" fillId="6" borderId="53" xfId="0" applyFont="1" applyFill="1" applyBorder="1" applyAlignment="1">
      <alignment horizontal="center" wrapText="1"/>
    </xf>
    <xf numFmtId="0" fontId="59" fillId="0" borderId="17" xfId="0" applyFont="1" applyBorder="1" applyProtection="1">
      <protection locked="0"/>
    </xf>
    <xf numFmtId="0" fontId="81" fillId="0" borderId="17" xfId="0" applyFont="1" applyBorder="1" applyAlignment="1" applyProtection="1">
      <alignment horizontal="right"/>
      <protection locked="0"/>
    </xf>
    <xf numFmtId="49" fontId="81" fillId="0" borderId="17" xfId="0" applyNumberFormat="1" applyFont="1" applyBorder="1" applyAlignment="1">
      <alignment horizontal="right"/>
    </xf>
    <xf numFmtId="0" fontId="59" fillId="0" borderId="1" xfId="0" applyFont="1" applyBorder="1" applyAlignment="1" applyProtection="1">
      <alignment wrapText="1"/>
      <protection locked="0"/>
    </xf>
    <xf numFmtId="0" fontId="59" fillId="0" borderId="2" xfId="0" applyFont="1" applyBorder="1" applyProtection="1">
      <protection locked="0"/>
    </xf>
    <xf numFmtId="164" fontId="59" fillId="0" borderId="2" xfId="1" applyNumberFormat="1" applyFont="1" applyFill="1" applyBorder="1" applyProtection="1">
      <protection locked="0"/>
    </xf>
    <xf numFmtId="0" fontId="59" fillId="0" borderId="4" xfId="0" applyFont="1" applyBorder="1"/>
    <xf numFmtId="0" fontId="60" fillId="0" borderId="3" xfId="0" applyFont="1" applyBorder="1" applyAlignment="1" applyProtection="1">
      <alignment horizontal="left"/>
      <protection locked="0"/>
    </xf>
    <xf numFmtId="0" fontId="59" fillId="0" borderId="5" xfId="0" applyFont="1" applyBorder="1"/>
    <xf numFmtId="0" fontId="59" fillId="0" borderId="3" xfId="0" applyFont="1" applyBorder="1" applyAlignment="1" applyProtection="1">
      <alignment wrapText="1"/>
      <protection locked="0"/>
    </xf>
    <xf numFmtId="0" fontId="60" fillId="0" borderId="0" xfId="0" applyFont="1" applyAlignment="1" applyProtection="1">
      <alignment horizontal="center" wrapText="1"/>
      <protection locked="0"/>
    </xf>
    <xf numFmtId="0" fontId="60" fillId="0" borderId="3" xfId="0" applyFont="1" applyBorder="1" applyAlignment="1" applyProtection="1">
      <alignment horizontal="right" wrapText="1"/>
      <protection locked="0"/>
    </xf>
    <xf numFmtId="49" fontId="81" fillId="0" borderId="5" xfId="0" applyNumberFormat="1" applyFont="1" applyBorder="1" applyAlignment="1">
      <alignment horizontal="right"/>
    </xf>
    <xf numFmtId="0" fontId="59" fillId="0" borderId="3" xfId="0" applyFont="1" applyBorder="1"/>
    <xf numFmtId="0" fontId="59" fillId="0" borderId="6" xfId="0" applyFont="1" applyBorder="1"/>
    <xf numFmtId="0" fontId="59" fillId="0" borderId="19" xfId="0" applyFont="1" applyBorder="1"/>
    <xf numFmtId="8" fontId="60" fillId="0" borderId="0" xfId="1" applyNumberFormat="1" applyFont="1" applyFill="1" applyBorder="1" applyProtection="1"/>
    <xf numFmtId="0" fontId="59" fillId="27" borderId="24" xfId="0" applyFont="1" applyFill="1" applyBorder="1" applyProtection="1">
      <protection locked="0"/>
    </xf>
    <xf numFmtId="0" fontId="59" fillId="27" borderId="26" xfId="0" applyFont="1" applyFill="1" applyBorder="1" applyProtection="1">
      <protection locked="0"/>
    </xf>
    <xf numFmtId="0" fontId="59" fillId="3" borderId="9" xfId="0" applyFont="1" applyFill="1" applyBorder="1" applyProtection="1">
      <protection locked="0"/>
    </xf>
    <xf numFmtId="0" fontId="59" fillId="27" borderId="28" xfId="0" applyFont="1" applyFill="1" applyBorder="1" applyProtection="1">
      <protection locked="0"/>
    </xf>
    <xf numFmtId="0" fontId="59" fillId="3" borderId="35" xfId="0" applyFont="1" applyFill="1" applyBorder="1" applyProtection="1">
      <protection locked="0"/>
    </xf>
    <xf numFmtId="0" fontId="60" fillId="0" borderId="0" xfId="0" applyFont="1" applyAlignment="1" applyProtection="1">
      <alignment horizontal="left" wrapText="1"/>
      <protection locked="0"/>
    </xf>
    <xf numFmtId="0" fontId="85" fillId="24" borderId="1" xfId="0" applyFont="1" applyFill="1" applyBorder="1"/>
    <xf numFmtId="0" fontId="38" fillId="24" borderId="2" xfId="0" applyFont="1" applyFill="1" applyBorder="1"/>
    <xf numFmtId="0" fontId="84" fillId="24" borderId="2" xfId="0" applyFont="1" applyFill="1" applyBorder="1"/>
    <xf numFmtId="0" fontId="86" fillId="24" borderId="4" xfId="0" applyFont="1" applyFill="1" applyBorder="1" applyAlignment="1">
      <alignment horizontal="center"/>
    </xf>
    <xf numFmtId="0" fontId="85" fillId="24" borderId="3" xfId="0" applyFont="1" applyFill="1" applyBorder="1"/>
    <xf numFmtId="0" fontId="84" fillId="24" borderId="5" xfId="0" applyFont="1" applyFill="1" applyBorder="1"/>
    <xf numFmtId="0" fontId="57" fillId="24" borderId="3" xfId="0" applyFont="1" applyFill="1" applyBorder="1"/>
    <xf numFmtId="0" fontId="57" fillId="24" borderId="5" xfId="0" applyFont="1" applyFill="1" applyBorder="1"/>
    <xf numFmtId="0" fontId="57" fillId="24" borderId="6" xfId="0" applyFont="1" applyFill="1" applyBorder="1"/>
    <xf numFmtId="0" fontId="57" fillId="24" borderId="7" xfId="0" applyFont="1" applyFill="1" applyBorder="1"/>
    <xf numFmtId="0" fontId="57" fillId="24" borderId="19" xfId="0" applyFont="1" applyFill="1" applyBorder="1"/>
    <xf numFmtId="0" fontId="61" fillId="7" borderId="1" xfId="0" applyFont="1" applyFill="1" applyBorder="1"/>
    <xf numFmtId="0" fontId="61" fillId="7" borderId="2" xfId="0" applyFont="1" applyFill="1" applyBorder="1" applyAlignment="1">
      <alignment horizontal="left"/>
    </xf>
    <xf numFmtId="14" fontId="61" fillId="3" borderId="2" xfId="0" applyNumberFormat="1" applyFont="1" applyFill="1" applyBorder="1" applyAlignment="1" applyProtection="1">
      <alignment horizontal="left"/>
      <protection locked="0"/>
    </xf>
    <xf numFmtId="0" fontId="61" fillId="7" borderId="4" xfId="0" applyFont="1" applyFill="1" applyBorder="1" applyAlignment="1">
      <alignment horizontal="justify"/>
    </xf>
    <xf numFmtId="0" fontId="61" fillId="7" borderId="3" xfId="0" applyFont="1" applyFill="1" applyBorder="1"/>
    <xf numFmtId="0" fontId="61" fillId="7" borderId="0" xfId="0" applyFont="1" applyFill="1" applyAlignment="1">
      <alignment horizontal="left"/>
    </xf>
    <xf numFmtId="0" fontId="61" fillId="3" borderId="59" xfId="0" applyFont="1" applyFill="1" applyBorder="1" applyAlignment="1" applyProtection="1">
      <alignment horizontal="left"/>
      <protection locked="0"/>
    </xf>
    <xf numFmtId="0" fontId="61" fillId="7" borderId="5" xfId="0" applyFont="1" applyFill="1" applyBorder="1" applyAlignment="1">
      <alignment horizontal="justify"/>
    </xf>
    <xf numFmtId="0" fontId="61" fillId="7" borderId="0" xfId="0" applyFont="1" applyFill="1" applyAlignment="1">
      <alignment horizontal="right"/>
    </xf>
    <xf numFmtId="0" fontId="0" fillId="7" borderId="5" xfId="0" applyFill="1" applyBorder="1"/>
    <xf numFmtId="0" fontId="61" fillId="7" borderId="59" xfId="0" applyFont="1" applyFill="1" applyBorder="1" applyAlignment="1">
      <alignment horizontal="left"/>
    </xf>
    <xf numFmtId="0" fontId="0" fillId="7" borderId="6" xfId="0" applyFill="1" applyBorder="1"/>
    <xf numFmtId="0" fontId="61" fillId="7" borderId="7" xfId="0" applyFont="1" applyFill="1" applyBorder="1" applyAlignment="1">
      <alignment horizontal="right"/>
    </xf>
    <xf numFmtId="0" fontId="61" fillId="7" borderId="19" xfId="0" applyFont="1" applyFill="1" applyBorder="1" applyAlignment="1">
      <alignment horizontal="justify"/>
    </xf>
    <xf numFmtId="14" fontId="61" fillId="3" borderId="0" xfId="0" applyNumberFormat="1" applyFont="1" applyFill="1" applyAlignment="1" applyProtection="1">
      <alignment horizontal="left"/>
      <protection locked="0"/>
    </xf>
    <xf numFmtId="14" fontId="32" fillId="0" borderId="9" xfId="0" applyNumberFormat="1" applyFont="1" applyBorder="1" applyAlignment="1">
      <alignment horizontal="center" vertical="center" wrapText="1"/>
    </xf>
    <xf numFmtId="0" fontId="38" fillId="24" borderId="0" xfId="0" applyFont="1" applyFill="1"/>
    <xf numFmtId="0" fontId="84" fillId="24" borderId="0" xfId="0" applyFont="1" applyFill="1"/>
    <xf numFmtId="0" fontId="60" fillId="7" borderId="0" xfId="0" applyFont="1" applyFill="1" applyAlignment="1">
      <alignment horizontal="centerContinuous"/>
    </xf>
    <xf numFmtId="0" fontId="54" fillId="7" borderId="25" xfId="0" applyFont="1" applyFill="1" applyBorder="1" applyAlignment="1" applyProtection="1">
      <alignment horizontal="center" vertical="top" wrapText="1"/>
      <protection locked="0"/>
    </xf>
    <xf numFmtId="43" fontId="39" fillId="3" borderId="9" xfId="0" applyNumberFormat="1" applyFont="1" applyFill="1" applyBorder="1" applyAlignment="1" applyProtection="1">
      <alignment horizontal="left" vertical="center"/>
      <protection locked="0"/>
    </xf>
    <xf numFmtId="43" fontId="39" fillId="3" borderId="35" xfId="0" applyNumberFormat="1" applyFont="1" applyFill="1" applyBorder="1" applyAlignment="1" applyProtection="1">
      <alignment horizontal="left" vertical="center"/>
      <protection locked="0"/>
    </xf>
    <xf numFmtId="0" fontId="0" fillId="4" borderId="28" xfId="0" applyFill="1" applyBorder="1" applyAlignment="1" applyProtection="1">
      <alignment horizontal="center" vertical="center"/>
      <protection locked="0"/>
    </xf>
    <xf numFmtId="0" fontId="55" fillId="3" borderId="27" xfId="0" applyFont="1" applyFill="1" applyBorder="1" applyAlignment="1" applyProtection="1">
      <alignment horizontal="center" vertical="center"/>
      <protection locked="0"/>
    </xf>
    <xf numFmtId="14" fontId="0" fillId="3" borderId="27" xfId="0" applyNumberFormat="1" applyFill="1" applyBorder="1" applyAlignment="1" applyProtection="1">
      <alignment horizontal="center" vertical="center"/>
      <protection locked="0"/>
    </xf>
    <xf numFmtId="0" fontId="0" fillId="3" borderId="27" xfId="0" applyFill="1" applyBorder="1" applyAlignment="1" applyProtection="1">
      <alignment horizontal="center" vertical="center"/>
      <protection locked="0"/>
    </xf>
    <xf numFmtId="0" fontId="4" fillId="24" borderId="2" xfId="0" applyFont="1" applyFill="1" applyBorder="1"/>
    <xf numFmtId="0" fontId="65" fillId="24" borderId="2" xfId="0" applyFont="1" applyFill="1" applyBorder="1"/>
    <xf numFmtId="0" fontId="65" fillId="24" borderId="0" xfId="0" applyFont="1" applyFill="1"/>
    <xf numFmtId="0" fontId="65" fillId="24" borderId="7" xfId="0" applyFont="1" applyFill="1" applyBorder="1"/>
    <xf numFmtId="0" fontId="66" fillId="24" borderId="0" xfId="0" applyFont="1" applyFill="1"/>
    <xf numFmtId="0" fontId="88" fillId="12" borderId="61" xfId="28" applyFont="1" applyFill="1" applyAlignment="1">
      <alignment horizontal="center" vertical="center" wrapText="1"/>
    </xf>
    <xf numFmtId="0" fontId="87" fillId="12" borderId="61" xfId="28" applyFill="1" applyAlignment="1">
      <alignment horizontal="center" vertical="center" wrapText="1"/>
    </xf>
    <xf numFmtId="0" fontId="87" fillId="12" borderId="61" xfId="28" applyFill="1" applyAlignment="1">
      <alignment horizontal="center" vertical="center"/>
    </xf>
    <xf numFmtId="0" fontId="87" fillId="12" borderId="61" xfId="29" applyFill="1" applyAlignment="1">
      <alignment horizontal="center" vertical="center" wrapText="1"/>
    </xf>
    <xf numFmtId="0" fontId="87" fillId="12" borderId="61" xfId="30" applyFill="1" applyAlignment="1">
      <alignment horizontal="center" vertical="center" wrapText="1"/>
    </xf>
    <xf numFmtId="49" fontId="26" fillId="21" borderId="61" xfId="31" applyFill="1" applyAlignment="1">
      <alignment horizontal="center"/>
    </xf>
    <xf numFmtId="49" fontId="26" fillId="30" borderId="61" xfId="31" applyAlignment="1">
      <alignment horizontal="center"/>
    </xf>
    <xf numFmtId="4" fontId="26" fillId="30" borderId="61" xfId="32" applyAlignment="1">
      <alignment horizontal="center"/>
    </xf>
    <xf numFmtId="0" fontId="26" fillId="30" borderId="61" xfId="31" applyNumberFormat="1" applyAlignment="1">
      <alignment horizontal="center"/>
    </xf>
    <xf numFmtId="0" fontId="87" fillId="21" borderId="61" xfId="30" applyFill="1" applyAlignment="1">
      <alignment horizontal="center" vertical="center" wrapText="1"/>
    </xf>
    <xf numFmtId="0" fontId="26" fillId="30" borderId="61" xfId="31" applyNumberFormat="1" applyAlignment="1">
      <alignment horizontal="left"/>
    </xf>
    <xf numFmtId="49" fontId="26" fillId="30" borderId="61" xfId="31" applyAlignment="1">
      <alignment horizontal="left"/>
    </xf>
    <xf numFmtId="49" fontId="26" fillId="30" borderId="63" xfId="31" applyBorder="1" applyAlignment="1">
      <alignment horizontal="center"/>
    </xf>
    <xf numFmtId="49" fontId="26" fillId="30" borderId="64" xfId="31" applyBorder="1" applyAlignment="1">
      <alignment horizontal="center"/>
    </xf>
    <xf numFmtId="49" fontId="26" fillId="30" borderId="62" xfId="31" applyBorder="1" applyAlignment="1">
      <alignment horizontal="center"/>
    </xf>
    <xf numFmtId="49" fontId="26" fillId="30" borderId="64" xfId="31" applyBorder="1" applyAlignment="1">
      <alignment horizontal="left"/>
    </xf>
    <xf numFmtId="49" fontId="26" fillId="30" borderId="65" xfId="31" applyBorder="1" applyAlignment="1">
      <alignment horizontal="center"/>
    </xf>
    <xf numFmtId="49" fontId="26" fillId="30" borderId="67" xfId="31" applyBorder="1" applyAlignment="1">
      <alignment horizontal="center"/>
    </xf>
    <xf numFmtId="49" fontId="26" fillId="30" borderId="69" xfId="31" applyBorder="1" applyAlignment="1">
      <alignment horizontal="center"/>
    </xf>
    <xf numFmtId="49" fontId="26" fillId="30" borderId="63" xfId="31" applyBorder="1" applyAlignment="1">
      <alignment horizontal="left"/>
    </xf>
    <xf numFmtId="49" fontId="26" fillId="30" borderId="71" xfId="31" applyBorder="1" applyAlignment="1">
      <alignment horizontal="center"/>
    </xf>
    <xf numFmtId="49" fontId="26" fillId="30" borderId="72" xfId="31" applyBorder="1" applyAlignment="1">
      <alignment horizontal="left"/>
    </xf>
    <xf numFmtId="49" fontId="26" fillId="30" borderId="73" xfId="31" applyBorder="1" applyAlignment="1">
      <alignment horizontal="center"/>
    </xf>
    <xf numFmtId="49" fontId="26" fillId="30" borderId="75" xfId="31" applyBorder="1" applyAlignment="1">
      <alignment horizontal="left"/>
    </xf>
    <xf numFmtId="49" fontId="26" fillId="30" borderId="76" xfId="31" applyBorder="1" applyAlignment="1">
      <alignment horizontal="left"/>
    </xf>
    <xf numFmtId="49" fontId="26" fillId="30" borderId="77" xfId="31" applyBorder="1" applyAlignment="1">
      <alignment horizontal="center"/>
    </xf>
    <xf numFmtId="49" fontId="26" fillId="30" borderId="78" xfId="31" applyBorder="1" applyAlignment="1">
      <alignment horizontal="left"/>
    </xf>
    <xf numFmtId="49" fontId="26" fillId="30" borderId="78" xfId="31" applyBorder="1" applyAlignment="1">
      <alignment horizontal="center"/>
    </xf>
    <xf numFmtId="49" fontId="26" fillId="30" borderId="80" xfId="31" applyBorder="1" applyAlignment="1">
      <alignment horizontal="center"/>
    </xf>
    <xf numFmtId="49" fontId="26" fillId="30" borderId="80" xfId="31" applyBorder="1" applyAlignment="1">
      <alignment horizontal="left"/>
    </xf>
    <xf numFmtId="49" fontId="26" fillId="30" borderId="81" xfId="31" applyBorder="1" applyAlignment="1">
      <alignment horizontal="left"/>
    </xf>
    <xf numFmtId="49" fontId="26" fillId="30" borderId="81" xfId="31" applyBorder="1" applyAlignment="1">
      <alignment horizontal="center"/>
    </xf>
    <xf numFmtId="49" fontId="26" fillId="30" borderId="79" xfId="31" applyBorder="1" applyAlignment="1">
      <alignment horizontal="left"/>
    </xf>
    <xf numFmtId="0" fontId="39" fillId="7" borderId="35" xfId="0" applyFont="1" applyFill="1" applyBorder="1" applyAlignment="1">
      <alignment vertical="center"/>
    </xf>
    <xf numFmtId="175" fontId="63" fillId="0" borderId="0" xfId="0" applyNumberFormat="1" applyFont="1" applyAlignment="1">
      <alignment vertical="center"/>
    </xf>
    <xf numFmtId="0" fontId="68" fillId="0" borderId="0" xfId="0" applyFont="1" applyAlignment="1">
      <alignment horizontal="center" vertical="center"/>
    </xf>
    <xf numFmtId="3" fontId="39" fillId="7" borderId="35" xfId="0" applyNumberFormat="1" applyFont="1" applyFill="1" applyBorder="1" applyAlignment="1">
      <alignment horizontal="left" vertical="center"/>
    </xf>
    <xf numFmtId="0" fontId="39" fillId="7" borderId="29" xfId="0" applyFont="1" applyFill="1" applyBorder="1" applyAlignment="1">
      <alignment vertical="center"/>
    </xf>
    <xf numFmtId="3" fontId="83" fillId="7" borderId="9" xfId="0" applyNumberFormat="1" applyFont="1" applyFill="1" applyBorder="1" applyAlignment="1">
      <alignment horizontal="left" vertical="center"/>
    </xf>
    <xf numFmtId="3" fontId="83" fillId="7" borderId="35" xfId="0" applyNumberFormat="1" applyFont="1" applyFill="1" applyBorder="1" applyAlignment="1">
      <alignment horizontal="left" vertical="center"/>
    </xf>
    <xf numFmtId="0" fontId="59" fillId="6" borderId="15" xfId="0" applyFont="1" applyFill="1" applyBorder="1" applyAlignment="1">
      <alignment horizontal="center" wrapText="1"/>
    </xf>
    <xf numFmtId="0" fontId="60" fillId="6" borderId="18" xfId="0" applyFont="1" applyFill="1" applyBorder="1"/>
    <xf numFmtId="4" fontId="59" fillId="6" borderId="15" xfId="0" applyNumberFormat="1" applyFont="1" applyFill="1" applyBorder="1"/>
    <xf numFmtId="49" fontId="81" fillId="6" borderId="15" xfId="0" applyNumberFormat="1" applyFont="1" applyFill="1" applyBorder="1"/>
    <xf numFmtId="0" fontId="89" fillId="0" borderId="0" xfId="0" applyFont="1"/>
    <xf numFmtId="0" fontId="59" fillId="6" borderId="18" xfId="0" applyFont="1" applyFill="1" applyBorder="1" applyAlignment="1">
      <alignment horizontal="center" wrapText="1"/>
    </xf>
    <xf numFmtId="4" fontId="60" fillId="6" borderId="18" xfId="1" applyNumberFormat="1" applyFont="1" applyFill="1" applyBorder="1"/>
    <xf numFmtId="49" fontId="81" fillId="6" borderId="18" xfId="0" applyNumberFormat="1" applyFont="1" applyFill="1" applyBorder="1"/>
    <xf numFmtId="0" fontId="5" fillId="6" borderId="15" xfId="0" applyFont="1" applyFill="1" applyBorder="1"/>
    <xf numFmtId="0" fontId="6" fillId="6" borderId="15" xfId="0" applyFont="1" applyFill="1" applyBorder="1"/>
    <xf numFmtId="0" fontId="6" fillId="6" borderId="21" xfId="0" applyFont="1" applyFill="1" applyBorder="1"/>
    <xf numFmtId="0" fontId="6" fillId="6" borderId="15" xfId="0" applyFont="1" applyFill="1" applyBorder="1" applyAlignment="1">
      <alignment horizontal="center" wrapText="1"/>
    </xf>
    <xf numFmtId="0" fontId="6" fillId="6" borderId="21" xfId="0" applyFont="1" applyFill="1" applyBorder="1" applyAlignment="1">
      <alignment horizontal="center" wrapText="1"/>
    </xf>
    <xf numFmtId="165" fontId="6" fillId="6" borderId="21" xfId="1" applyNumberFormat="1" applyFont="1" applyFill="1" applyBorder="1"/>
    <xf numFmtId="9" fontId="10" fillId="6" borderId="15" xfId="0" applyNumberFormat="1" applyFont="1" applyFill="1" applyBorder="1"/>
    <xf numFmtId="49" fontId="10" fillId="6" borderId="21" xfId="0" applyNumberFormat="1" applyFont="1" applyFill="1" applyBorder="1"/>
    <xf numFmtId="9" fontId="6" fillId="6" borderId="15" xfId="0" applyNumberFormat="1" applyFont="1" applyFill="1" applyBorder="1" applyAlignment="1">
      <alignment horizontal="center"/>
    </xf>
    <xf numFmtId="14" fontId="59" fillId="3" borderId="25" xfId="0" applyNumberFormat="1" applyFont="1" applyFill="1" applyBorder="1" applyAlignment="1" applyProtection="1">
      <alignment horizontal="left"/>
      <protection locked="0"/>
    </xf>
    <xf numFmtId="14" fontId="59" fillId="3" borderId="27" xfId="0" applyNumberFormat="1" applyFont="1" applyFill="1" applyBorder="1" applyAlignment="1" applyProtection="1">
      <alignment horizontal="left"/>
      <protection locked="0"/>
    </xf>
    <xf numFmtId="14" fontId="59" fillId="3" borderId="29" xfId="0" applyNumberFormat="1" applyFont="1" applyFill="1" applyBorder="1" applyAlignment="1" applyProtection="1">
      <alignment horizontal="left"/>
      <protection locked="0"/>
    </xf>
    <xf numFmtId="165" fontId="6" fillId="3" borderId="34" xfId="1" applyNumberFormat="1" applyFont="1" applyFill="1" applyBorder="1" applyAlignment="1" applyProtection="1">
      <alignment horizontal="center"/>
      <protection locked="0"/>
    </xf>
    <xf numFmtId="165" fontId="6" fillId="3" borderId="9" xfId="1" applyNumberFormat="1" applyFont="1" applyFill="1" applyBorder="1" applyAlignment="1" applyProtection="1">
      <alignment horizontal="center"/>
      <protection locked="0"/>
    </xf>
    <xf numFmtId="165" fontId="6" fillId="3" borderId="35" xfId="1" applyNumberFormat="1" applyFont="1" applyFill="1" applyBorder="1" applyAlignment="1" applyProtection="1">
      <alignment horizontal="center"/>
      <protection locked="0"/>
    </xf>
    <xf numFmtId="0" fontId="59" fillId="0" borderId="17" xfId="0" applyFont="1" applyBorder="1" applyAlignment="1" applyProtection="1">
      <alignment horizontal="center"/>
      <protection locked="0"/>
    </xf>
    <xf numFmtId="0" fontId="0" fillId="11" borderId="21" xfId="0" applyFill="1" applyBorder="1" applyAlignment="1">
      <alignment horizontal="center"/>
    </xf>
    <xf numFmtId="0" fontId="82" fillId="0" borderId="0" xfId="0" applyFont="1" applyAlignment="1">
      <alignment horizontal="left"/>
    </xf>
    <xf numFmtId="49" fontId="82" fillId="0" borderId="0" xfId="0" applyNumberFormat="1" applyFont="1"/>
    <xf numFmtId="4" fontId="82" fillId="0" borderId="43" xfId="1" applyNumberFormat="1" applyFont="1" applyBorder="1"/>
    <xf numFmtId="0" fontId="35" fillId="0" borderId="0" xfId="0" applyFont="1"/>
    <xf numFmtId="43" fontId="0" fillId="0" borderId="0" xfId="1" applyFont="1" applyBorder="1"/>
    <xf numFmtId="43" fontId="0" fillId="0" borderId="0" xfId="1" applyFont="1" applyBorder="1" applyAlignment="1">
      <alignment horizontal="center"/>
    </xf>
    <xf numFmtId="0" fontId="49" fillId="0" borderId="0" xfId="0" applyFont="1"/>
    <xf numFmtId="0" fontId="50" fillId="0" borderId="0" xfId="0" applyFont="1"/>
    <xf numFmtId="43" fontId="34" fillId="0" borderId="0" xfId="1" applyFont="1" applyBorder="1" applyAlignment="1">
      <alignment horizontal="left"/>
    </xf>
    <xf numFmtId="43" fontId="2" fillId="0" borderId="0" xfId="1" applyFont="1" applyBorder="1"/>
    <xf numFmtId="0" fontId="24" fillId="0" borderId="0" xfId="0" applyFont="1" applyAlignment="1">
      <alignment horizontal="center" readingOrder="1"/>
    </xf>
    <xf numFmtId="0" fontId="54" fillId="7" borderId="0" xfId="0" applyFont="1" applyFill="1"/>
    <xf numFmtId="0" fontId="36" fillId="0" borderId="0" xfId="0" applyFont="1"/>
    <xf numFmtId="0" fontId="54" fillId="0" borderId="0" xfId="0" applyFont="1"/>
    <xf numFmtId="44" fontId="90" fillId="0" borderId="0" xfId="0" applyNumberFormat="1" applyFont="1"/>
    <xf numFmtId="0" fontId="90" fillId="0" borderId="0" xfId="0" applyFont="1"/>
    <xf numFmtId="49" fontId="26" fillId="0" borderId="63" xfId="31" applyFill="1" applyBorder="1" applyAlignment="1">
      <alignment horizontal="center"/>
    </xf>
    <xf numFmtId="49" fontId="26" fillId="0" borderId="74" xfId="31" applyFill="1" applyBorder="1" applyAlignment="1">
      <alignment horizontal="left"/>
    </xf>
    <xf numFmtId="49" fontId="26" fillId="0" borderId="76" xfId="31" applyFill="1" applyBorder="1" applyAlignment="1">
      <alignment horizontal="center"/>
    </xf>
    <xf numFmtId="49" fontId="26" fillId="0" borderId="70" xfId="31" applyFill="1" applyBorder="1" applyAlignment="1">
      <alignment horizontal="left"/>
    </xf>
    <xf numFmtId="49" fontId="26" fillId="0" borderId="75" xfId="31" applyFill="1" applyBorder="1" applyAlignment="1">
      <alignment horizontal="center"/>
    </xf>
    <xf numFmtId="49" fontId="26" fillId="0" borderId="66" xfId="31" applyFill="1" applyBorder="1" applyAlignment="1">
      <alignment horizontal="left"/>
    </xf>
    <xf numFmtId="49" fontId="26" fillId="0" borderId="61" xfId="31" applyFill="1" applyAlignment="1">
      <alignment horizontal="center"/>
    </xf>
    <xf numFmtId="49" fontId="26" fillId="0" borderId="68" xfId="31" applyFill="1" applyBorder="1" applyAlignment="1">
      <alignment horizontal="left"/>
    </xf>
    <xf numFmtId="0" fontId="26" fillId="0" borderId="61" xfId="31" applyNumberFormat="1" applyFill="1" applyAlignment="1">
      <alignment horizontal="left"/>
    </xf>
    <xf numFmtId="0" fontId="54" fillId="17" borderId="0" xfId="0" applyFont="1" applyFill="1" applyAlignment="1">
      <alignment horizontal="centerContinuous"/>
    </xf>
    <xf numFmtId="43" fontId="49" fillId="0" borderId="0" xfId="1" applyFont="1"/>
    <xf numFmtId="43" fontId="35" fillId="0" borderId="0" xfId="1" applyFont="1"/>
    <xf numFmtId="0" fontId="35" fillId="17" borderId="0" xfId="0" applyFont="1" applyFill="1" applyAlignment="1">
      <alignment horizontal="centerContinuous"/>
    </xf>
    <xf numFmtId="44" fontId="49" fillId="0" borderId="0" xfId="0" applyNumberFormat="1" applyFont="1"/>
    <xf numFmtId="43" fontId="34" fillId="0" borderId="0" xfId="1" applyFont="1" applyBorder="1" applyAlignment="1"/>
    <xf numFmtId="0" fontId="26" fillId="0" borderId="61" xfId="31" applyNumberFormat="1" applyFill="1" applyAlignment="1">
      <alignment horizontal="center"/>
    </xf>
    <xf numFmtId="4" fontId="26" fillId="0" borderId="61" xfId="32" applyFill="1" applyAlignment="1">
      <alignment horizontal="center"/>
    </xf>
    <xf numFmtId="49" fontId="26" fillId="0" borderId="61" xfId="31" applyFill="1" applyAlignment="1">
      <alignment horizontal="left"/>
    </xf>
    <xf numFmtId="172" fontId="0" fillId="0" borderId="0" xfId="0" applyNumberFormat="1"/>
    <xf numFmtId="177" fontId="0" fillId="0" borderId="0" xfId="1" applyNumberFormat="1" applyFont="1"/>
    <xf numFmtId="0" fontId="2" fillId="0" borderId="0" xfId="0" applyFont="1" applyAlignment="1">
      <alignment horizontal="right" vertical="center"/>
    </xf>
    <xf numFmtId="0" fontId="44" fillId="0" borderId="0" xfId="16" applyAlignment="1">
      <alignment horizontal="left" vertical="center" wrapText="1"/>
    </xf>
    <xf numFmtId="0" fontId="0" fillId="0" borderId="0" xfId="0" applyAlignment="1">
      <alignment horizontal="left" vertical="center" wrapText="1"/>
    </xf>
    <xf numFmtId="0" fontId="52" fillId="0" borderId="9" xfId="0" applyFont="1" applyBorder="1" applyAlignment="1" applyProtection="1">
      <alignment horizontal="centerContinuous" vertical="top" wrapText="1"/>
      <protection locked="0"/>
    </xf>
    <xf numFmtId="2" fontId="52" fillId="0" borderId="9" xfId="0" applyNumberFormat="1" applyFont="1" applyBorder="1" applyAlignment="1">
      <alignment horizontal="centerContinuous"/>
    </xf>
    <xf numFmtId="2" fontId="72" fillId="0" borderId="9" xfId="0" applyNumberFormat="1" applyFont="1" applyBorder="1" applyAlignment="1">
      <alignment horizontal="centerContinuous"/>
    </xf>
    <xf numFmtId="17" fontId="52" fillId="0" borderId="9" xfId="0" applyNumberFormat="1" applyFont="1" applyBorder="1" applyAlignment="1" applyProtection="1">
      <alignment vertical="top" wrapText="1"/>
      <protection locked="0"/>
    </xf>
    <xf numFmtId="0" fontId="2" fillId="0" borderId="24" xfId="0" applyFont="1" applyBorder="1" applyAlignment="1" applyProtection="1">
      <alignment horizontal="center" vertical="top" wrapText="1"/>
      <protection locked="0"/>
    </xf>
    <xf numFmtId="0" fontId="2" fillId="0" borderId="34" xfId="0" applyFont="1" applyBorder="1" applyAlignment="1" applyProtection="1">
      <alignment horizontal="center" vertical="top" wrapText="1"/>
      <protection locked="0"/>
    </xf>
    <xf numFmtId="0" fontId="2" fillId="0" borderId="25" xfId="0" applyFont="1" applyBorder="1" applyAlignment="1" applyProtection="1">
      <alignment horizontal="center" vertical="top" wrapText="1"/>
      <protection locked="0"/>
    </xf>
    <xf numFmtId="0" fontId="52" fillId="0" borderId="9" xfId="0" applyFont="1" applyBorder="1" applyAlignment="1" applyProtection="1">
      <alignment horizontal="center" vertical="top" wrapText="1"/>
      <protection locked="0"/>
    </xf>
    <xf numFmtId="17" fontId="52" fillId="0" borderId="9" xfId="0" applyNumberFormat="1" applyFont="1" applyBorder="1" applyAlignment="1" applyProtection="1">
      <alignment horizontal="center" vertical="top" wrapText="1"/>
      <protection locked="0"/>
    </xf>
    <xf numFmtId="43" fontId="0" fillId="0" borderId="9" xfId="0" applyNumberFormat="1" applyBorder="1" applyAlignment="1">
      <alignment vertical="center" wrapText="1"/>
    </xf>
    <xf numFmtId="177" fontId="0" fillId="0" borderId="9" xfId="1" applyNumberFormat="1" applyFont="1" applyBorder="1"/>
    <xf numFmtId="177" fontId="0" fillId="11" borderId="9" xfId="1" applyNumberFormat="1" applyFont="1" applyFill="1" applyBorder="1"/>
    <xf numFmtId="0" fontId="0" fillId="26" borderId="28" xfId="0" applyFill="1" applyBorder="1"/>
    <xf numFmtId="0" fontId="0" fillId="26" borderId="35" xfId="0" applyFill="1" applyBorder="1"/>
    <xf numFmtId="0" fontId="2" fillId="26" borderId="35" xfId="0" applyFont="1" applyFill="1" applyBorder="1"/>
    <xf numFmtId="43" fontId="0" fillId="26" borderId="35" xfId="0" applyNumberFormat="1" applyFill="1" applyBorder="1" applyAlignment="1">
      <alignment vertical="center" wrapText="1"/>
    </xf>
    <xf numFmtId="43" fontId="0" fillId="26" borderId="35" xfId="0" applyNumberFormat="1" applyFill="1" applyBorder="1"/>
    <xf numFmtId="43" fontId="0" fillId="26" borderId="29" xfId="0" applyNumberFormat="1" applyFill="1" applyBorder="1"/>
    <xf numFmtId="177" fontId="0" fillId="0" borderId="0" xfId="1" applyNumberFormat="1" applyFont="1" applyBorder="1"/>
    <xf numFmtId="0" fontId="91" fillId="0" borderId="0" xfId="0" applyFont="1"/>
    <xf numFmtId="165" fontId="6" fillId="0" borderId="9" xfId="1" applyNumberFormat="1" applyFont="1" applyFill="1" applyBorder="1" applyProtection="1"/>
    <xf numFmtId="4" fontId="0" fillId="0" borderId="0" xfId="0" applyNumberFormat="1"/>
    <xf numFmtId="177" fontId="0" fillId="0" borderId="0" xfId="0" applyNumberFormat="1"/>
    <xf numFmtId="49" fontId="10" fillId="0" borderId="0" xfId="0" applyNumberFormat="1" applyFont="1" applyAlignment="1">
      <alignment horizontal="left"/>
    </xf>
    <xf numFmtId="173" fontId="6" fillId="0" borderId="0" xfId="3" applyNumberFormat="1" applyFont="1" applyAlignment="1">
      <alignment horizontal="left"/>
    </xf>
    <xf numFmtId="166" fontId="5" fillId="0" borderId="5" xfId="3" applyNumberFormat="1" applyFont="1" applyBorder="1" applyAlignment="1">
      <alignment horizontal="left"/>
    </xf>
    <xf numFmtId="173" fontId="6" fillId="0" borderId="0" xfId="1" applyNumberFormat="1" applyFont="1" applyBorder="1" applyAlignment="1" applyProtection="1">
      <alignment horizontal="left"/>
      <protection locked="0"/>
    </xf>
    <xf numFmtId="0" fontId="86" fillId="31" borderId="9" xfId="0" applyFont="1" applyFill="1" applyBorder="1" applyAlignment="1">
      <alignment horizontal="center" vertical="center" wrapText="1"/>
    </xf>
    <xf numFmtId="0" fontId="29" fillId="0" borderId="9" xfId="0" applyFont="1" applyBorder="1" applyAlignment="1" applyProtection="1">
      <alignment horizontal="center" vertical="center" wrapText="1"/>
      <protection locked="0"/>
    </xf>
    <xf numFmtId="0" fontId="32" fillId="0" borderId="9" xfId="0" applyFont="1" applyBorder="1" applyAlignment="1" applyProtection="1">
      <alignment horizontal="center" vertical="center" wrapText="1"/>
      <protection locked="0"/>
    </xf>
    <xf numFmtId="0" fontId="29" fillId="0" borderId="9" xfId="0" applyFont="1" applyBorder="1" applyAlignment="1" applyProtection="1">
      <alignment horizontal="justify" vertical="center"/>
      <protection locked="0"/>
    </xf>
    <xf numFmtId="0" fontId="0" fillId="0" borderId="9" xfId="0" applyBorder="1" applyProtection="1">
      <protection locked="0"/>
    </xf>
    <xf numFmtId="14" fontId="0" fillId="0" borderId="9" xfId="0" applyNumberFormat="1" applyBorder="1" applyProtection="1">
      <protection locked="0"/>
    </xf>
    <xf numFmtId="178" fontId="0" fillId="0" borderId="9" xfId="1" applyNumberFormat="1" applyFont="1" applyBorder="1" applyProtection="1">
      <protection locked="0"/>
    </xf>
    <xf numFmtId="178" fontId="0" fillId="0" borderId="0" xfId="0" applyNumberFormat="1"/>
    <xf numFmtId="0" fontId="0" fillId="0" borderId="0" xfId="0" applyAlignment="1">
      <alignment horizontal="left" vertical="top" wrapText="1"/>
    </xf>
    <xf numFmtId="0" fontId="2" fillId="21" borderId="0" xfId="0" applyFont="1" applyFill="1"/>
    <xf numFmtId="0" fontId="2" fillId="21" borderId="0" xfId="0" applyFont="1" applyFill="1" applyAlignment="1">
      <alignment horizontal="center"/>
    </xf>
    <xf numFmtId="0" fontId="31" fillId="10" borderId="9" xfId="0" applyFont="1" applyFill="1" applyBorder="1" applyAlignment="1">
      <alignment vertical="center"/>
    </xf>
    <xf numFmtId="4" fontId="7" fillId="0" borderId="43" xfId="1" applyNumberFormat="1" applyFont="1" applyFill="1" applyBorder="1"/>
    <xf numFmtId="165" fontId="6" fillId="6" borderId="15" xfId="1" applyNumberFormat="1" applyFont="1" applyFill="1" applyBorder="1" applyProtection="1"/>
    <xf numFmtId="165" fontId="6" fillId="6" borderId="9" xfId="1" applyNumberFormat="1" applyFont="1" applyFill="1" applyBorder="1" applyProtection="1"/>
    <xf numFmtId="0" fontId="55" fillId="20" borderId="8" xfId="0" quotePrefix="1" applyFont="1" applyFill="1" applyBorder="1" applyAlignment="1" applyProtection="1">
      <alignment horizontal="left" vertical="top" wrapText="1"/>
      <protection locked="0"/>
    </xf>
    <xf numFmtId="0" fontId="55" fillId="20" borderId="14" xfId="0" quotePrefix="1" applyFont="1" applyFill="1" applyBorder="1" applyAlignment="1" applyProtection="1">
      <alignment horizontal="left" vertical="top" wrapText="1"/>
      <protection locked="0"/>
    </xf>
    <xf numFmtId="0" fontId="54" fillId="7" borderId="51" xfId="0" applyFont="1" applyFill="1" applyBorder="1" applyAlignment="1" applyProtection="1">
      <alignment horizontal="center" vertical="top"/>
      <protection locked="0"/>
    </xf>
    <xf numFmtId="0" fontId="54" fillId="7" borderId="58" xfId="0" applyFont="1" applyFill="1" applyBorder="1" applyAlignment="1" applyProtection="1">
      <alignment horizontal="center" vertical="top"/>
      <protection locked="0"/>
    </xf>
    <xf numFmtId="0" fontId="55" fillId="4" borderId="8" xfId="0" applyFont="1" applyFill="1" applyBorder="1" applyAlignment="1" applyProtection="1">
      <alignment horizontal="center" vertical="center"/>
      <protection locked="0"/>
    </xf>
    <xf numFmtId="0" fontId="55" fillId="4" borderId="14" xfId="0" applyFont="1" applyFill="1" applyBorder="1" applyAlignment="1" applyProtection="1">
      <alignment horizontal="center" vertical="center"/>
      <protection locked="0"/>
    </xf>
    <xf numFmtId="0" fontId="55" fillId="20" borderId="8" xfId="0" applyFont="1" applyFill="1" applyBorder="1" applyAlignment="1" applyProtection="1">
      <alignment horizontal="left" vertical="top"/>
      <protection locked="0"/>
    </xf>
    <xf numFmtId="0" fontId="55" fillId="20" borderId="14" xfId="0" applyFont="1" applyFill="1" applyBorder="1" applyAlignment="1" applyProtection="1">
      <alignment horizontal="left" vertical="top"/>
      <protection locked="0"/>
    </xf>
    <xf numFmtId="0" fontId="55" fillId="20" borderId="8" xfId="0" quotePrefix="1" applyFont="1" applyFill="1" applyBorder="1" applyAlignment="1" applyProtection="1">
      <alignment horizontal="left" vertical="center"/>
      <protection locked="0"/>
    </xf>
    <xf numFmtId="0" fontId="55" fillId="20" borderId="14" xfId="0" quotePrefix="1" applyFont="1" applyFill="1" applyBorder="1" applyAlignment="1" applyProtection="1">
      <alignment horizontal="left" vertical="center"/>
      <protection locked="0"/>
    </xf>
    <xf numFmtId="0" fontId="55" fillId="20" borderId="8" xfId="0" quotePrefix="1" applyFont="1" applyFill="1" applyBorder="1" applyAlignment="1" applyProtection="1">
      <alignment horizontal="left" vertical="top"/>
      <protection locked="0"/>
    </xf>
    <xf numFmtId="0" fontId="55" fillId="20" borderId="14" xfId="0" quotePrefix="1" applyFont="1" applyFill="1" applyBorder="1" applyAlignment="1" applyProtection="1">
      <alignment horizontal="left" vertical="top"/>
      <protection locked="0"/>
    </xf>
    <xf numFmtId="0" fontId="56" fillId="20" borderId="8" xfId="0" applyFont="1" applyFill="1" applyBorder="1" applyAlignment="1" applyProtection="1">
      <alignment horizontal="left" vertical="center" wrapText="1"/>
      <protection locked="0"/>
    </xf>
    <xf numFmtId="0" fontId="56" fillId="20" borderId="14" xfId="0" applyFont="1" applyFill="1" applyBorder="1" applyAlignment="1" applyProtection="1">
      <alignment horizontal="left" vertical="center" wrapText="1"/>
      <protection locked="0"/>
    </xf>
    <xf numFmtId="0" fontId="55" fillId="20" borderId="8" xfId="0" applyFont="1" applyFill="1" applyBorder="1" applyAlignment="1" applyProtection="1">
      <alignment horizontal="left" vertical="top" wrapText="1"/>
      <protection locked="0"/>
    </xf>
    <xf numFmtId="0" fontId="55" fillId="20" borderId="14" xfId="0" applyFont="1" applyFill="1" applyBorder="1" applyAlignment="1" applyProtection="1">
      <alignment horizontal="left" vertical="top" wrapText="1"/>
      <protection locked="0"/>
    </xf>
    <xf numFmtId="0" fontId="56" fillId="20" borderId="8" xfId="0" applyFont="1" applyFill="1" applyBorder="1" applyAlignment="1" applyProtection="1">
      <alignment horizontal="left" vertical="center"/>
      <protection locked="0"/>
    </xf>
    <xf numFmtId="0" fontId="56" fillId="20" borderId="14" xfId="0" applyFont="1" applyFill="1" applyBorder="1" applyAlignment="1" applyProtection="1">
      <alignment horizontal="left" vertical="center"/>
      <protection locked="0"/>
    </xf>
    <xf numFmtId="0" fontId="55" fillId="4" borderId="60" xfId="0" applyFont="1" applyFill="1" applyBorder="1" applyAlignment="1" applyProtection="1">
      <alignment horizontal="center" vertical="center"/>
      <protection locked="0"/>
    </xf>
    <xf numFmtId="0" fontId="55" fillId="4" borderId="56" xfId="0" applyFont="1" applyFill="1" applyBorder="1" applyAlignment="1" applyProtection="1">
      <alignment horizontal="center" vertical="center"/>
      <protection locked="0"/>
    </xf>
    <xf numFmtId="0" fontId="5" fillId="0" borderId="0" xfId="0" applyFont="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5" fillId="4" borderId="45" xfId="0" applyFont="1" applyFill="1" applyBorder="1"/>
    <xf numFmtId="0" fontId="5" fillId="4" borderId="14" xfId="0" applyFont="1" applyFill="1" applyBorder="1"/>
    <xf numFmtId="0" fontId="57" fillId="24" borderId="1" xfId="0" applyFont="1" applyFill="1" applyBorder="1" applyAlignment="1">
      <alignment wrapText="1"/>
    </xf>
    <xf numFmtId="0" fontId="58" fillId="24" borderId="2" xfId="0" applyFont="1" applyFill="1" applyBorder="1"/>
    <xf numFmtId="0" fontId="3" fillId="0" borderId="3" xfId="0" applyFont="1" applyBorder="1" applyAlignment="1">
      <alignment horizontal="center"/>
    </xf>
    <xf numFmtId="0" fontId="3" fillId="0" borderId="0" xfId="0" applyFont="1" applyAlignment="1">
      <alignment horizontal="center"/>
    </xf>
    <xf numFmtId="0" fontId="65" fillId="0" borderId="0" xfId="0" applyFont="1" applyAlignment="1">
      <alignment horizontal="center"/>
    </xf>
    <xf numFmtId="0" fontId="5" fillId="4" borderId="20" xfId="0" applyFont="1" applyFill="1" applyBorder="1"/>
    <xf numFmtId="4" fontId="6" fillId="3" borderId="9" xfId="1" applyNumberFormat="1" applyFont="1" applyFill="1" applyBorder="1" applyAlignment="1" applyProtection="1">
      <alignment horizontal="center" wrapText="1"/>
      <protection locked="0"/>
    </xf>
    <xf numFmtId="4" fontId="6" fillId="3" borderId="27" xfId="1" applyNumberFormat="1" applyFont="1" applyFill="1" applyBorder="1" applyAlignment="1" applyProtection="1">
      <alignment horizontal="center" wrapText="1"/>
      <protection locked="0"/>
    </xf>
    <xf numFmtId="4" fontId="6" fillId="3" borderId="9" xfId="1" applyNumberFormat="1" applyFont="1" applyFill="1" applyBorder="1" applyAlignment="1" applyProtection="1">
      <alignment horizontal="left" wrapText="1"/>
      <protection locked="0"/>
    </xf>
    <xf numFmtId="4" fontId="6" fillId="3" borderId="27" xfId="1" applyNumberFormat="1" applyFont="1" applyFill="1" applyBorder="1" applyAlignment="1" applyProtection="1">
      <alignment horizontal="left" wrapText="1"/>
      <protection locked="0"/>
    </xf>
    <xf numFmtId="0" fontId="10" fillId="0" borderId="17" xfId="0" applyFont="1" applyBorder="1" applyAlignment="1" applyProtection="1">
      <alignment horizontal="center"/>
      <protection locked="0"/>
    </xf>
    <xf numFmtId="14" fontId="10" fillId="0" borderId="17" xfId="0" applyNumberFormat="1" applyFont="1" applyBorder="1" applyAlignment="1" applyProtection="1">
      <alignment horizontal="center"/>
      <protection locked="0"/>
    </xf>
    <xf numFmtId="0" fontId="5" fillId="0" borderId="0" xfId="0" applyFont="1" applyAlignment="1" applyProtection="1">
      <alignment horizontal="left" wrapText="1"/>
      <protection locked="0"/>
    </xf>
    <xf numFmtId="0" fontId="10" fillId="0" borderId="17" xfId="0" applyFont="1" applyBorder="1" applyAlignment="1" applyProtection="1">
      <alignment horizontal="right"/>
      <protection locked="0"/>
    </xf>
    <xf numFmtId="0" fontId="66" fillId="24" borderId="3" xfId="0" applyFont="1" applyFill="1" applyBorder="1" applyAlignment="1">
      <alignment horizontal="left" wrapText="1"/>
    </xf>
    <xf numFmtId="0" fontId="66" fillId="24" borderId="0" xfId="0" applyFont="1" applyFill="1" applyAlignment="1">
      <alignment horizontal="left" wrapText="1"/>
    </xf>
    <xf numFmtId="170" fontId="31" fillId="14" borderId="8" xfId="0" applyNumberFormat="1" applyFont="1" applyFill="1" applyBorder="1" applyAlignment="1">
      <alignment horizontal="center" vertical="center" wrapText="1"/>
    </xf>
    <xf numFmtId="170" fontId="31" fillId="14" borderId="16" xfId="0" applyNumberFormat="1" applyFont="1" applyFill="1" applyBorder="1" applyAlignment="1">
      <alignment horizontal="center" vertical="center" wrapText="1"/>
    </xf>
    <xf numFmtId="170" fontId="31" fillId="14" borderId="14" xfId="0" applyNumberFormat="1" applyFont="1" applyFill="1" applyBorder="1" applyAlignment="1">
      <alignment horizontal="center" vertical="center" wrapText="1"/>
    </xf>
    <xf numFmtId="170" fontId="31" fillId="10" borderId="9" xfId="0" applyNumberFormat="1" applyFont="1" applyFill="1" applyBorder="1" applyAlignment="1">
      <alignment horizontal="center" vertical="center" wrapText="1"/>
    </xf>
    <xf numFmtId="0" fontId="32" fillId="15" borderId="9" xfId="0" applyFont="1" applyFill="1" applyBorder="1" applyAlignment="1">
      <alignment horizontal="center"/>
    </xf>
    <xf numFmtId="0" fontId="32" fillId="3" borderId="9" xfId="0" applyFont="1" applyFill="1" applyBorder="1" applyAlignment="1">
      <alignment horizontal="center"/>
    </xf>
    <xf numFmtId="0" fontId="31" fillId="10" borderId="8" xfId="0" applyFont="1" applyFill="1" applyBorder="1" applyAlignment="1">
      <alignment horizontal="center" vertical="center" wrapText="1"/>
    </xf>
    <xf numFmtId="0" fontId="31" fillId="10" borderId="16" xfId="0" applyFont="1" applyFill="1" applyBorder="1" applyAlignment="1">
      <alignment horizontal="center" vertical="center" wrapText="1"/>
    </xf>
    <xf numFmtId="0" fontId="31" fillId="10" borderId="14" xfId="0" applyFont="1" applyFill="1" applyBorder="1" applyAlignment="1">
      <alignment horizontal="center" vertical="center" wrapText="1"/>
    </xf>
    <xf numFmtId="170" fontId="31" fillId="9" borderId="8" xfId="0" applyNumberFormat="1" applyFont="1" applyFill="1" applyBorder="1" applyAlignment="1">
      <alignment horizontal="center" vertical="center" wrapText="1"/>
    </xf>
    <xf numFmtId="170" fontId="31" fillId="9" borderId="16" xfId="0" applyNumberFormat="1" applyFont="1" applyFill="1" applyBorder="1" applyAlignment="1">
      <alignment horizontal="center" vertical="center" wrapText="1"/>
    </xf>
    <xf numFmtId="170" fontId="31" fillId="9" borderId="14" xfId="0" applyNumberFormat="1" applyFont="1" applyFill="1" applyBorder="1" applyAlignment="1">
      <alignment horizontal="center" vertical="center" wrapText="1"/>
    </xf>
    <xf numFmtId="170" fontId="31" fillId="11" borderId="8" xfId="0" applyNumberFormat="1" applyFont="1" applyFill="1" applyBorder="1" applyAlignment="1">
      <alignment horizontal="center" vertical="center" wrapText="1"/>
    </xf>
    <xf numFmtId="170" fontId="31" fillId="11" borderId="16" xfId="0" applyNumberFormat="1" applyFont="1" applyFill="1" applyBorder="1" applyAlignment="1">
      <alignment horizontal="center" vertical="center" wrapText="1"/>
    </xf>
    <xf numFmtId="170" fontId="31" fillId="11" borderId="14" xfId="0" applyNumberFormat="1" applyFont="1" applyFill="1" applyBorder="1" applyAlignment="1">
      <alignment horizontal="center" vertical="center" wrapText="1"/>
    </xf>
    <xf numFmtId="170" fontId="31" fillId="2" borderId="8" xfId="0" applyNumberFormat="1" applyFont="1" applyFill="1" applyBorder="1" applyAlignment="1">
      <alignment horizontal="center" vertical="center" wrapText="1"/>
    </xf>
    <xf numFmtId="170" fontId="31" fillId="2" borderId="16" xfId="0" applyNumberFormat="1" applyFont="1" applyFill="1" applyBorder="1" applyAlignment="1">
      <alignment horizontal="center" vertical="center" wrapText="1"/>
    </xf>
    <xf numFmtId="170" fontId="31" fillId="2" borderId="14" xfId="0" applyNumberFormat="1" applyFont="1" applyFill="1" applyBorder="1" applyAlignment="1">
      <alignment horizontal="center" vertical="center" wrapText="1"/>
    </xf>
    <xf numFmtId="170" fontId="31" fillId="12" borderId="9" xfId="0" applyNumberFormat="1" applyFont="1" applyFill="1" applyBorder="1" applyAlignment="1">
      <alignment horizontal="center" vertical="center" wrapText="1"/>
    </xf>
    <xf numFmtId="170" fontId="31" fillId="13" borderId="8" xfId="0" applyNumberFormat="1" applyFont="1" applyFill="1" applyBorder="1" applyAlignment="1">
      <alignment horizontal="center" vertical="center" wrapText="1"/>
    </xf>
    <xf numFmtId="170" fontId="31" fillId="13" borderId="16" xfId="0" applyNumberFormat="1" applyFont="1" applyFill="1" applyBorder="1" applyAlignment="1">
      <alignment horizontal="center" vertical="center" wrapText="1"/>
    </xf>
    <xf numFmtId="170" fontId="31" fillId="13" borderId="14" xfId="0" applyNumberFormat="1" applyFont="1" applyFill="1" applyBorder="1" applyAlignment="1">
      <alignment horizontal="center" vertical="center" wrapText="1"/>
    </xf>
    <xf numFmtId="0" fontId="63" fillId="0" borderId="58" xfId="0" applyFont="1" applyBorder="1" applyAlignment="1">
      <alignment horizontal="center" vertical="center" wrapText="1"/>
    </xf>
    <xf numFmtId="0" fontId="63" fillId="0" borderId="34" xfId="0" applyFont="1" applyBorder="1" applyAlignment="1">
      <alignment horizontal="center" vertical="center" wrapText="1"/>
    </xf>
    <xf numFmtId="43" fontId="34" fillId="0" borderId="0" xfId="1" applyFont="1" applyBorder="1" applyAlignment="1">
      <alignment horizontal="left"/>
    </xf>
    <xf numFmtId="43" fontId="0" fillId="0" borderId="0" xfId="1" applyFont="1" applyBorder="1" applyAlignment="1">
      <alignment horizontal="center"/>
    </xf>
    <xf numFmtId="0" fontId="28" fillId="0" borderId="0" xfId="0" applyFont="1" applyAlignment="1">
      <alignment horizontal="left"/>
    </xf>
    <xf numFmtId="173" fontId="72" fillId="0" borderId="9" xfId="0" applyNumberFormat="1" applyFont="1" applyBorder="1" applyAlignment="1">
      <alignment horizontal="center"/>
    </xf>
    <xf numFmtId="0" fontId="31" fillId="10" borderId="9" xfId="0" applyFont="1" applyFill="1" applyBorder="1" applyAlignment="1">
      <alignment horizontal="center" vertical="center" wrapText="1"/>
    </xf>
    <xf numFmtId="0" fontId="0" fillId="0" borderId="0" xfId="0" applyAlignment="1">
      <alignment horizontal="left" vertical="top" wrapText="1"/>
    </xf>
    <xf numFmtId="0" fontId="37" fillId="22" borderId="52" xfId="0" applyFont="1" applyFill="1" applyBorder="1" applyAlignment="1">
      <alignment horizontal="center" vertical="center" wrapText="1"/>
    </xf>
    <xf numFmtId="0" fontId="37" fillId="22" borderId="40" xfId="0" applyFont="1" applyFill="1" applyBorder="1" applyAlignment="1">
      <alignment horizontal="center" vertical="center" wrapText="1"/>
    </xf>
    <xf numFmtId="0" fontId="37" fillId="22" borderId="53" xfId="0" applyFont="1" applyFill="1" applyBorder="1" applyAlignment="1">
      <alignment horizontal="center" vertical="center" wrapText="1"/>
    </xf>
    <xf numFmtId="0" fontId="37" fillId="22" borderId="41" xfId="0" applyFont="1" applyFill="1" applyBorder="1" applyAlignment="1">
      <alignment horizontal="center" vertical="center" wrapText="1"/>
    </xf>
    <xf numFmtId="0" fontId="37" fillId="22" borderId="1" xfId="0" applyFont="1" applyFill="1" applyBorder="1" applyAlignment="1">
      <alignment horizontal="center" vertical="center" wrapText="1"/>
    </xf>
    <xf numFmtId="0" fontId="37" fillId="22" borderId="4" xfId="0" applyFont="1" applyFill="1" applyBorder="1" applyAlignment="1">
      <alignment horizontal="center" vertical="center" wrapText="1"/>
    </xf>
    <xf numFmtId="0" fontId="37" fillId="22" borderId="6" xfId="0" applyFont="1" applyFill="1" applyBorder="1" applyAlignment="1">
      <alignment horizontal="center" vertical="center" wrapText="1"/>
    </xf>
    <xf numFmtId="0" fontId="37" fillId="22" borderId="19" xfId="0" applyFont="1" applyFill="1" applyBorder="1" applyAlignment="1">
      <alignment horizontal="center" vertical="center" wrapText="1"/>
    </xf>
    <xf numFmtId="40" fontId="60" fillId="0" borderId="44" xfId="0" applyNumberFormat="1" applyFont="1" applyBorder="1" applyAlignment="1">
      <alignment horizontal="center"/>
    </xf>
    <xf numFmtId="40" fontId="60" fillId="0" borderId="23" xfId="0" applyNumberFormat="1" applyFont="1" applyBorder="1" applyAlignment="1">
      <alignment horizontal="center"/>
    </xf>
    <xf numFmtId="0" fontId="63" fillId="6" borderId="52" xfId="0" applyFont="1" applyFill="1" applyBorder="1" applyAlignment="1">
      <alignment horizontal="center" vertical="center" wrapText="1"/>
    </xf>
    <xf numFmtId="0" fontId="63" fillId="6" borderId="40" xfId="0" applyFont="1" applyFill="1" applyBorder="1" applyAlignment="1">
      <alignment horizontal="center" vertical="center" wrapText="1"/>
    </xf>
    <xf numFmtId="0" fontId="63" fillId="6" borderId="53" xfId="0" applyFont="1" applyFill="1" applyBorder="1" applyAlignment="1">
      <alignment horizontal="center" vertical="center" wrapText="1"/>
    </xf>
    <xf numFmtId="0" fontId="63" fillId="6" borderId="41" xfId="0" applyFont="1" applyFill="1" applyBorder="1" applyAlignment="1">
      <alignment horizontal="center" vertical="center" wrapText="1"/>
    </xf>
    <xf numFmtId="0" fontId="63" fillId="6" borderId="1" xfId="0" applyFont="1" applyFill="1" applyBorder="1" applyAlignment="1">
      <alignment horizontal="center" vertical="center" wrapText="1"/>
    </xf>
    <xf numFmtId="0" fontId="63" fillId="6" borderId="2" xfId="0" applyFont="1" applyFill="1" applyBorder="1" applyAlignment="1">
      <alignment horizontal="center" vertical="center" wrapText="1"/>
    </xf>
    <xf numFmtId="0" fontId="63" fillId="6" borderId="4" xfId="0" applyFont="1" applyFill="1" applyBorder="1" applyAlignment="1">
      <alignment horizontal="center" vertical="center" wrapText="1"/>
    </xf>
    <xf numFmtId="0" fontId="63" fillId="6" borderId="6" xfId="0" applyFont="1" applyFill="1" applyBorder="1" applyAlignment="1">
      <alignment horizontal="center" vertical="center" wrapText="1"/>
    </xf>
    <xf numFmtId="0" fontId="63" fillId="6" borderId="7" xfId="0" applyFont="1" applyFill="1" applyBorder="1" applyAlignment="1">
      <alignment horizontal="center" vertical="center" wrapText="1"/>
    </xf>
    <xf numFmtId="0" fontId="63" fillId="6" borderId="19" xfId="0" applyFont="1" applyFill="1" applyBorder="1" applyAlignment="1">
      <alignment horizontal="center" vertical="center" wrapText="1"/>
    </xf>
    <xf numFmtId="40" fontId="63" fillId="6" borderId="4" xfId="0" applyNumberFormat="1" applyFont="1" applyFill="1" applyBorder="1" applyAlignment="1">
      <alignment horizontal="center" vertical="center" wrapText="1"/>
    </xf>
    <xf numFmtId="40" fontId="63" fillId="6" borderId="5" xfId="0" applyNumberFormat="1" applyFont="1" applyFill="1" applyBorder="1" applyAlignment="1">
      <alignment horizontal="center" vertical="center" wrapText="1"/>
    </xf>
    <xf numFmtId="40" fontId="63" fillId="6" borderId="19" xfId="0" applyNumberFormat="1" applyFont="1" applyFill="1" applyBorder="1" applyAlignment="1">
      <alignment horizontal="center" vertical="center" wrapText="1"/>
    </xf>
    <xf numFmtId="40" fontId="63" fillId="6" borderId="30" xfId="0" applyNumberFormat="1" applyFont="1" applyFill="1" applyBorder="1" applyAlignment="1">
      <alignment horizontal="center" vertical="center" wrapText="1"/>
    </xf>
    <xf numFmtId="40" fontId="63" fillId="6" borderId="31" xfId="0" applyNumberFormat="1" applyFont="1" applyFill="1" applyBorder="1" applyAlignment="1">
      <alignment horizontal="center" vertical="center" wrapText="1"/>
    </xf>
    <xf numFmtId="40" fontId="63" fillId="6" borderId="32" xfId="0" applyNumberFormat="1" applyFont="1" applyFill="1" applyBorder="1" applyAlignment="1">
      <alignment horizontal="center" vertical="center" wrapText="1"/>
    </xf>
    <xf numFmtId="0" fontId="60" fillId="7" borderId="0" xfId="0" applyFont="1" applyFill="1" applyAlignment="1">
      <alignment horizontal="center"/>
    </xf>
    <xf numFmtId="0" fontId="60" fillId="0" borderId="22" xfId="0" applyFont="1" applyBorder="1" applyAlignment="1">
      <alignment horizontal="center"/>
    </xf>
    <xf numFmtId="0" fontId="60" fillId="0" borderId="23" xfId="0" applyFont="1" applyBorder="1" applyAlignment="1">
      <alignment horizontal="center"/>
    </xf>
    <xf numFmtId="0" fontId="60" fillId="0" borderId="44" xfId="0" applyFont="1" applyBorder="1" applyAlignment="1">
      <alignment horizontal="center"/>
    </xf>
    <xf numFmtId="0" fontId="60" fillId="0" borderId="8" xfId="0" applyFont="1" applyBorder="1" applyAlignment="1">
      <alignment horizontal="left"/>
    </xf>
    <xf numFmtId="0" fontId="60" fillId="0" borderId="14" xfId="0" applyFont="1" applyBorder="1" applyAlignment="1">
      <alignment horizontal="left"/>
    </xf>
    <xf numFmtId="43" fontId="37" fillId="22" borderId="54" xfId="0" applyNumberFormat="1" applyFont="1" applyFill="1" applyBorder="1" applyAlignment="1">
      <alignment horizontal="center" vertical="center" wrapText="1"/>
    </xf>
    <xf numFmtId="43" fontId="37" fillId="22" borderId="15" xfId="0" applyNumberFormat="1" applyFont="1" applyFill="1" applyBorder="1" applyAlignment="1">
      <alignment horizontal="center" vertical="center" wrapText="1"/>
    </xf>
    <xf numFmtId="43" fontId="37" fillId="0" borderId="54" xfId="0" applyNumberFormat="1" applyFont="1" applyBorder="1" applyAlignment="1">
      <alignment horizontal="center" vertical="center" wrapText="1"/>
    </xf>
    <xf numFmtId="43" fontId="37" fillId="0" borderId="15" xfId="0" applyNumberFormat="1" applyFont="1" applyBorder="1" applyAlignment="1">
      <alignment horizontal="center" vertical="center" wrapText="1"/>
    </xf>
    <xf numFmtId="43" fontId="37" fillId="22" borderId="55" xfId="0" applyNumberFormat="1" applyFont="1" applyFill="1" applyBorder="1" applyAlignment="1">
      <alignment horizontal="center" vertical="center" wrapText="1"/>
    </xf>
    <xf numFmtId="43" fontId="37" fillId="22" borderId="13" xfId="0" applyNumberFormat="1" applyFont="1" applyFill="1" applyBorder="1" applyAlignment="1">
      <alignment horizontal="center" vertical="center" wrapText="1"/>
    </xf>
    <xf numFmtId="43" fontId="2" fillId="0" borderId="9" xfId="0" applyNumberFormat="1" applyFont="1" applyBorder="1" applyAlignment="1">
      <alignment horizontal="center" vertical="center" wrapText="1"/>
    </xf>
    <xf numFmtId="0" fontId="37" fillId="22" borderId="42" xfId="0" applyFont="1" applyFill="1" applyBorder="1" applyAlignment="1">
      <alignment horizontal="center" vertical="center" wrapText="1"/>
    </xf>
    <xf numFmtId="0" fontId="37" fillId="22" borderId="54" xfId="0" applyFont="1" applyFill="1" applyBorder="1" applyAlignment="1">
      <alignment horizontal="center" vertical="center" wrapText="1"/>
    </xf>
    <xf numFmtId="0" fontId="37" fillId="22" borderId="15" xfId="0" applyFont="1" applyFill="1" applyBorder="1" applyAlignment="1">
      <alignment horizontal="center" vertical="center" wrapText="1"/>
    </xf>
  </cellXfs>
  <cellStyles count="33">
    <cellStyle name="APPS_DEG_Basic_White_Cell_Amount" xfId="32" xr:uid="{BFF21FD4-8BA6-452A-922B-0AF9358A9F6A}"/>
    <cellStyle name="APPS_DEG_Header" xfId="28" xr:uid="{EF660551-CB6C-4668-A30C-37EAC6981A9D}"/>
    <cellStyle name="APPS_DEG_Header_Row_Cell_Wrap" xfId="30" xr:uid="{B9A672EC-6DE4-4401-AE53-895D6EA254EB}"/>
    <cellStyle name="APPS_DEG_Header_Wrap_rightaligned" xfId="29" xr:uid="{AB4CAA0A-B1A3-49E4-908D-F42196AC236A}"/>
    <cellStyle name="APPS_DEG_WhiteCell_Text" xfId="31" xr:uid="{57141FF4-05A5-46EA-BCDA-02E412D2F143}"/>
    <cellStyle name="Comma" xfId="1" builtinId="3"/>
    <cellStyle name="Comma 2" xfId="7" xr:uid="{4A874991-7A85-4587-85F1-64AE2D38C64F}"/>
    <cellStyle name="Comma 2 2" xfId="19" xr:uid="{DC274A14-241A-43C8-9B66-3C715ED0605B}"/>
    <cellStyle name="Comma 3" xfId="11" xr:uid="{9BB58A10-54EC-41BB-96C3-9675016EF0F3}"/>
    <cellStyle name="Comma 4" xfId="13" xr:uid="{8365E691-646D-49D5-9268-C9962B5F2584}"/>
    <cellStyle name="Comma 4 2" xfId="21" xr:uid="{CBC6F1E7-2819-4FBB-9E5D-706E49F93E17}"/>
    <cellStyle name="Comma 5" xfId="14" xr:uid="{1686C917-036A-467C-9BBE-52CC1BF3B86F}"/>
    <cellStyle name="Comma 5 2" xfId="22" xr:uid="{D89F3F1D-6357-45BB-B46A-7551905E7598}"/>
    <cellStyle name="Comma 6" xfId="18" xr:uid="{ADAC163C-184B-40D0-9235-DFFC47537BEC}"/>
    <cellStyle name="Comma 7" xfId="5" xr:uid="{D24085F8-E771-4E79-A859-2D3E4542D5DE}"/>
    <cellStyle name="Hyperlink" xfId="4" builtinId="8"/>
    <cellStyle name="Hyperlink 2" xfId="16" xr:uid="{639CB198-3B37-4336-9DCA-8630C41E18F7}"/>
    <cellStyle name="Hyperlink 2 2 2" xfId="17" xr:uid="{144CCE04-1A91-475A-9162-C2405C76BA43}"/>
    <cellStyle name="Neutral 2" xfId="15" xr:uid="{D20C8F18-5083-43F6-B2B9-D9225AC4F892}"/>
    <cellStyle name="Normal" xfId="0" builtinId="0"/>
    <cellStyle name="Normal 2" xfId="3" xr:uid="{00000000-0005-0000-0000-000003000000}"/>
    <cellStyle name="Normal 2 2" xfId="25" xr:uid="{B446A5A4-1941-4A4D-A30E-CD2662FE2A50}"/>
    <cellStyle name="Normal 2 3" xfId="27" xr:uid="{2E49EFB1-9D08-4A5A-AB77-0E1E2492E7C2}"/>
    <cellStyle name="Normal 3" xfId="6" xr:uid="{F7FC85C5-FCFE-4BD2-93FC-A30F69C8E5A7}"/>
    <cellStyle name="Normal 4" xfId="9" xr:uid="{8EF74AF6-2CA8-4182-BD0B-E4D40CB6CC8E}"/>
    <cellStyle name="Normal 5" xfId="10" xr:uid="{EFC5F73B-F03A-4F3D-B638-0C443FCB214C}"/>
    <cellStyle name="Normal 5 2" xfId="26" xr:uid="{DEBCAA39-4F48-4467-A9A6-F7C0226F598A}"/>
    <cellStyle name="Normal 6" xfId="12" xr:uid="{E696C429-05C8-48F7-B766-C4A8FF9D5065}"/>
    <cellStyle name="Normal 6 2" xfId="20" xr:uid="{8410FA9E-4802-453A-A943-EEBDCDB6B0B8}"/>
    <cellStyle name="Percent" xfId="2" builtinId="5"/>
    <cellStyle name="StandardStyle" xfId="24" xr:uid="{B72A36FD-9A1C-4535-81A3-CB6545C2C773}"/>
    <cellStyle name="TitleStyle" xfId="8" xr:uid="{E82B03E3-B131-4F20-A859-679107970FF8}"/>
    <cellStyle name="TotalStyle" xfId="23" xr:uid="{82B612EC-6A8A-4EAD-9317-82C5354C9E55}"/>
  </cellStyles>
  <dxfs count="105">
    <dxf>
      <font>
        <color rgb="FF9C0006"/>
      </font>
      <fill>
        <patternFill>
          <bgColor rgb="FFFFC7CE"/>
        </patternFill>
      </fill>
    </dxf>
    <dxf>
      <fill>
        <patternFill patternType="solid">
          <bgColor rgb="FFFFFFCC"/>
        </patternFill>
      </fill>
    </dxf>
    <dxf>
      <fill>
        <patternFill>
          <bgColor rgb="FFFFFFCC"/>
        </patternFill>
      </fill>
    </dxf>
    <dxf>
      <font>
        <color rgb="FF9C0006"/>
      </font>
      <fill>
        <patternFill>
          <bgColor rgb="FFFFC7CE"/>
        </patternFill>
      </fill>
    </dxf>
    <dxf>
      <fill>
        <patternFill patternType="solid">
          <bgColor rgb="FFFFFFCC"/>
        </patternFill>
      </fill>
    </dxf>
    <dxf>
      <fill>
        <patternFill>
          <bgColor rgb="FFFFFFCC"/>
        </patternFill>
      </fill>
    </dxf>
    <dxf>
      <font>
        <color rgb="FF9C0006"/>
      </font>
      <fill>
        <patternFill>
          <bgColor rgb="FFFFC7CE"/>
        </patternFill>
      </fill>
    </dxf>
    <dxf>
      <font>
        <color rgb="FF9C0006"/>
      </font>
      <fill>
        <patternFill>
          <bgColor rgb="FFFFC7CE"/>
        </patternFill>
      </fill>
    </dxf>
    <dxf>
      <fill>
        <patternFill>
          <bgColor rgb="FFCAEDFB"/>
        </patternFill>
      </fill>
    </dxf>
    <dxf>
      <fill>
        <patternFill patternType="lightTrellis"/>
      </fill>
    </dxf>
    <dxf>
      <fill>
        <patternFill patternType="lightTrellis"/>
      </fill>
    </dxf>
    <dxf>
      <fill>
        <patternFill>
          <bgColor rgb="FFCAEDFB"/>
        </patternFill>
      </fill>
    </dxf>
    <dxf>
      <fill>
        <patternFill>
          <bgColor rgb="FFCAEDFB"/>
        </patternFill>
      </fill>
    </dxf>
    <dxf>
      <fill>
        <patternFill patternType="lightTrellis"/>
      </fill>
    </dxf>
    <dxf>
      <fill>
        <patternFill patternType="lightTrellis"/>
      </fill>
    </dxf>
    <dxf>
      <fill>
        <patternFill>
          <bgColor rgb="FFCAEDFB"/>
        </patternFill>
      </fill>
    </dxf>
    <dxf>
      <fill>
        <patternFill>
          <bgColor rgb="FFCAEDFB"/>
        </patternFill>
      </fill>
    </dxf>
    <dxf>
      <font>
        <color rgb="FF9C0006"/>
      </font>
      <fill>
        <patternFill>
          <bgColor rgb="FFFFC7CE"/>
        </patternFill>
      </fill>
    </dxf>
    <dxf>
      <font>
        <color rgb="FFFF0000"/>
      </font>
    </dxf>
    <dxf>
      <font>
        <color rgb="FF9C0006"/>
      </font>
      <fill>
        <patternFill>
          <bgColor rgb="FFFFC7CE"/>
        </patternFill>
      </fill>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fill>
        <patternFill>
          <bgColor rgb="FFFFC7CE"/>
        </patternFill>
      </fill>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ndense val="0"/>
        <extend val="0"/>
        <color rgb="FF9C0006"/>
      </font>
      <fill>
        <patternFill>
          <bgColor rgb="FFFFC7CE"/>
        </patternFill>
      </fill>
    </dxf>
    <dxf>
      <font>
        <color rgb="FF00B050"/>
      </font>
    </dxf>
    <dxf>
      <font>
        <color rgb="FFFF0000"/>
      </font>
    </dxf>
    <dxf>
      <font>
        <color rgb="FF9C0006"/>
      </font>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79" formatCode="\-"/>
    </dxf>
    <dxf>
      <numFmt numFmtId="179" formatCode="\-"/>
    </dxf>
    <dxf>
      <font>
        <sz val="9"/>
        <name val="Arial"/>
        <family val="2"/>
        <scheme val="none"/>
      </font>
      <alignment horizontal="center" vertical="bottom" textRotation="0" wrapText="1" indent="0" justifyLastLine="0" shrinkToFit="0" readingOrder="0"/>
    </dxf>
    <dxf>
      <border outline="0">
        <left style="thin">
          <color indexed="64"/>
        </left>
      </border>
    </dxf>
    <dxf>
      <font>
        <sz val="9"/>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border outline="0">
        <right style="thin">
          <color indexed="64"/>
        </right>
      </border>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border diagonalUp="0" diagonalDown="0">
        <left style="thin">
          <color indexed="64"/>
        </left>
        <right/>
        <top/>
        <bottom/>
        <vertical/>
        <horizontal/>
      </border>
    </dxf>
    <dxf>
      <border outline="0">
        <right style="thin">
          <color indexed="64"/>
        </right>
      </border>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border outline="0">
        <right style="thin">
          <color indexed="64"/>
        </right>
      </border>
    </dxf>
    <dxf>
      <font>
        <color rgb="FFFF0000"/>
      </font>
    </dxf>
  </dxfs>
  <tableStyles count="0" defaultTableStyle="TableStyleMedium2" defaultPivotStyle="PivotStyleLight16"/>
  <colors>
    <mruColors>
      <color rgb="FFFFFFCC"/>
      <color rgb="FFD00070"/>
      <color rgb="FFCAEDFB"/>
      <color rgb="FFFFCCFF"/>
      <color rgb="FF00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35"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285750</xdr:colOff>
      <xdr:row>0</xdr:row>
      <xdr:rowOff>83609</xdr:rowOff>
    </xdr:from>
    <xdr:to>
      <xdr:col>18</xdr:col>
      <xdr:colOff>602191</xdr:colOff>
      <xdr:row>3</xdr:row>
      <xdr:rowOff>73990</xdr:rowOff>
    </xdr:to>
    <xdr:pic>
      <xdr:nvPicPr>
        <xdr:cNvPr id="2" name="Picture 3" descr="Birmingham City Council Logo">
          <a:extLst>
            <a:ext uri="{FF2B5EF4-FFF2-40B4-BE49-F238E27FC236}">
              <a16:creationId xmlns:a16="http://schemas.microsoft.com/office/drawing/2014/main" id="{4373861A-D7C9-40AE-BFC5-2CBC0EC61BE5}"/>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13853583" y="83609"/>
          <a:ext cx="2916766" cy="6147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1</xdr:row>
      <xdr:rowOff>0</xdr:rowOff>
    </xdr:from>
    <xdr:to>
      <xdr:col>18</xdr:col>
      <xdr:colOff>9525</xdr:colOff>
      <xdr:row>6</xdr:row>
      <xdr:rowOff>0</xdr:rowOff>
    </xdr:to>
    <xdr:sp macro="" textlink="">
      <xdr:nvSpPr>
        <xdr:cNvPr id="5" name="TextBox 1" descr="Information ">
          <a:extLst>
            <a:ext uri="{FF2B5EF4-FFF2-40B4-BE49-F238E27FC236}">
              <a16:creationId xmlns:a16="http://schemas.microsoft.com/office/drawing/2014/main" id="{47B2C1EF-509E-49B8-9B30-691B1DAB324B}"/>
            </a:ext>
            <a:ext uri="{C183D7F6-B498-43B3-948B-1728B52AA6E4}">
              <adec:decorative xmlns:adec="http://schemas.microsoft.com/office/drawing/2017/decorative" val="0"/>
            </a:ext>
          </a:extLst>
        </xdr:cNvPr>
        <xdr:cNvSpPr txBox="1"/>
      </xdr:nvSpPr>
      <xdr:spPr>
        <a:xfrm>
          <a:off x="9639300" y="190500"/>
          <a:ext cx="4143375"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a:latin typeface="Arial" panose="020B0604020202020204" pitchFamily="34" charset="0"/>
              <a:cs typeface="Arial" panose="020B0604020202020204" pitchFamily="34" charset="0"/>
            </a:rPr>
            <a:t>Please include the FTEs</a:t>
          </a:r>
          <a:r>
            <a:rPr lang="en-GB" sz="1000" baseline="0">
              <a:latin typeface="Arial" panose="020B0604020202020204" pitchFamily="34" charset="0"/>
              <a:cs typeface="Arial" panose="020B0604020202020204" pitchFamily="34" charset="0"/>
            </a:rPr>
            <a:t> of teaching and non teaching staff. This calculation should not include agency staff. This only covers staff that are paid through the payroll system - either BCC or external payroll provider. FTE is for basic salary.</a:t>
          </a:r>
          <a:endParaRPr lang="en-GB" sz="1000">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birminghamcitycouncil.sharepoint.com/sites/SchoolFairfundingTeam/Shared%20Documents/Closedown/School%20CarryFwds/2025-26/Schools%20Cfwd%20Balances%202025-26.xlsx" TargetMode="External"/><Relationship Id="rId1" Type="http://schemas.openxmlformats.org/officeDocument/2006/relationships/externalLinkPath" Target="Schools%20Cfwd%20Balances%202025-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fwd Analysis"/>
      <sheetName val="School Budget Share"/>
      <sheetName val="School Summary Position"/>
    </sheetNames>
    <sheetDataSet>
      <sheetData sheetId="0">
        <row r="3">
          <cell r="I3"/>
        </row>
        <row r="4">
          <cell r="C4" t="str">
            <v>DFE</v>
          </cell>
          <cell r="I4" t="str">
            <v>Closing Revenue Balance (deficit)/surplus</v>
          </cell>
        </row>
        <row r="5">
          <cell r="C5">
            <v>1027</v>
          </cell>
          <cell r="I5">
            <v>380919.72531347186</v>
          </cell>
        </row>
        <row r="6">
          <cell r="C6">
            <v>2010</v>
          </cell>
          <cell r="I6">
            <v>914377.91614092665</v>
          </cell>
        </row>
        <row r="7">
          <cell r="C7">
            <v>5949</v>
          </cell>
          <cell r="I7">
            <v>1335781.1119072151</v>
          </cell>
        </row>
        <row r="8">
          <cell r="C8">
            <v>1017</v>
          </cell>
          <cell r="I8">
            <v>-37815.216388491477</v>
          </cell>
        </row>
        <row r="9">
          <cell r="C9">
            <v>2153</v>
          </cell>
          <cell r="I9">
            <v>506656.66533581784</v>
          </cell>
        </row>
        <row r="10">
          <cell r="C10">
            <v>2062</v>
          </cell>
          <cell r="I10">
            <v>398687.65378944774</v>
          </cell>
        </row>
        <row r="11">
          <cell r="C11">
            <v>2479</v>
          </cell>
          <cell r="I11">
            <v>-276486.09970420855</v>
          </cell>
        </row>
        <row r="12">
          <cell r="C12">
            <v>2300</v>
          </cell>
          <cell r="I12">
            <v>349640.32963755366</v>
          </cell>
        </row>
        <row r="13">
          <cell r="C13">
            <v>2014</v>
          </cell>
          <cell r="I13">
            <v>-243604.61671506794</v>
          </cell>
        </row>
        <row r="14">
          <cell r="C14">
            <v>7016</v>
          </cell>
          <cell r="I14">
            <v>668136.90884904657</v>
          </cell>
        </row>
        <row r="15">
          <cell r="C15">
            <v>7052</v>
          </cell>
          <cell r="I15">
            <v>-772765.04275082261</v>
          </cell>
        </row>
        <row r="16">
          <cell r="C16">
            <v>2017</v>
          </cell>
          <cell r="I16">
            <v>-146987.49049484706</v>
          </cell>
        </row>
        <row r="17">
          <cell r="C17">
            <v>2016</v>
          </cell>
          <cell r="I17">
            <v>272437.57816795865</v>
          </cell>
        </row>
        <row r="18">
          <cell r="C18">
            <v>2239</v>
          </cell>
          <cell r="I18">
            <v>-358297.08651733038</v>
          </cell>
        </row>
        <row r="19">
          <cell r="C19">
            <v>2241</v>
          </cell>
          <cell r="I19">
            <v>-247403.89550845773</v>
          </cell>
        </row>
        <row r="20">
          <cell r="C20">
            <v>2456</v>
          </cell>
          <cell r="I20">
            <v>-83904.657180000795</v>
          </cell>
        </row>
        <row r="21">
          <cell r="C21">
            <v>5413</v>
          </cell>
          <cell r="I21">
            <v>345833.30082342209</v>
          </cell>
        </row>
        <row r="22">
          <cell r="C22">
            <v>2254</v>
          </cell>
          <cell r="I22">
            <v>-1535657.6755190131</v>
          </cell>
        </row>
        <row r="23">
          <cell r="C23">
            <v>1025</v>
          </cell>
          <cell r="I23">
            <v>549246.54572642571</v>
          </cell>
        </row>
        <row r="24">
          <cell r="C24">
            <v>2402</v>
          </cell>
          <cell r="I24">
            <v>-363479.05432956078</v>
          </cell>
        </row>
        <row r="25">
          <cell r="C25">
            <v>2401</v>
          </cell>
          <cell r="I25">
            <v>-76116.069999999541</v>
          </cell>
        </row>
        <row r="26">
          <cell r="C26">
            <v>1001</v>
          </cell>
          <cell r="I26">
            <v>-214154.41245275596</v>
          </cell>
        </row>
        <row r="27">
          <cell r="C27">
            <v>4115</v>
          </cell>
          <cell r="I27">
            <v>1700405.0772494213</v>
          </cell>
        </row>
        <row r="28">
          <cell r="C28">
            <v>2030</v>
          </cell>
          <cell r="I28">
            <v>628939.25420794066</v>
          </cell>
        </row>
        <row r="29">
          <cell r="C29">
            <v>3353</v>
          </cell>
          <cell r="I29">
            <v>-3812.2847333264071</v>
          </cell>
        </row>
        <row r="30">
          <cell r="C30">
            <v>7030</v>
          </cell>
          <cell r="I30">
            <v>739433.06756155728</v>
          </cell>
        </row>
        <row r="31">
          <cell r="C31">
            <v>1002</v>
          </cell>
          <cell r="I31">
            <v>347949.2213170529</v>
          </cell>
        </row>
        <row r="32">
          <cell r="C32">
            <v>2465</v>
          </cell>
          <cell r="I32">
            <v>250357.19426698569</v>
          </cell>
        </row>
        <row r="33">
          <cell r="C33">
            <v>4801</v>
          </cell>
          <cell r="I33">
            <v>166156.72057464643</v>
          </cell>
        </row>
        <row r="34">
          <cell r="C34">
            <v>1048</v>
          </cell>
          <cell r="I34">
            <v>175086.90013267484</v>
          </cell>
        </row>
        <row r="35">
          <cell r="C35">
            <v>2312</v>
          </cell>
          <cell r="I35">
            <v>-430519.28579999995</v>
          </cell>
        </row>
        <row r="36">
          <cell r="C36">
            <v>7051</v>
          </cell>
          <cell r="I36">
            <v>1253086.0381002738</v>
          </cell>
        </row>
        <row r="37">
          <cell r="C37">
            <v>2040</v>
          </cell>
          <cell r="I37">
            <v>466847.42764167115</v>
          </cell>
        </row>
        <row r="38">
          <cell r="C38">
            <v>2251</v>
          </cell>
          <cell r="I38">
            <v>383207.28479224083</v>
          </cell>
        </row>
        <row r="39">
          <cell r="C39">
            <v>3002</v>
          </cell>
          <cell r="I39">
            <v>383200.75739425735</v>
          </cell>
        </row>
        <row r="40">
          <cell r="C40">
            <v>3319</v>
          </cell>
          <cell r="I40">
            <v>-33396.261006825865</v>
          </cell>
        </row>
        <row r="41">
          <cell r="C41">
            <v>1100</v>
          </cell>
          <cell r="I41">
            <v>451576.03999994718</v>
          </cell>
        </row>
        <row r="42">
          <cell r="C42">
            <v>3432</v>
          </cell>
          <cell r="I42">
            <v>865342.69614941999</v>
          </cell>
        </row>
        <row r="43">
          <cell r="C43">
            <v>2289</v>
          </cell>
          <cell r="I43">
            <v>-63773.802402056514</v>
          </cell>
        </row>
        <row r="44">
          <cell r="C44">
            <v>2185</v>
          </cell>
          <cell r="I44">
            <v>164741.82999999871</v>
          </cell>
        </row>
        <row r="45">
          <cell r="C45">
            <v>5416</v>
          </cell>
          <cell r="I45">
            <v>513724.13578357687</v>
          </cell>
        </row>
        <row r="46">
          <cell r="C46">
            <v>2054</v>
          </cell>
          <cell r="I46">
            <v>66047.901264882064</v>
          </cell>
        </row>
        <row r="47">
          <cell r="C47">
            <v>2053</v>
          </cell>
          <cell r="I47">
            <v>165204.90774662927</v>
          </cell>
        </row>
        <row r="48">
          <cell r="C48">
            <v>2464</v>
          </cell>
          <cell r="I48">
            <v>-87677.289999999688</v>
          </cell>
        </row>
        <row r="49">
          <cell r="C49">
            <v>3320</v>
          </cell>
          <cell r="I49">
            <v>1348941.343902495</v>
          </cell>
        </row>
        <row r="50">
          <cell r="C50">
            <v>2055</v>
          </cell>
          <cell r="I50">
            <v>300700.36731652549</v>
          </cell>
        </row>
        <row r="51">
          <cell r="C51">
            <v>1802</v>
          </cell>
          <cell r="I51">
            <v>129560.30948756018</v>
          </cell>
        </row>
        <row r="52">
          <cell r="C52">
            <v>2454</v>
          </cell>
          <cell r="I52">
            <v>488257.00098939688</v>
          </cell>
        </row>
        <row r="53">
          <cell r="C53">
            <v>3321</v>
          </cell>
          <cell r="I53">
            <v>396753.39537454792</v>
          </cell>
        </row>
        <row r="54">
          <cell r="C54">
            <v>1026</v>
          </cell>
          <cell r="I54">
            <v>362187.90370620368</v>
          </cell>
        </row>
        <row r="55">
          <cell r="C55">
            <v>2294</v>
          </cell>
          <cell r="I55">
            <v>459892.98513333453</v>
          </cell>
        </row>
        <row r="56">
          <cell r="C56">
            <v>2486</v>
          </cell>
          <cell r="I56">
            <v>202253.26767383888</v>
          </cell>
        </row>
        <row r="57">
          <cell r="C57">
            <v>3435</v>
          </cell>
          <cell r="I57">
            <v>193309.49282666692</v>
          </cell>
        </row>
        <row r="58">
          <cell r="C58">
            <v>7050</v>
          </cell>
          <cell r="I58">
            <v>779265.92863580072</v>
          </cell>
        </row>
        <row r="59">
          <cell r="C59">
            <v>1006</v>
          </cell>
          <cell r="I59">
            <v>117964.41989855748</v>
          </cell>
        </row>
        <row r="60">
          <cell r="C60">
            <v>2079</v>
          </cell>
          <cell r="I60">
            <v>-72449.634047695145</v>
          </cell>
        </row>
        <row r="61">
          <cell r="C61">
            <v>2081</v>
          </cell>
          <cell r="I61">
            <v>89784.217856144096</v>
          </cell>
        </row>
        <row r="62">
          <cell r="C62">
            <v>2296</v>
          </cell>
          <cell r="I62">
            <v>197608.1640786808</v>
          </cell>
        </row>
        <row r="63">
          <cell r="C63">
            <v>1015</v>
          </cell>
          <cell r="I63">
            <v>254814.27381459053</v>
          </cell>
        </row>
        <row r="64">
          <cell r="C64">
            <v>1022</v>
          </cell>
          <cell r="I64">
            <v>461951.51274988358</v>
          </cell>
        </row>
        <row r="65">
          <cell r="C65">
            <v>2087</v>
          </cell>
          <cell r="I65">
            <v>413186.66053969256</v>
          </cell>
        </row>
        <row r="66">
          <cell r="C66">
            <v>2466</v>
          </cell>
          <cell r="I66">
            <v>903117.964445794</v>
          </cell>
        </row>
        <row r="67">
          <cell r="C67">
            <v>2091</v>
          </cell>
          <cell r="I67">
            <v>-702791.33749375632</v>
          </cell>
        </row>
        <row r="68">
          <cell r="C68">
            <v>2093</v>
          </cell>
          <cell r="I68">
            <v>538459.03879556595</v>
          </cell>
        </row>
        <row r="69">
          <cell r="C69">
            <v>2092</v>
          </cell>
          <cell r="I69">
            <v>744285.36993415991</v>
          </cell>
        </row>
        <row r="70">
          <cell r="C70">
            <v>7006</v>
          </cell>
          <cell r="I70">
            <v>-471265.9374090067</v>
          </cell>
        </row>
        <row r="71">
          <cell r="C71">
            <v>2477</v>
          </cell>
          <cell r="I71">
            <v>-698138.91750000836</v>
          </cell>
        </row>
        <row r="72">
          <cell r="C72">
            <v>3436</v>
          </cell>
          <cell r="I72">
            <v>-879622.02055795421</v>
          </cell>
        </row>
        <row r="73">
          <cell r="C73">
            <v>2099</v>
          </cell>
          <cell r="I73">
            <v>277408.92105989985</v>
          </cell>
        </row>
        <row r="74">
          <cell r="C74">
            <v>1010</v>
          </cell>
          <cell r="I74">
            <v>386889.17053300096</v>
          </cell>
        </row>
        <row r="75">
          <cell r="C75">
            <v>1021</v>
          </cell>
          <cell r="I75">
            <v>69199.355833085137</v>
          </cell>
        </row>
        <row r="76">
          <cell r="C76">
            <v>4201</v>
          </cell>
          <cell r="I76">
            <v>2470359.5369979357</v>
          </cell>
        </row>
        <row r="77">
          <cell r="C77">
            <v>4015</v>
          </cell>
          <cell r="I77">
            <v>1158298.5270598887</v>
          </cell>
        </row>
        <row r="78">
          <cell r="C78">
            <v>3411</v>
          </cell>
          <cell r="I78">
            <v>506772.16259421059</v>
          </cell>
        </row>
        <row r="79">
          <cell r="C79">
            <v>2474</v>
          </cell>
          <cell r="I79">
            <v>-8769.6747708623152</v>
          </cell>
        </row>
        <row r="80">
          <cell r="C80">
            <v>4223</v>
          </cell>
          <cell r="I80">
            <v>2958972.5059619173</v>
          </cell>
        </row>
        <row r="81">
          <cell r="C81">
            <v>3317</v>
          </cell>
          <cell r="I81">
            <v>67462.96493295455</v>
          </cell>
        </row>
        <row r="82">
          <cell r="C82">
            <v>1023</v>
          </cell>
          <cell r="I82">
            <v>349784.08741695358</v>
          </cell>
        </row>
        <row r="83">
          <cell r="C83">
            <v>2015</v>
          </cell>
          <cell r="I83">
            <v>343255.41262081102</v>
          </cell>
        </row>
        <row r="84">
          <cell r="C84">
            <v>3352</v>
          </cell>
          <cell r="I84">
            <v>-354168.0442909429</v>
          </cell>
        </row>
        <row r="85">
          <cell r="C85">
            <v>4063</v>
          </cell>
          <cell r="I85">
            <v>693757.63672441337</v>
          </cell>
        </row>
        <row r="86">
          <cell r="C86">
            <v>2005</v>
          </cell>
          <cell r="I86">
            <v>229342.86777033721</v>
          </cell>
        </row>
        <row r="87">
          <cell r="C87">
            <v>1016</v>
          </cell>
          <cell r="I87">
            <v>150836.64060566283</v>
          </cell>
        </row>
        <row r="88">
          <cell r="C88">
            <v>2115</v>
          </cell>
          <cell r="I88">
            <v>180920.6691671178</v>
          </cell>
        </row>
        <row r="89">
          <cell r="C89">
            <v>2441</v>
          </cell>
          <cell r="I89">
            <v>340236.24979518168</v>
          </cell>
        </row>
        <row r="90">
          <cell r="C90">
            <v>2321</v>
          </cell>
          <cell r="I90">
            <v>381334.28603576496</v>
          </cell>
        </row>
        <row r="91">
          <cell r="C91">
            <v>2189</v>
          </cell>
          <cell r="I91">
            <v>-461200.38531518553</v>
          </cell>
        </row>
        <row r="92">
          <cell r="C92">
            <v>7060</v>
          </cell>
          <cell r="I92">
            <v>266071.95833334513</v>
          </cell>
        </row>
        <row r="93">
          <cell r="C93">
            <v>1024</v>
          </cell>
          <cell r="I93">
            <v>-550350.81999999902</v>
          </cell>
        </row>
        <row r="94">
          <cell r="C94">
            <v>7062</v>
          </cell>
          <cell r="I94">
            <v>1274905.2369211903</v>
          </cell>
        </row>
        <row r="95">
          <cell r="C95">
            <v>2462</v>
          </cell>
          <cell r="I95">
            <v>1020085.9699999995</v>
          </cell>
        </row>
        <row r="96">
          <cell r="C96">
            <v>7012</v>
          </cell>
          <cell r="I96">
            <v>-662893.23779385025</v>
          </cell>
        </row>
        <row r="97">
          <cell r="C97">
            <v>2127</v>
          </cell>
          <cell r="I97">
            <v>599591.99734830356</v>
          </cell>
        </row>
        <row r="98">
          <cell r="C98">
            <v>2129</v>
          </cell>
          <cell r="I98">
            <v>46732.662155343831</v>
          </cell>
        </row>
        <row r="99">
          <cell r="C99">
            <v>2128</v>
          </cell>
          <cell r="I99">
            <v>305102.32464523794</v>
          </cell>
        </row>
        <row r="100">
          <cell r="C100">
            <v>2420</v>
          </cell>
          <cell r="I100">
            <v>264098.91666666744</v>
          </cell>
        </row>
        <row r="101">
          <cell r="C101">
            <v>2004</v>
          </cell>
          <cell r="I101">
            <v>18162.900321273162</v>
          </cell>
        </row>
        <row r="102">
          <cell r="C102">
            <v>1012</v>
          </cell>
          <cell r="I102">
            <v>427959.02329487045</v>
          </cell>
        </row>
        <row r="103">
          <cell r="C103">
            <v>2133</v>
          </cell>
          <cell r="I103">
            <v>505815.68339639186</v>
          </cell>
        </row>
        <row r="104">
          <cell r="C104">
            <v>2406</v>
          </cell>
          <cell r="I104">
            <v>160087.69053333392</v>
          </cell>
        </row>
        <row r="105">
          <cell r="C105">
            <v>2416</v>
          </cell>
          <cell r="I105">
            <v>115647.52333333297</v>
          </cell>
        </row>
        <row r="106">
          <cell r="C106">
            <v>3003</v>
          </cell>
          <cell r="I106">
            <v>-8393.9858548644843</v>
          </cell>
        </row>
        <row r="107">
          <cell r="C107">
            <v>4245</v>
          </cell>
          <cell r="I107">
            <v>3462997.6390151391</v>
          </cell>
        </row>
        <row r="108">
          <cell r="C108">
            <v>2457</v>
          </cell>
          <cell r="I108">
            <v>726962.1100000022</v>
          </cell>
        </row>
        <row r="109">
          <cell r="C109">
            <v>2142</v>
          </cell>
          <cell r="I109">
            <v>1235143.4608382236</v>
          </cell>
        </row>
        <row r="110">
          <cell r="C110">
            <v>2469</v>
          </cell>
          <cell r="I110">
            <v>214385.72816434363</v>
          </cell>
        </row>
        <row r="111">
          <cell r="C111">
            <v>1028</v>
          </cell>
          <cell r="I111">
            <v>-94169.114459996039</v>
          </cell>
        </row>
        <row r="112">
          <cell r="C112">
            <v>1049</v>
          </cell>
          <cell r="I112">
            <v>575795.9312706606</v>
          </cell>
        </row>
        <row r="113">
          <cell r="C113">
            <v>3351</v>
          </cell>
          <cell r="I113">
            <v>209398.79000000015</v>
          </cell>
        </row>
        <row r="114">
          <cell r="C114">
            <v>3328</v>
          </cell>
          <cell r="I114">
            <v>298278.08965565707</v>
          </cell>
        </row>
        <row r="115">
          <cell r="C115">
            <v>2150</v>
          </cell>
          <cell r="I115">
            <v>-732667.93265206134</v>
          </cell>
        </row>
        <row r="116">
          <cell r="C116">
            <v>2425</v>
          </cell>
          <cell r="I116">
            <v>-359551.04114739253</v>
          </cell>
        </row>
        <row r="117">
          <cell r="C117">
            <v>1008</v>
          </cell>
          <cell r="I117">
            <v>2472.293686557794</v>
          </cell>
        </row>
        <row r="118">
          <cell r="C118">
            <v>7034</v>
          </cell>
          <cell r="I118">
            <v>578843.03605660843</v>
          </cell>
        </row>
        <row r="119">
          <cell r="C119">
            <v>4173</v>
          </cell>
          <cell r="I119">
            <v>491829.2934668283</v>
          </cell>
        </row>
        <row r="120">
          <cell r="C120">
            <v>2157</v>
          </cell>
          <cell r="I120">
            <v>-479045.51645078044</v>
          </cell>
        </row>
        <row r="121">
          <cell r="C121">
            <v>2159</v>
          </cell>
          <cell r="I121">
            <v>49545.557425082807</v>
          </cell>
        </row>
        <row r="122">
          <cell r="C122">
            <v>2161</v>
          </cell>
          <cell r="I122">
            <v>323598.26226157241</v>
          </cell>
        </row>
        <row r="123">
          <cell r="C123">
            <v>2160</v>
          </cell>
          <cell r="I123">
            <v>365664.97755002539</v>
          </cell>
        </row>
        <row r="124">
          <cell r="C124">
            <v>2063</v>
          </cell>
          <cell r="I124">
            <v>-67073.390403887985</v>
          </cell>
        </row>
        <row r="125">
          <cell r="C125">
            <v>1018</v>
          </cell>
          <cell r="I125">
            <v>388022.83722195978</v>
          </cell>
        </row>
        <row r="126">
          <cell r="C126">
            <v>1000</v>
          </cell>
          <cell r="I126">
            <v>-22291.185390319384</v>
          </cell>
        </row>
        <row r="127">
          <cell r="C127">
            <v>7033</v>
          </cell>
          <cell r="I127">
            <v>-70702.999188477173</v>
          </cell>
        </row>
        <row r="128">
          <cell r="C128">
            <v>4177</v>
          </cell>
          <cell r="I128">
            <v>516812.14132620767</v>
          </cell>
        </row>
        <row r="129">
          <cell r="C129">
            <v>2169</v>
          </cell>
          <cell r="I129">
            <v>619386.90530539304</v>
          </cell>
        </row>
        <row r="130">
          <cell r="C130">
            <v>2008</v>
          </cell>
          <cell r="I130">
            <v>239672.96508819534</v>
          </cell>
        </row>
        <row r="131">
          <cell r="C131">
            <v>1038</v>
          </cell>
          <cell r="I131">
            <v>68480.025962146232</v>
          </cell>
        </row>
        <row r="132">
          <cell r="C132">
            <v>2174</v>
          </cell>
          <cell r="I132">
            <v>94526.003102408547</v>
          </cell>
        </row>
        <row r="133">
          <cell r="C133">
            <v>2176</v>
          </cell>
          <cell r="I133">
            <v>339178.04649929143</v>
          </cell>
        </row>
        <row r="134">
          <cell r="C134">
            <v>7047</v>
          </cell>
          <cell r="I134">
            <v>-330677.18906069279</v>
          </cell>
        </row>
        <row r="135">
          <cell r="C135">
            <v>3410</v>
          </cell>
          <cell r="I135">
            <v>345177.3765134149</v>
          </cell>
        </row>
        <row r="136">
          <cell r="C136">
            <v>3381</v>
          </cell>
          <cell r="I136">
            <v>94144.242348657572</v>
          </cell>
        </row>
        <row r="137">
          <cell r="C137">
            <v>3335</v>
          </cell>
          <cell r="I137">
            <v>-150407.33197528261</v>
          </cell>
        </row>
        <row r="138">
          <cell r="C138">
            <v>2183</v>
          </cell>
          <cell r="I138">
            <v>520236.81405752909</v>
          </cell>
        </row>
        <row r="139">
          <cell r="C139">
            <v>3372</v>
          </cell>
          <cell r="I139">
            <v>219440.77302203444</v>
          </cell>
        </row>
        <row r="140">
          <cell r="C140">
            <v>3375</v>
          </cell>
          <cell r="I140">
            <v>438163.95181664347</v>
          </cell>
        </row>
        <row r="141">
          <cell r="C141">
            <v>3331</v>
          </cell>
          <cell r="I141">
            <v>134416.08667953755</v>
          </cell>
        </row>
        <row r="142">
          <cell r="C142">
            <v>3386</v>
          </cell>
          <cell r="I142">
            <v>166986.2492552929</v>
          </cell>
        </row>
        <row r="143">
          <cell r="C143">
            <v>3363</v>
          </cell>
          <cell r="I143">
            <v>210515.32232178643</v>
          </cell>
        </row>
        <row r="144">
          <cell r="C144">
            <v>3355</v>
          </cell>
          <cell r="I144">
            <v>240818.88890065276</v>
          </cell>
        </row>
        <row r="145">
          <cell r="C145">
            <v>3367</v>
          </cell>
          <cell r="I145">
            <v>87269.679475948564</v>
          </cell>
        </row>
        <row r="146">
          <cell r="C146">
            <v>3010</v>
          </cell>
          <cell r="I146">
            <v>458784.81767650996</v>
          </cell>
        </row>
        <row r="147">
          <cell r="C147">
            <v>4625</v>
          </cell>
          <cell r="I147">
            <v>351969.43000000017</v>
          </cell>
        </row>
        <row r="148">
          <cell r="C148">
            <v>3377</v>
          </cell>
          <cell r="I148">
            <v>266889.11786713963</v>
          </cell>
        </row>
        <row r="149">
          <cell r="C149">
            <v>3371</v>
          </cell>
          <cell r="I149">
            <v>206693.78874289294</v>
          </cell>
        </row>
        <row r="150">
          <cell r="C150">
            <v>3307</v>
          </cell>
          <cell r="I150">
            <v>52966.734483303037</v>
          </cell>
        </row>
        <row r="151">
          <cell r="C151">
            <v>3361</v>
          </cell>
          <cell r="I151">
            <v>-12122.454153651604</v>
          </cell>
        </row>
        <row r="152">
          <cell r="C152">
            <v>3382</v>
          </cell>
          <cell r="I152">
            <v>74464.796368131036</v>
          </cell>
        </row>
        <row r="153">
          <cell r="C153">
            <v>3344</v>
          </cell>
          <cell r="I153">
            <v>128491.54962934568</v>
          </cell>
        </row>
        <row r="154">
          <cell r="C154">
            <v>3025</v>
          </cell>
          <cell r="I154">
            <v>281825.6508126501</v>
          </cell>
        </row>
        <row r="155">
          <cell r="C155">
            <v>3016</v>
          </cell>
          <cell r="I155">
            <v>661298.73920952412</v>
          </cell>
        </row>
        <row r="156">
          <cell r="C156">
            <v>3346</v>
          </cell>
          <cell r="I156">
            <v>-878651.82731898653</v>
          </cell>
        </row>
        <row r="157">
          <cell r="C157">
            <v>4606</v>
          </cell>
          <cell r="I157">
            <v>209351.53999999992</v>
          </cell>
        </row>
        <row r="158">
          <cell r="C158">
            <v>3428</v>
          </cell>
          <cell r="I158">
            <v>-91432.890298001934</v>
          </cell>
        </row>
        <row r="159">
          <cell r="C159">
            <v>3019</v>
          </cell>
          <cell r="I159">
            <v>409839.83585748391</v>
          </cell>
        </row>
        <row r="160">
          <cell r="C160">
            <v>1009</v>
          </cell>
          <cell r="I160">
            <v>-1330129.1564866097</v>
          </cell>
        </row>
        <row r="161">
          <cell r="C161">
            <v>2178</v>
          </cell>
          <cell r="I161">
            <v>140718.2691105468</v>
          </cell>
        </row>
        <row r="162">
          <cell r="C162">
            <v>2184</v>
          </cell>
          <cell r="I162">
            <v>743979.28356546827</v>
          </cell>
        </row>
        <row r="163">
          <cell r="C163">
            <v>2190</v>
          </cell>
          <cell r="I163">
            <v>-31379.376565263839</v>
          </cell>
        </row>
        <row r="164">
          <cell r="C164">
            <v>7035</v>
          </cell>
          <cell r="I164">
            <v>555543.80322307604</v>
          </cell>
        </row>
        <row r="165">
          <cell r="C165">
            <v>7045</v>
          </cell>
          <cell r="I165">
            <v>1316047.8941299897</v>
          </cell>
        </row>
        <row r="166">
          <cell r="C166">
            <v>2192</v>
          </cell>
          <cell r="I166">
            <v>322036.21561474644</v>
          </cell>
        </row>
        <row r="167">
          <cell r="C167">
            <v>7014</v>
          </cell>
          <cell r="I167">
            <v>2370309.7151342044</v>
          </cell>
        </row>
        <row r="168">
          <cell r="C168">
            <v>7009</v>
          </cell>
          <cell r="I168">
            <v>2412223.3815939128</v>
          </cell>
        </row>
        <row r="169">
          <cell r="C169">
            <v>5203</v>
          </cell>
          <cell r="I169">
            <v>56163.277562326024</v>
          </cell>
        </row>
        <row r="170">
          <cell r="C170">
            <v>5202</v>
          </cell>
          <cell r="I170">
            <v>309758.73333333299</v>
          </cell>
        </row>
        <row r="171">
          <cell r="C171">
            <v>2108</v>
          </cell>
          <cell r="I171">
            <v>925116.0199999921</v>
          </cell>
        </row>
        <row r="172">
          <cell r="C172">
            <v>1019</v>
          </cell>
          <cell r="I172">
            <v>-243679.68205995852</v>
          </cell>
        </row>
        <row r="173">
          <cell r="C173">
            <v>2306</v>
          </cell>
          <cell r="I173">
            <v>295637.24579516758</v>
          </cell>
        </row>
        <row r="174">
          <cell r="C174">
            <v>2308</v>
          </cell>
          <cell r="I174">
            <v>356657.08181255561</v>
          </cell>
        </row>
        <row r="175">
          <cell r="C175">
            <v>2245</v>
          </cell>
          <cell r="I175">
            <v>46901.649999998452</v>
          </cell>
        </row>
        <row r="176">
          <cell r="C176">
            <v>1020</v>
          </cell>
          <cell r="I176">
            <v>-276485.24292821443</v>
          </cell>
        </row>
        <row r="177">
          <cell r="C177">
            <v>1014</v>
          </cell>
          <cell r="I177">
            <v>299375.98824173107</v>
          </cell>
        </row>
        <row r="178">
          <cell r="C178">
            <v>2019</v>
          </cell>
          <cell r="I178">
            <v>144209.06258499861</v>
          </cell>
        </row>
        <row r="179">
          <cell r="C179">
            <v>2011</v>
          </cell>
          <cell r="I179">
            <v>458609.18805380317</v>
          </cell>
        </row>
        <row r="180">
          <cell r="C180">
            <v>4193</v>
          </cell>
          <cell r="I180">
            <v>1123721.0462659271</v>
          </cell>
        </row>
        <row r="181">
          <cell r="C181">
            <v>2478</v>
          </cell>
          <cell r="I181">
            <v>308112.14736842189</v>
          </cell>
        </row>
        <row r="182">
          <cell r="C182">
            <v>2293</v>
          </cell>
          <cell r="I182">
            <v>1018433.6499999999</v>
          </cell>
        </row>
        <row r="183">
          <cell r="C183">
            <v>2445</v>
          </cell>
          <cell r="I183">
            <v>115045.25539313137</v>
          </cell>
        </row>
        <row r="184">
          <cell r="C184">
            <v>2278</v>
          </cell>
          <cell r="I184">
            <v>561463.95849506196</v>
          </cell>
        </row>
        <row r="185">
          <cell r="C185">
            <v>2317</v>
          </cell>
          <cell r="I185">
            <v>-316937.37967409019</v>
          </cell>
        </row>
        <row r="186">
          <cell r="C186">
            <v>2225</v>
          </cell>
          <cell r="I186">
            <v>685487.94611615827</v>
          </cell>
        </row>
        <row r="187">
          <cell r="C187">
            <v>2412</v>
          </cell>
          <cell r="I187">
            <v>660177.61106627551</v>
          </cell>
        </row>
        <row r="188">
          <cell r="C188">
            <v>3421</v>
          </cell>
          <cell r="I188">
            <v>232605.75131548184</v>
          </cell>
        </row>
        <row r="189">
          <cell r="C189">
            <v>2227</v>
          </cell>
          <cell r="I189">
            <v>311895.96128489223</v>
          </cell>
        </row>
        <row r="190">
          <cell r="C190">
            <v>2231</v>
          </cell>
          <cell r="I190">
            <v>268164.35417921713</v>
          </cell>
        </row>
        <row r="191">
          <cell r="C191">
            <v>7053</v>
          </cell>
          <cell r="I191"/>
        </row>
        <row r="192">
          <cell r="C192">
            <v>3323</v>
          </cell>
          <cell r="I192"/>
        </row>
        <row r="193">
          <cell r="C193">
            <v>2314</v>
          </cell>
          <cell r="I193"/>
        </row>
        <row r="194">
          <cell r="C194">
            <v>3431</v>
          </cell>
          <cell r="I194"/>
        </row>
        <row r="195">
          <cell r="C195">
            <v>3380</v>
          </cell>
          <cell r="I195"/>
        </row>
        <row r="196">
          <cell r="C196">
            <v>3329</v>
          </cell>
          <cell r="I196"/>
        </row>
        <row r="197">
          <cell r="C197">
            <v>3406</v>
          </cell>
          <cell r="I197"/>
        </row>
        <row r="198">
          <cell r="C198">
            <v>3342</v>
          </cell>
          <cell r="I198"/>
        </row>
        <row r="199">
          <cell r="C199">
            <v>3365</v>
          </cell>
          <cell r="I199"/>
        </row>
        <row r="200">
          <cell r="C200">
            <v>3310</v>
          </cell>
          <cell r="I200"/>
        </row>
        <row r="201">
          <cell r="C201">
            <v>2238</v>
          </cell>
          <cell r="I201"/>
        </row>
        <row r="202">
          <cell r="C202">
            <v>2236</v>
          </cell>
          <cell r="I202"/>
        </row>
        <row r="203">
          <cell r="C203">
            <v>2246</v>
          </cell>
          <cell r="I203"/>
        </row>
        <row r="204">
          <cell r="C204">
            <v>3322</v>
          </cell>
          <cell r="I204"/>
        </row>
        <row r="206">
          <cell r="I206">
            <v>55460246.712516941</v>
          </cell>
        </row>
        <row r="208">
          <cell r="I208" t="str">
            <v>Closing Revenue Balance (deficit)/surplus</v>
          </cell>
        </row>
        <row r="209">
          <cell r="I209">
            <v>2729421.3360467032</v>
          </cell>
        </row>
        <row r="210">
          <cell r="I210">
            <v>26209498.242884841</v>
          </cell>
        </row>
        <row r="211">
          <cell r="I211">
            <v>16164188.531249322</v>
          </cell>
        </row>
        <row r="212">
          <cell r="I212">
            <v>9905562.5623361561</v>
          </cell>
        </row>
        <row r="213">
          <cell r="I213">
            <v>451576.03999994718</v>
          </cell>
        </row>
        <row r="214">
          <cell r="I214">
            <v>55460246.712516971</v>
          </cell>
        </row>
        <row r="216">
          <cell r="I216">
            <v>0</v>
          </cell>
        </row>
        <row r="218">
          <cell r="I218">
            <v>55460246.712516971</v>
          </cell>
        </row>
      </sheetData>
      <sheetData sheetId="1"/>
      <sheetData sheetId="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AB6D78A-B34B-46B0-A06C-0ED3C1AC7153}" name="Table1" displayName="Table1" ref="L3:L7" totalsRowShown="0" tableBorderDxfId="103">
  <autoFilter ref="L3:L7" xr:uid="{5AB6D78A-B34B-46B0-A06C-0ED3C1AC7153}"/>
  <tableColumns count="1">
    <tableColumn id="1" xr3:uid="{92992C3E-6E69-4FB8-AA41-7D78A0E6D1D7}" name="Accrual"/>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3135EC3-9EF1-4680-B100-E090282354E8}" name="Table2" displayName="Table2" ref="M3:M50" totalsRowShown="0" headerRowDxfId="102" dataDxfId="101" tableBorderDxfId="100">
  <autoFilter ref="M3:M50" xr:uid="{33135EC3-9EF1-4680-B100-E090282354E8}"/>
  <tableColumns count="1">
    <tableColumn id="1" xr3:uid="{45C9DC99-F09D-435F-8FF4-CE78D8290C58}" name="Creditors" dataDxfId="99"/>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F5DCED1-DDDA-4032-AB24-C4BD96E1C52F}" name="Table3" displayName="Table3" ref="N3:N27" totalsRowShown="0" headerRowDxfId="98" dataDxfId="97" tableBorderDxfId="96">
  <autoFilter ref="N3:N27" xr:uid="{CF5DCED1-DDDA-4032-AB24-C4BD96E1C52F}"/>
  <tableColumns count="1">
    <tableColumn id="1" xr3:uid="{74D18AEF-FE89-42F0-A83E-F97EE1184C44}" name="Debtors" dataDxfId="95"/>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913A38C-D38C-48C4-89C9-B5C5EC91322D}" name="Table4" displayName="Table4" ref="O3:O50" totalsRowShown="0" headerRowDxfId="94" dataDxfId="93">
  <autoFilter ref="O3:O50" xr:uid="{4913A38C-D38C-48C4-89C9-B5C5EC91322D}"/>
  <tableColumns count="1">
    <tableColumn id="1" xr3:uid="{9A557D03-5EAD-47B8-95F5-4A1716D6E748}" name="Payment in advance" dataDxfId="92"/>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EFBF611-30C9-4422-9628-5A73431F1F1E}" name="Table6" displayName="Table6" ref="P3:P27" totalsRowShown="0" headerRowDxfId="91" dataDxfId="90" tableBorderDxfId="89">
  <autoFilter ref="P3:P27" xr:uid="{1EFBF611-30C9-4422-9628-5A73431F1F1E}"/>
  <tableColumns count="1">
    <tableColumn id="1" xr3:uid="{4C7B061B-6CD2-42D4-8374-7C840A4871AB}" name="Income in advance" dataDxfId="88"/>
  </tableColumns>
  <tableStyleInfo name="TableStyleLight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hyperlink" Target="P3%20Jun" TargetMode="External"/><Relationship Id="rId2" Type="http://schemas.openxmlformats.org/officeDocument/2006/relationships/hyperlink" Target="P2%20May" TargetMode="External"/><Relationship Id="rId1" Type="http://schemas.openxmlformats.org/officeDocument/2006/relationships/hyperlink" Target="P1%20April" TargetMode="External"/><Relationship Id="rId5" Type="http://schemas.openxmlformats.org/officeDocument/2006/relationships/printerSettings" Target="../printerSettings/printerSettings4.bin"/><Relationship Id="rId4" Type="http://schemas.openxmlformats.org/officeDocument/2006/relationships/hyperlink" Target="P4%20Jul"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CABD4-7551-4024-BB3D-80E8FAD88396}">
  <dimension ref="A1:G46"/>
  <sheetViews>
    <sheetView zoomScale="80" zoomScaleNormal="80" workbookViewId="0">
      <selection activeCell="C38" sqref="C38"/>
    </sheetView>
  </sheetViews>
  <sheetFormatPr defaultRowHeight="14.4"/>
  <cols>
    <col min="1" max="1" width="13.33203125" customWidth="1"/>
    <col min="2" max="2" width="20.5546875" customWidth="1"/>
    <col min="3" max="3" width="86" style="313" customWidth="1"/>
    <col min="4" max="4" width="24.88671875" customWidth="1"/>
    <col min="5" max="5" width="12.88671875" customWidth="1"/>
  </cols>
  <sheetData>
    <row r="1" spans="1:7" ht="15.6">
      <c r="A1" s="608" t="s">
        <v>0</v>
      </c>
      <c r="B1" s="609"/>
      <c r="C1" s="610"/>
      <c r="D1" s="611" t="s">
        <v>1</v>
      </c>
    </row>
    <row r="2" spans="1:7">
      <c r="A2" s="612"/>
      <c r="B2" s="635"/>
      <c r="C2" s="636"/>
      <c r="D2" s="613"/>
    </row>
    <row r="3" spans="1:7">
      <c r="A3" s="614" t="s">
        <v>2</v>
      </c>
      <c r="B3" s="500" t="str">
        <f>'CFR Return'!C3</f>
        <v>0000</v>
      </c>
      <c r="C3" s="311"/>
      <c r="D3" s="615"/>
      <c r="E3" s="637" t="s">
        <v>3</v>
      </c>
      <c r="F3" s="637"/>
      <c r="G3" s="147"/>
    </row>
    <row r="4" spans="1:7" ht="15" thickBot="1">
      <c r="A4" s="616" t="s">
        <v>4</v>
      </c>
      <c r="B4" s="617" t="str">
        <f>'CFR Return'!C2</f>
        <v>Select School</v>
      </c>
      <c r="C4" s="617"/>
      <c r="D4" s="618"/>
      <c r="E4" s="637" t="s">
        <v>5</v>
      </c>
      <c r="F4" s="637"/>
      <c r="G4" s="321" t="s">
        <v>6</v>
      </c>
    </row>
    <row r="5" spans="1:7" ht="15.6">
      <c r="A5" s="76"/>
      <c r="B5" s="76"/>
      <c r="C5"/>
      <c r="E5" s="146"/>
      <c r="F5" s="146"/>
      <c r="G5" s="320"/>
    </row>
    <row r="6" spans="1:7" ht="16.2" thickBot="1">
      <c r="A6" s="76"/>
      <c r="B6" s="76"/>
      <c r="C6"/>
      <c r="E6" s="146"/>
      <c r="G6" s="320"/>
    </row>
    <row r="7" spans="1:7" ht="15.6">
      <c r="A7" s="619" t="s">
        <v>7</v>
      </c>
      <c r="B7" s="620"/>
      <c r="C7" s="621"/>
      <c r="D7" s="622"/>
      <c r="E7" s="146"/>
      <c r="G7" s="320"/>
    </row>
    <row r="8" spans="1:7" ht="15.6">
      <c r="A8" s="623" t="s">
        <v>8</v>
      </c>
      <c r="B8" s="624"/>
      <c r="C8" s="625"/>
      <c r="D8" s="626"/>
      <c r="E8" s="146"/>
      <c r="G8" s="320"/>
    </row>
    <row r="9" spans="1:7" ht="15.6">
      <c r="A9" s="623" t="s">
        <v>9</v>
      </c>
      <c r="B9" s="627"/>
      <c r="C9" s="625"/>
      <c r="D9" s="628"/>
      <c r="E9" s="146"/>
      <c r="G9" s="320"/>
    </row>
    <row r="10" spans="1:7" ht="15.6">
      <c r="A10" s="623" t="s">
        <v>10</v>
      </c>
      <c r="B10" s="627"/>
      <c r="C10" s="633"/>
      <c r="D10" s="628"/>
      <c r="E10" s="146"/>
      <c r="G10" s="320"/>
    </row>
    <row r="11" spans="1:7" ht="15.6">
      <c r="A11" s="623" t="s">
        <v>11</v>
      </c>
      <c r="B11" s="627"/>
      <c r="C11" s="629"/>
      <c r="D11" s="628"/>
      <c r="E11" s="146"/>
      <c r="G11" s="320"/>
    </row>
    <row r="12" spans="1:7" ht="16.2" thickBot="1">
      <c r="A12" s="630"/>
      <c r="B12" s="631"/>
      <c r="C12" s="631"/>
      <c r="D12" s="632"/>
      <c r="E12" s="146"/>
      <c r="G12" s="320"/>
    </row>
    <row r="13" spans="1:7" ht="16.2" thickBot="1">
      <c r="A13" s="146"/>
      <c r="C13" s="323"/>
      <c r="D13" s="146"/>
      <c r="E13" s="146"/>
      <c r="G13" s="320"/>
    </row>
    <row r="14" spans="1:7" ht="35.25" customHeight="1">
      <c r="A14" s="325"/>
      <c r="B14" s="798" t="s">
        <v>12</v>
      </c>
      <c r="C14" s="799"/>
      <c r="D14" s="638" t="s">
        <v>13</v>
      </c>
      <c r="E14" s="320"/>
      <c r="G14" s="320"/>
    </row>
    <row r="15" spans="1:7" ht="15.6">
      <c r="A15" s="326">
        <v>1</v>
      </c>
      <c r="B15" s="802" t="s">
        <v>14</v>
      </c>
      <c r="C15" s="803"/>
      <c r="D15" s="642"/>
      <c r="E15" s="320"/>
      <c r="G15" s="327" t="s">
        <v>15</v>
      </c>
    </row>
    <row r="16" spans="1:7" ht="15.6">
      <c r="A16" s="328" t="s">
        <v>16</v>
      </c>
      <c r="B16" s="804" t="s">
        <v>17</v>
      </c>
      <c r="C16" s="805"/>
      <c r="D16" s="642"/>
      <c r="E16" s="320"/>
      <c r="G16" s="327" t="s">
        <v>18</v>
      </c>
    </row>
    <row r="17" spans="1:7" ht="39" customHeight="1">
      <c r="A17" s="328" t="s">
        <v>19</v>
      </c>
      <c r="B17" s="796" t="s">
        <v>20</v>
      </c>
      <c r="C17" s="797"/>
      <c r="D17" s="642"/>
      <c r="G17" s="145" t="s">
        <v>21</v>
      </c>
    </row>
    <row r="18" spans="1:7" ht="15">
      <c r="A18" s="328" t="s">
        <v>22</v>
      </c>
      <c r="B18" s="806" t="s">
        <v>23</v>
      </c>
      <c r="C18" s="807"/>
      <c r="D18" s="642"/>
    </row>
    <row r="19" spans="1:7" ht="67.5" customHeight="1">
      <c r="A19" s="328" t="s">
        <v>24</v>
      </c>
      <c r="B19" s="796" t="s">
        <v>25</v>
      </c>
      <c r="C19" s="797"/>
      <c r="D19" s="642"/>
    </row>
    <row r="20" spans="1:7" ht="37.5" customHeight="1">
      <c r="A20" s="328" t="s">
        <v>26</v>
      </c>
      <c r="B20" s="796" t="s">
        <v>27</v>
      </c>
      <c r="C20" s="797"/>
      <c r="D20" s="642"/>
    </row>
    <row r="21" spans="1:7" ht="65.25" customHeight="1">
      <c r="A21" s="328" t="s">
        <v>28</v>
      </c>
      <c r="B21" s="796" t="s">
        <v>29</v>
      </c>
      <c r="C21" s="797"/>
      <c r="D21" s="643"/>
    </row>
    <row r="22" spans="1:7" ht="66.75" customHeight="1">
      <c r="A22" s="328" t="s">
        <v>30</v>
      </c>
      <c r="B22" s="796" t="s">
        <v>31</v>
      </c>
      <c r="C22" s="797"/>
      <c r="D22" s="643"/>
    </row>
    <row r="23" spans="1:7" ht="15">
      <c r="A23" s="328" t="s">
        <v>32</v>
      </c>
      <c r="B23" s="796" t="s">
        <v>33</v>
      </c>
      <c r="C23" s="797"/>
      <c r="D23" s="643"/>
    </row>
    <row r="24" spans="1:7" ht="15">
      <c r="A24" s="328" t="s">
        <v>34</v>
      </c>
      <c r="B24" s="806" t="s">
        <v>35</v>
      </c>
      <c r="C24" s="807"/>
      <c r="D24" s="643"/>
    </row>
    <row r="25" spans="1:7" ht="15">
      <c r="A25" s="329"/>
      <c r="B25" s="800"/>
      <c r="C25" s="801"/>
      <c r="D25" s="331"/>
    </row>
    <row r="26" spans="1:7" ht="60" customHeight="1">
      <c r="A26" s="326">
        <v>2</v>
      </c>
      <c r="B26" s="808" t="s">
        <v>36</v>
      </c>
      <c r="C26" s="809"/>
      <c r="D26" s="643"/>
    </row>
    <row r="27" spans="1:7" ht="15">
      <c r="A27" s="329"/>
      <c r="B27" s="800"/>
      <c r="C27" s="801"/>
      <c r="D27" s="331"/>
    </row>
    <row r="28" spans="1:7" ht="69.75" customHeight="1">
      <c r="A28" s="326">
        <v>3</v>
      </c>
      <c r="B28" s="810" t="s">
        <v>37</v>
      </c>
      <c r="C28" s="811"/>
      <c r="D28" s="644"/>
    </row>
    <row r="29" spans="1:7" ht="15">
      <c r="A29" s="332"/>
      <c r="B29" s="800"/>
      <c r="C29" s="801"/>
      <c r="D29" s="331"/>
    </row>
    <row r="30" spans="1:7" ht="29.25" customHeight="1">
      <c r="A30" s="326">
        <v>4</v>
      </c>
      <c r="B30" s="812" t="s">
        <v>38</v>
      </c>
      <c r="C30" s="813"/>
      <c r="D30" s="644"/>
    </row>
    <row r="31" spans="1:7" ht="15.6" thickBot="1">
      <c r="A31" s="641"/>
      <c r="B31" s="814"/>
      <c r="C31" s="815"/>
      <c r="D31" s="333"/>
    </row>
    <row r="32" spans="1:7" ht="15" thickBot="1"/>
    <row r="33" spans="1:5" ht="17.399999999999999">
      <c r="A33" s="334" t="s">
        <v>39</v>
      </c>
      <c r="B33" s="335"/>
      <c r="C33" s="324"/>
      <c r="D33" s="336"/>
      <c r="E33" s="337"/>
    </row>
    <row r="34" spans="1:5" ht="17.399999999999999">
      <c r="A34" s="338"/>
      <c r="B34" s="65"/>
      <c r="D34" s="339"/>
      <c r="E34" s="337"/>
    </row>
    <row r="35" spans="1:5" ht="25.5" customHeight="1">
      <c r="A35" s="340"/>
      <c r="B35" s="816" t="s">
        <v>40</v>
      </c>
      <c r="C35" s="816"/>
      <c r="D35" s="817"/>
      <c r="E35" s="69"/>
    </row>
    <row r="36" spans="1:5">
      <c r="A36" s="340"/>
      <c r="B36" s="65"/>
      <c r="D36" s="339"/>
      <c r="E36" s="66"/>
    </row>
    <row r="37" spans="1:5">
      <c r="A37" s="340"/>
      <c r="B37" s="65"/>
      <c r="D37" s="339"/>
      <c r="E37" s="66"/>
    </row>
    <row r="38" spans="1:5">
      <c r="A38" s="341" t="s">
        <v>41</v>
      </c>
      <c r="B38" s="310"/>
      <c r="C38" s="342"/>
      <c r="D38" s="343" t="s">
        <v>42</v>
      </c>
      <c r="E38" s="344"/>
    </row>
    <row r="39" spans="1:5">
      <c r="A39" s="345"/>
      <c r="D39" s="346"/>
      <c r="E39" s="70"/>
    </row>
    <row r="40" spans="1:5">
      <c r="A40" s="345"/>
      <c r="D40" s="346"/>
      <c r="E40" s="70"/>
    </row>
    <row r="41" spans="1:5">
      <c r="A41" s="341" t="s">
        <v>43</v>
      </c>
      <c r="B41" s="310"/>
      <c r="C41" s="342"/>
      <c r="D41" s="343"/>
      <c r="E41" s="344"/>
    </row>
    <row r="42" spans="1:5">
      <c r="A42" s="347"/>
      <c r="D42" s="348"/>
      <c r="E42" s="65"/>
    </row>
    <row r="43" spans="1:5">
      <c r="A43" s="347"/>
      <c r="D43" s="348"/>
      <c r="E43" s="65"/>
    </row>
    <row r="44" spans="1:5">
      <c r="A44" s="341" t="s">
        <v>44</v>
      </c>
      <c r="B44" s="310"/>
      <c r="C44" s="342"/>
      <c r="D44" s="343"/>
      <c r="E44" s="344"/>
    </row>
    <row r="45" spans="1:5" ht="15" thickBot="1">
      <c r="A45" s="349"/>
      <c r="B45" s="350"/>
      <c r="C45" s="351"/>
      <c r="D45" s="352"/>
      <c r="E45" s="66"/>
    </row>
    <row r="46" spans="1:5">
      <c r="A46" s="68"/>
      <c r="B46" s="65"/>
      <c r="D46" s="66"/>
      <c r="E46" s="66"/>
    </row>
  </sheetData>
  <sheetProtection algorithmName="SHA-512" hashValue="tAjC55MmlfYWNMHaa+0h7ZPZOBkwnrQ5fKLNm0L4g+wdQ5l1DFzHPDNhnYIn0J9SbXz+aG4Tcm08NOVBxMX4dQ==" saltValue="8iJ45PEWJ5XA3fDdkB9EVQ==" spinCount="100000" sheet="1" objects="1" scenarios="1"/>
  <mergeCells count="19">
    <mergeCell ref="B28:C28"/>
    <mergeCell ref="B30:C30"/>
    <mergeCell ref="B29:C29"/>
    <mergeCell ref="B31:C31"/>
    <mergeCell ref="B35:D35"/>
    <mergeCell ref="B19:C19"/>
    <mergeCell ref="B14:C14"/>
    <mergeCell ref="B25:C25"/>
    <mergeCell ref="B27:C27"/>
    <mergeCell ref="B23:C23"/>
    <mergeCell ref="B15:C15"/>
    <mergeCell ref="B16:C16"/>
    <mergeCell ref="B17:C17"/>
    <mergeCell ref="B18:C18"/>
    <mergeCell ref="B20:C20"/>
    <mergeCell ref="B21:C21"/>
    <mergeCell ref="B22:C22"/>
    <mergeCell ref="B24:C24"/>
    <mergeCell ref="B26:C2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8FB15-B754-46C5-98FD-AC3889B0B3DE}">
  <sheetPr filterMode="1"/>
  <dimension ref="A1:AU210"/>
  <sheetViews>
    <sheetView zoomScale="109" workbookViewId="0">
      <selection activeCell="E58" sqref="E58:G58"/>
    </sheetView>
  </sheetViews>
  <sheetFormatPr defaultRowHeight="14.4"/>
  <cols>
    <col min="1" max="1" width="67.5546875" style="718" bestFit="1" customWidth="1"/>
    <col min="2" max="2" width="13.44140625" bestFit="1" customWidth="1"/>
    <col min="3" max="3" width="13.44140625" style="718" bestFit="1" customWidth="1"/>
    <col min="4" max="4" width="3.44140625" style="718" customWidth="1"/>
    <col min="5" max="5" width="12.6640625" style="718" bestFit="1" customWidth="1"/>
    <col min="6" max="6" width="37.44140625" style="718" bestFit="1" customWidth="1"/>
    <col min="7" max="7" width="53.5546875" style="718" bestFit="1" customWidth="1"/>
    <col min="8" max="8" width="3" style="718" customWidth="1"/>
    <col min="9" max="9" width="11.6640625" style="718" bestFit="1" customWidth="1"/>
    <col min="10" max="10" width="25.88671875" style="718" bestFit="1" customWidth="1"/>
    <col min="11" max="11" width="12.44140625" style="718" customWidth="1"/>
    <col min="12" max="12" width="21.44140625" style="718" bestFit="1" customWidth="1"/>
    <col min="13" max="13" width="12.44140625" style="718" customWidth="1"/>
    <col min="14" max="14" width="25.33203125" style="718" bestFit="1" customWidth="1"/>
    <col min="15" max="15" width="3.5546875" style="718" bestFit="1" customWidth="1"/>
    <col min="16" max="16" width="11.6640625" style="718" bestFit="1" customWidth="1"/>
    <col min="17" max="17" width="31.88671875" style="718" customWidth="1"/>
    <col min="18" max="18" width="4.109375" style="718" customWidth="1"/>
    <col min="19" max="19" width="25.109375" style="718" customWidth="1"/>
    <col min="20" max="20" width="20.88671875" style="718" bestFit="1" customWidth="1"/>
    <col min="21" max="21" width="89.6640625" style="718" bestFit="1" customWidth="1"/>
    <col min="22" max="22" width="4.109375" style="718" customWidth="1"/>
    <col min="23" max="23" width="14.44140625" style="718" bestFit="1" customWidth="1"/>
    <col min="24" max="24" width="70.33203125" style="718" bestFit="1" customWidth="1"/>
    <col min="25" max="26" width="12.44140625" style="718" customWidth="1"/>
    <col min="27" max="27" width="17.109375" style="719" customWidth="1"/>
    <col min="28" max="28" width="2.109375" customWidth="1"/>
    <col min="29" max="29" width="17.109375" style="719" customWidth="1"/>
    <col min="30" max="30" width="2.109375" customWidth="1"/>
    <col min="31" max="31" width="17.109375" style="719" customWidth="1"/>
    <col min="32" max="32" width="2.109375" customWidth="1"/>
    <col min="33" max="33" width="17.109375" style="719" customWidth="1"/>
    <col min="34" max="34" width="2.109375" customWidth="1"/>
    <col min="35" max="37" width="17.109375" style="719" customWidth="1"/>
    <col min="38" max="38" width="2.109375" customWidth="1"/>
    <col min="39" max="41" width="16.109375" style="719" customWidth="1"/>
    <col min="42" max="42" width="2.109375" customWidth="1"/>
  </cols>
  <sheetData>
    <row r="1" spans="1:47">
      <c r="B1" s="718">
        <v>1</v>
      </c>
      <c r="C1" s="718">
        <v>2</v>
      </c>
      <c r="D1" s="718">
        <v>3</v>
      </c>
      <c r="E1" s="718">
        <v>4</v>
      </c>
      <c r="F1" s="718">
        <v>5</v>
      </c>
      <c r="G1" s="718">
        <v>6</v>
      </c>
      <c r="H1" s="718">
        <v>7</v>
      </c>
      <c r="I1" s="718">
        <v>8</v>
      </c>
      <c r="J1" s="718">
        <v>9</v>
      </c>
      <c r="K1" s="718">
        <v>10</v>
      </c>
      <c r="L1" s="718">
        <v>11</v>
      </c>
      <c r="M1" s="718">
        <v>12</v>
      </c>
      <c r="N1" s="718">
        <v>13</v>
      </c>
      <c r="O1" s="718">
        <v>14</v>
      </c>
      <c r="P1" s="718">
        <v>15</v>
      </c>
      <c r="Q1" s="718">
        <v>16</v>
      </c>
      <c r="R1" s="718">
        <v>17</v>
      </c>
      <c r="S1" s="718">
        <v>18</v>
      </c>
      <c r="T1" s="718">
        <v>19</v>
      </c>
      <c r="U1" s="718">
        <v>20</v>
      </c>
      <c r="V1" s="718">
        <v>21</v>
      </c>
      <c r="W1" s="718">
        <v>22</v>
      </c>
      <c r="X1" s="718">
        <v>23</v>
      </c>
      <c r="Y1" s="718">
        <v>19</v>
      </c>
      <c r="Z1" s="718">
        <v>20</v>
      </c>
      <c r="AA1" s="718">
        <v>21</v>
      </c>
      <c r="AB1" s="718">
        <v>22</v>
      </c>
      <c r="AC1" s="718">
        <v>23</v>
      </c>
      <c r="AD1" s="718">
        <v>24</v>
      </c>
      <c r="AE1" s="718">
        <v>25</v>
      </c>
      <c r="AF1" s="718">
        <v>26</v>
      </c>
      <c r="AG1" s="718">
        <v>27</v>
      </c>
      <c r="AH1" s="718">
        <v>28</v>
      </c>
      <c r="AI1" s="718">
        <v>29</v>
      </c>
      <c r="AJ1" s="718">
        <v>30</v>
      </c>
      <c r="AK1" s="718">
        <v>31</v>
      </c>
      <c r="AL1" s="718">
        <v>32</v>
      </c>
      <c r="AM1" s="718">
        <v>33</v>
      </c>
      <c r="AN1" s="718">
        <v>34</v>
      </c>
      <c r="AO1" s="718">
        <v>35</v>
      </c>
      <c r="AP1" s="718">
        <v>36</v>
      </c>
      <c r="AQ1" s="718">
        <v>37</v>
      </c>
      <c r="AR1" s="718">
        <v>38</v>
      </c>
      <c r="AS1" s="718">
        <v>39</v>
      </c>
      <c r="AT1" s="718">
        <v>40</v>
      </c>
      <c r="AU1" s="718">
        <v>41</v>
      </c>
    </row>
    <row r="2" spans="1:47">
      <c r="AA2" s="719" t="s">
        <v>1065</v>
      </c>
      <c r="AC2" s="719" t="s">
        <v>1066</v>
      </c>
      <c r="AE2" s="719" t="s">
        <v>1067</v>
      </c>
      <c r="AG2" s="719" t="s">
        <v>1068</v>
      </c>
      <c r="AI2" s="719" t="s">
        <v>1069</v>
      </c>
      <c r="AM2" s="861"/>
      <c r="AN2" s="861"/>
      <c r="AO2" s="861"/>
    </row>
    <row r="3" spans="1:47">
      <c r="E3" s="740" t="s">
        <v>1070</v>
      </c>
      <c r="F3" s="740"/>
      <c r="G3" s="740"/>
      <c r="I3" s="740" t="s">
        <v>1071</v>
      </c>
      <c r="J3" s="743"/>
      <c r="K3" s="743"/>
      <c r="L3" s="743"/>
      <c r="M3" s="743"/>
      <c r="N3" s="743"/>
      <c r="P3" s="740" t="s">
        <v>1072</v>
      </c>
      <c r="Q3" s="740"/>
      <c r="S3" s="740" t="s">
        <v>1073</v>
      </c>
      <c r="T3" s="740"/>
      <c r="U3" s="740"/>
      <c r="W3" s="740" t="s">
        <v>1074</v>
      </c>
      <c r="X3" s="740"/>
      <c r="AA3" s="719" t="s">
        <v>1075</v>
      </c>
      <c r="AC3" s="719" t="s">
        <v>124</v>
      </c>
      <c r="AE3" s="719" t="s">
        <v>171</v>
      </c>
      <c r="AG3" s="719" t="s">
        <v>178</v>
      </c>
      <c r="AI3" s="719" t="s">
        <v>130</v>
      </c>
      <c r="AJ3" s="719" t="s">
        <v>167</v>
      </c>
    </row>
    <row r="4" spans="1:47" ht="17.399999999999999">
      <c r="A4" s="726" t="s">
        <v>1076</v>
      </c>
      <c r="B4" s="726" t="s">
        <v>470</v>
      </c>
      <c r="C4" s="726" t="s">
        <v>316</v>
      </c>
      <c r="D4" s="727"/>
      <c r="E4" s="726" t="s">
        <v>1077</v>
      </c>
      <c r="F4" s="726" t="s">
        <v>1078</v>
      </c>
      <c r="G4" s="726" t="s">
        <v>1079</v>
      </c>
      <c r="H4" s="728"/>
      <c r="I4" s="726" t="s">
        <v>1077</v>
      </c>
      <c r="J4" s="726" t="s">
        <v>1079</v>
      </c>
      <c r="K4" s="726" t="s">
        <v>1077</v>
      </c>
      <c r="L4" s="726" t="s">
        <v>1079</v>
      </c>
      <c r="M4" s="726" t="s">
        <v>1077</v>
      </c>
      <c r="N4" s="726" t="s">
        <v>1079</v>
      </c>
      <c r="O4" s="728"/>
      <c r="P4" s="726" t="s">
        <v>1077</v>
      </c>
      <c r="Q4" s="726" t="s">
        <v>1079</v>
      </c>
      <c r="R4" s="728"/>
      <c r="S4" s="726" t="s">
        <v>1077</v>
      </c>
      <c r="T4" s="726" t="s">
        <v>1078</v>
      </c>
      <c r="U4" s="726" t="s">
        <v>1079</v>
      </c>
      <c r="V4" s="728"/>
      <c r="W4" s="726" t="s">
        <v>1077</v>
      </c>
      <c r="X4" s="726" t="s">
        <v>1079</v>
      </c>
      <c r="Y4" s="728"/>
      <c r="Z4" s="728"/>
      <c r="AA4" s="720"/>
      <c r="AC4" s="720"/>
      <c r="AE4" s="720"/>
      <c r="AG4" s="720"/>
      <c r="AI4" s="720"/>
      <c r="AJ4" s="720"/>
      <c r="AK4" s="720" t="s">
        <v>1080</v>
      </c>
      <c r="AM4" s="720"/>
      <c r="AN4" s="720"/>
      <c r="AO4" s="720" t="s">
        <v>1080</v>
      </c>
    </row>
    <row r="5" spans="1:47" ht="17.399999999999999" hidden="1">
      <c r="A5" s="721" t="s">
        <v>48</v>
      </c>
      <c r="B5" s="722" t="s">
        <v>531</v>
      </c>
      <c r="C5" s="721" t="s">
        <v>531</v>
      </c>
      <c r="D5" s="727"/>
      <c r="E5" s="729">
        <v>0</v>
      </c>
      <c r="F5" s="730"/>
      <c r="G5" s="730"/>
      <c r="H5" s="727"/>
      <c r="I5" s="727"/>
      <c r="J5" s="727"/>
      <c r="K5" s="727"/>
      <c r="L5" s="727"/>
      <c r="M5" s="727"/>
      <c r="N5" s="727"/>
      <c r="O5" s="727"/>
      <c r="P5" s="727"/>
      <c r="Q5" s="727"/>
      <c r="R5" s="727"/>
      <c r="S5" s="741"/>
      <c r="T5" s="741"/>
      <c r="U5" s="741"/>
      <c r="V5" s="727"/>
      <c r="W5" s="741">
        <v>0</v>
      </c>
      <c r="X5" s="741">
        <v>0</v>
      </c>
      <c r="Y5" s="727"/>
      <c r="Z5" s="727"/>
      <c r="AA5" s="720">
        <v>0</v>
      </c>
      <c r="AC5" s="720">
        <v>0</v>
      </c>
      <c r="AE5" s="720">
        <v>0</v>
      </c>
      <c r="AG5" s="720">
        <v>0</v>
      </c>
      <c r="AI5" s="720">
        <v>0</v>
      </c>
      <c r="AJ5" s="720">
        <v>0</v>
      </c>
      <c r="AK5" s="720">
        <f>AI5+AJ5</f>
        <v>0</v>
      </c>
      <c r="AM5" s="720">
        <v>0</v>
      </c>
      <c r="AN5" s="720">
        <v>0</v>
      </c>
      <c r="AO5" s="720">
        <f>AM5+AN5</f>
        <v>0</v>
      </c>
    </row>
    <row r="6" spans="1:47" hidden="1">
      <c r="A6" s="721" t="s">
        <v>533</v>
      </c>
      <c r="B6" s="722">
        <v>1027</v>
      </c>
      <c r="C6" s="721" t="s">
        <v>547</v>
      </c>
      <c r="D6" s="721"/>
      <c r="E6" s="729">
        <v>0</v>
      </c>
      <c r="F6" s="730"/>
      <c r="G6" s="730"/>
      <c r="H6" s="721"/>
      <c r="I6" s="721"/>
      <c r="J6" s="721"/>
      <c r="K6" s="721"/>
      <c r="L6" s="721"/>
      <c r="M6" s="721"/>
      <c r="N6" s="721"/>
      <c r="O6" s="721"/>
      <c r="P6" s="721"/>
      <c r="Q6" s="721"/>
      <c r="R6" s="721"/>
      <c r="S6" s="741"/>
      <c r="T6" s="721"/>
      <c r="U6" s="741"/>
      <c r="V6" s="721"/>
      <c r="W6" s="741" t="s">
        <v>979</v>
      </c>
      <c r="X6" s="741">
        <v>0</v>
      </c>
      <c r="Y6" s="721"/>
      <c r="Z6" s="721"/>
      <c r="AA6" s="720"/>
      <c r="AC6" s="720"/>
      <c r="AE6" s="720"/>
      <c r="AG6" s="720"/>
      <c r="AI6" s="720"/>
      <c r="AJ6" s="720"/>
      <c r="AK6" s="720"/>
      <c r="AM6" s="720"/>
      <c r="AN6" s="720"/>
      <c r="AO6" s="720"/>
    </row>
    <row r="7" spans="1:47" hidden="1">
      <c r="A7" s="721" t="s">
        <v>537</v>
      </c>
      <c r="B7" s="722">
        <v>2010</v>
      </c>
      <c r="C7" s="721" t="s">
        <v>549</v>
      </c>
      <c r="D7" s="721"/>
      <c r="E7" s="729">
        <v>1496</v>
      </c>
      <c r="F7" s="730" t="s">
        <v>1081</v>
      </c>
      <c r="G7" s="730" t="s">
        <v>1082</v>
      </c>
      <c r="H7" s="721"/>
      <c r="I7" s="721"/>
      <c r="J7" s="721"/>
      <c r="K7" s="721"/>
      <c r="L7" s="721"/>
      <c r="M7" s="721"/>
      <c r="N7" s="721"/>
      <c r="O7" s="721"/>
      <c r="P7" s="721"/>
      <c r="Q7" s="721"/>
      <c r="R7" s="721"/>
      <c r="S7" s="741"/>
      <c r="T7" s="721"/>
      <c r="U7" s="741"/>
      <c r="V7" s="721"/>
      <c r="W7" s="741">
        <v>0</v>
      </c>
      <c r="X7" s="741">
        <v>0</v>
      </c>
      <c r="Y7" s="721"/>
      <c r="Z7" s="721"/>
      <c r="AA7" s="720"/>
      <c r="AC7" s="720"/>
      <c r="AE7" s="720"/>
      <c r="AG7" s="720"/>
      <c r="AI7" s="720"/>
      <c r="AJ7" s="720"/>
      <c r="AK7" s="720"/>
      <c r="AM7" s="720"/>
      <c r="AN7" s="720"/>
      <c r="AO7" s="720"/>
    </row>
    <row r="8" spans="1:47" hidden="1">
      <c r="A8" s="721" t="s">
        <v>540</v>
      </c>
      <c r="B8" s="722">
        <v>5949</v>
      </c>
      <c r="C8" s="721" t="s">
        <v>551</v>
      </c>
      <c r="D8" s="721"/>
      <c r="E8" s="729">
        <v>0</v>
      </c>
      <c r="F8" s="730"/>
      <c r="G8" s="730"/>
      <c r="H8" s="721"/>
      <c r="I8" s="721"/>
      <c r="J8" s="721"/>
      <c r="K8" s="721"/>
      <c r="L8" s="721"/>
      <c r="M8" s="721"/>
      <c r="N8" s="721"/>
      <c r="O8" s="721"/>
      <c r="P8" s="721"/>
      <c r="Q8" s="721"/>
      <c r="R8" s="721"/>
      <c r="S8" s="741"/>
      <c r="T8" s="721"/>
      <c r="U8" s="741"/>
      <c r="V8" s="721"/>
      <c r="W8" s="741">
        <v>0</v>
      </c>
      <c r="X8" s="741">
        <v>0</v>
      </c>
      <c r="Y8" s="721"/>
      <c r="Z8" s="721"/>
      <c r="AA8" s="720"/>
      <c r="AC8" s="720"/>
      <c r="AE8" s="720"/>
      <c r="AG8" s="720"/>
      <c r="AI8" s="720"/>
      <c r="AJ8" s="720"/>
      <c r="AK8" s="720"/>
      <c r="AM8" s="720"/>
      <c r="AN8" s="720"/>
      <c r="AO8" s="720"/>
    </row>
    <row r="9" spans="1:47" hidden="1">
      <c r="A9" s="721" t="s">
        <v>542</v>
      </c>
      <c r="B9" s="722">
        <v>1017</v>
      </c>
      <c r="C9" s="721" t="s">
        <v>554</v>
      </c>
      <c r="D9" s="721"/>
      <c r="E9" s="729">
        <v>0</v>
      </c>
      <c r="F9" s="730"/>
      <c r="G9" s="730"/>
      <c r="H9" s="721"/>
      <c r="I9" s="741">
        <v>6719.91</v>
      </c>
      <c r="J9" s="721" t="s">
        <v>1083</v>
      </c>
      <c r="K9" s="741">
        <v>4061.84</v>
      </c>
      <c r="L9" s="721" t="s">
        <v>1084</v>
      </c>
      <c r="M9" s="742">
        <v>3153.4</v>
      </c>
      <c r="N9" s="718" t="s">
        <v>1085</v>
      </c>
      <c r="O9" s="721"/>
      <c r="P9" s="721"/>
      <c r="Q9" s="721"/>
      <c r="R9" s="721"/>
      <c r="S9" s="741"/>
      <c r="T9" s="721"/>
      <c r="U9" s="741"/>
      <c r="V9" s="721"/>
      <c r="W9" s="741">
        <v>0</v>
      </c>
      <c r="X9" s="741">
        <v>0</v>
      </c>
      <c r="Y9" s="721"/>
      <c r="Z9" s="721"/>
      <c r="AA9" s="720"/>
      <c r="AC9" s="720"/>
      <c r="AE9" s="720"/>
      <c r="AG9" s="720"/>
      <c r="AI9" s="720"/>
      <c r="AJ9" s="720"/>
      <c r="AK9" s="720"/>
      <c r="AM9" s="720"/>
      <c r="AN9" s="720"/>
      <c r="AO9" s="720"/>
    </row>
    <row r="10" spans="1:47" hidden="1">
      <c r="A10" s="721" t="s">
        <v>544</v>
      </c>
      <c r="B10" s="722">
        <v>2153</v>
      </c>
      <c r="C10" s="721" t="s">
        <v>556</v>
      </c>
      <c r="D10" s="721"/>
      <c r="E10" s="729">
        <v>4488</v>
      </c>
      <c r="F10" s="730" t="s">
        <v>1081</v>
      </c>
      <c r="G10" s="730" t="s">
        <v>1086</v>
      </c>
      <c r="H10" s="721"/>
      <c r="I10" s="741">
        <v>6275.38</v>
      </c>
      <c r="J10" s="721" t="s">
        <v>1083</v>
      </c>
      <c r="K10" s="721"/>
      <c r="L10" s="721"/>
      <c r="M10" s="741">
        <v>2944.8</v>
      </c>
      <c r="N10" s="721" t="s">
        <v>1085</v>
      </c>
      <c r="O10" s="721"/>
      <c r="P10" s="721"/>
      <c r="Q10" s="721"/>
      <c r="R10" s="721"/>
      <c r="S10" s="741"/>
      <c r="T10" s="721"/>
      <c r="U10" s="741"/>
      <c r="V10" s="721"/>
      <c r="W10" s="741">
        <v>0</v>
      </c>
      <c r="X10" s="741">
        <v>0</v>
      </c>
      <c r="Y10" s="721"/>
      <c r="Z10" s="721"/>
      <c r="AA10" s="720"/>
      <c r="AC10" s="720"/>
      <c r="AE10" s="720"/>
      <c r="AG10" s="720"/>
      <c r="AI10" s="720"/>
      <c r="AJ10" s="720"/>
      <c r="AK10" s="720"/>
      <c r="AM10" s="720"/>
      <c r="AN10" s="720"/>
      <c r="AO10" s="720"/>
    </row>
    <row r="11" spans="1:47" hidden="1">
      <c r="A11" s="721" t="s">
        <v>546</v>
      </c>
      <c r="B11" s="722">
        <v>2062</v>
      </c>
      <c r="C11" s="721" t="s">
        <v>558</v>
      </c>
      <c r="D11" s="721"/>
      <c r="E11" s="729">
        <v>4398.2400000000007</v>
      </c>
      <c r="F11" s="730" t="s">
        <v>1081</v>
      </c>
      <c r="G11" s="730" t="s">
        <v>1087</v>
      </c>
      <c r="H11" s="721"/>
      <c r="I11" s="721"/>
      <c r="J11" s="721"/>
      <c r="K11" s="721"/>
      <c r="L11" s="721"/>
      <c r="M11" s="721"/>
      <c r="N11" s="721"/>
      <c r="O11" s="721"/>
      <c r="P11" s="721"/>
      <c r="Q11" s="721"/>
      <c r="R11" s="721"/>
      <c r="S11" s="741"/>
      <c r="T11" s="721"/>
      <c r="U11" s="741"/>
      <c r="V11" s="721"/>
      <c r="W11" s="741">
        <v>50783.360000000001</v>
      </c>
      <c r="X11" s="741" t="s">
        <v>1088</v>
      </c>
      <c r="Y11" s="721"/>
      <c r="Z11" s="721"/>
      <c r="AA11" s="720"/>
      <c r="AC11" s="720"/>
      <c r="AE11" s="720"/>
      <c r="AG11" s="720"/>
      <c r="AI11" s="720"/>
      <c r="AJ11" s="720"/>
      <c r="AK11" s="720"/>
      <c r="AM11" s="720"/>
      <c r="AN11" s="720"/>
      <c r="AO11" s="720"/>
    </row>
    <row r="12" spans="1:47" hidden="1">
      <c r="A12" s="721" t="s">
        <v>548</v>
      </c>
      <c r="B12" s="722">
        <v>2479</v>
      </c>
      <c r="C12" s="721" t="s">
        <v>560</v>
      </c>
      <c r="D12" s="721"/>
      <c r="E12" s="729">
        <v>6950.42</v>
      </c>
      <c r="F12" s="730" t="s">
        <v>1081</v>
      </c>
      <c r="G12" s="730" t="s">
        <v>1089</v>
      </c>
      <c r="H12" s="721"/>
      <c r="I12" s="721"/>
      <c r="J12" s="721"/>
      <c r="K12" s="721"/>
      <c r="L12" s="721"/>
      <c r="M12" s="721"/>
      <c r="N12" s="721"/>
      <c r="O12" s="721"/>
      <c r="P12" s="721"/>
      <c r="Q12" s="721"/>
      <c r="R12" s="721"/>
      <c r="S12" s="741"/>
      <c r="T12" s="721"/>
      <c r="U12" s="741"/>
      <c r="V12" s="721"/>
      <c r="W12" s="741">
        <v>0</v>
      </c>
      <c r="X12" s="741">
        <v>0</v>
      </c>
      <c r="Y12" s="721"/>
      <c r="Z12" s="721"/>
      <c r="AA12" s="720"/>
      <c r="AC12" s="720"/>
      <c r="AE12" s="720"/>
      <c r="AG12" s="720"/>
      <c r="AI12" s="720"/>
      <c r="AJ12" s="720"/>
      <c r="AK12" s="720"/>
      <c r="AM12" s="720"/>
      <c r="AN12" s="720"/>
      <c r="AO12" s="720"/>
    </row>
    <row r="13" spans="1:47" hidden="1">
      <c r="A13" s="721" t="s">
        <v>550</v>
      </c>
      <c r="B13" s="722">
        <v>2300</v>
      </c>
      <c r="C13" s="721" t="s">
        <v>562</v>
      </c>
      <c r="D13" s="721"/>
      <c r="E13" s="729">
        <v>0</v>
      </c>
      <c r="F13" s="730"/>
      <c r="G13" s="730"/>
      <c r="H13" s="721"/>
      <c r="I13" s="721"/>
      <c r="J13" s="721"/>
      <c r="K13" s="721"/>
      <c r="L13" s="721"/>
      <c r="M13" s="721"/>
      <c r="N13" s="721"/>
      <c r="O13" s="721"/>
      <c r="P13" s="721"/>
      <c r="Q13" s="721"/>
      <c r="R13" s="721"/>
      <c r="S13" s="741"/>
      <c r="T13" s="721"/>
      <c r="U13" s="741"/>
      <c r="V13" s="721"/>
      <c r="W13" s="741">
        <v>0</v>
      </c>
      <c r="X13" s="741">
        <v>0</v>
      </c>
      <c r="Y13" s="721"/>
      <c r="Z13" s="721"/>
      <c r="AA13" s="720"/>
      <c r="AC13" s="720"/>
      <c r="AE13" s="720"/>
      <c r="AG13" s="720"/>
      <c r="AI13" s="720"/>
      <c r="AJ13" s="720"/>
      <c r="AK13" s="720"/>
      <c r="AM13" s="720"/>
      <c r="AN13" s="720"/>
      <c r="AO13" s="720"/>
    </row>
    <row r="14" spans="1:47" hidden="1">
      <c r="A14" s="721" t="s">
        <v>877</v>
      </c>
      <c r="B14" s="722">
        <v>2014</v>
      </c>
      <c r="C14" s="721" t="s">
        <v>888</v>
      </c>
      <c r="D14" s="721"/>
      <c r="E14" s="729">
        <v>0</v>
      </c>
      <c r="F14" s="730"/>
      <c r="G14" s="730"/>
      <c r="H14" s="721"/>
      <c r="I14" s="721"/>
      <c r="J14" s="721"/>
      <c r="K14" s="721"/>
      <c r="L14" s="721"/>
      <c r="M14" s="721"/>
      <c r="N14" s="721"/>
      <c r="O14" s="721"/>
      <c r="P14" s="721"/>
      <c r="Q14" s="721"/>
      <c r="R14" s="721"/>
      <c r="S14" s="741"/>
      <c r="T14" s="721"/>
      <c r="U14" s="741"/>
      <c r="V14" s="721"/>
      <c r="W14" s="741">
        <v>57283.57</v>
      </c>
      <c r="X14" s="741" t="s">
        <v>1088</v>
      </c>
      <c r="Y14" s="721"/>
      <c r="Z14" s="721"/>
      <c r="AA14" s="720"/>
      <c r="AC14" s="720"/>
      <c r="AE14" s="720"/>
      <c r="AG14" s="720"/>
      <c r="AI14" s="720"/>
      <c r="AJ14" s="720"/>
      <c r="AK14" s="720"/>
      <c r="AM14" s="720"/>
      <c r="AN14" s="720"/>
      <c r="AO14" s="720"/>
    </row>
    <row r="15" spans="1:47" hidden="1">
      <c r="A15" s="721" t="s">
        <v>552</v>
      </c>
      <c r="B15" s="722">
        <v>7016</v>
      </c>
      <c r="C15" s="721" t="s">
        <v>565</v>
      </c>
      <c r="D15" s="721"/>
      <c r="E15" s="729">
        <v>0</v>
      </c>
      <c r="F15" s="730"/>
      <c r="G15" s="730"/>
      <c r="H15" s="721"/>
      <c r="I15" s="721"/>
      <c r="J15" s="721"/>
      <c r="K15" s="721"/>
      <c r="L15" s="721"/>
      <c r="M15" s="721"/>
      <c r="N15" s="721"/>
      <c r="O15" s="721"/>
      <c r="P15" s="721"/>
      <c r="Q15" s="721"/>
      <c r="R15" s="721"/>
      <c r="S15" s="741">
        <v>1062</v>
      </c>
      <c r="T15" s="721" t="s">
        <v>1090</v>
      </c>
      <c r="U15" s="741" t="s">
        <v>1091</v>
      </c>
      <c r="V15" s="721"/>
      <c r="W15" s="741">
        <v>0</v>
      </c>
      <c r="X15" s="741">
        <v>0</v>
      </c>
      <c r="Y15" s="721"/>
      <c r="Z15" s="721"/>
      <c r="AA15" s="720"/>
      <c r="AC15" s="720"/>
      <c r="AE15" s="720"/>
      <c r="AG15" s="720"/>
      <c r="AI15" s="720"/>
      <c r="AJ15" s="720"/>
      <c r="AK15" s="720"/>
      <c r="AM15" s="720"/>
      <c r="AN15" s="720"/>
      <c r="AO15" s="720"/>
    </row>
    <row r="16" spans="1:47" hidden="1">
      <c r="A16" s="721" t="s">
        <v>879</v>
      </c>
      <c r="B16" s="722">
        <v>7052</v>
      </c>
      <c r="C16" s="721" t="s">
        <v>820</v>
      </c>
      <c r="D16" s="721"/>
      <c r="E16" s="729">
        <v>0</v>
      </c>
      <c r="F16" s="730"/>
      <c r="G16" s="730"/>
      <c r="H16" s="721"/>
      <c r="I16" s="721"/>
      <c r="J16" s="721"/>
      <c r="K16" s="721"/>
      <c r="L16" s="721"/>
      <c r="M16" s="721"/>
      <c r="N16" s="721"/>
      <c r="O16" s="721"/>
      <c r="P16" s="721"/>
      <c r="Q16" s="721"/>
      <c r="R16" s="721"/>
      <c r="S16" s="741"/>
      <c r="T16" s="721"/>
      <c r="U16" s="741"/>
      <c r="V16" s="721"/>
      <c r="W16" s="741">
        <v>11639.94</v>
      </c>
      <c r="X16" s="741" t="s">
        <v>1088</v>
      </c>
      <c r="Y16" s="721"/>
      <c r="Z16" s="721"/>
      <c r="AA16" s="720"/>
      <c r="AC16" s="720"/>
      <c r="AE16" s="720"/>
      <c r="AG16" s="720"/>
      <c r="AI16" s="720"/>
      <c r="AJ16" s="720"/>
      <c r="AK16" s="720"/>
      <c r="AM16" s="720"/>
      <c r="AN16" s="720"/>
      <c r="AO16" s="720"/>
    </row>
    <row r="17" spans="1:41" hidden="1">
      <c r="A17" s="721" t="s">
        <v>555</v>
      </c>
      <c r="B17" s="722">
        <v>2017</v>
      </c>
      <c r="C17" s="721" t="s">
        <v>567</v>
      </c>
      <c r="D17" s="721"/>
      <c r="E17" s="729">
        <v>0</v>
      </c>
      <c r="F17" s="730"/>
      <c r="G17" s="730"/>
      <c r="H17" s="721"/>
      <c r="J17" s="721"/>
      <c r="K17" s="741">
        <v>4812.88</v>
      </c>
      <c r="L17" s="721" t="s">
        <v>1084</v>
      </c>
      <c r="M17" s="741">
        <v>2199.6999999999998</v>
      </c>
      <c r="N17" s="721" t="s">
        <v>1085</v>
      </c>
      <c r="O17" s="721"/>
      <c r="P17" s="721"/>
      <c r="Q17" s="721"/>
      <c r="R17" s="721"/>
      <c r="S17" s="741"/>
      <c r="T17" s="721"/>
      <c r="U17" s="741"/>
      <c r="V17" s="721"/>
      <c r="W17" s="741">
        <v>0</v>
      </c>
      <c r="X17" s="741">
        <v>0</v>
      </c>
      <c r="Y17" s="721"/>
      <c r="Z17" s="721"/>
      <c r="AA17" s="720"/>
      <c r="AC17" s="720"/>
      <c r="AE17" s="720"/>
      <c r="AG17" s="720"/>
      <c r="AI17" s="720"/>
      <c r="AJ17" s="720"/>
      <c r="AK17" s="720"/>
      <c r="AM17" s="720"/>
      <c r="AN17" s="720"/>
      <c r="AO17" s="720"/>
    </row>
    <row r="18" spans="1:41" hidden="1">
      <c r="A18" s="721" t="s">
        <v>557</v>
      </c>
      <c r="B18" s="722">
        <v>2016</v>
      </c>
      <c r="C18" s="721" t="s">
        <v>569</v>
      </c>
      <c r="D18" s="721"/>
      <c r="E18" s="729">
        <v>0</v>
      </c>
      <c r="F18" s="730"/>
      <c r="G18" s="730"/>
      <c r="H18" s="721"/>
      <c r="I18" s="721"/>
      <c r="J18" s="721"/>
      <c r="K18" s="741">
        <v>6321.61</v>
      </c>
      <c r="L18" s="721" t="s">
        <v>1084</v>
      </c>
      <c r="M18" s="741">
        <v>2890.35</v>
      </c>
      <c r="N18" s="721" t="s">
        <v>1085</v>
      </c>
      <c r="O18" s="721"/>
      <c r="P18" s="721"/>
      <c r="Q18" s="721"/>
      <c r="R18" s="721"/>
      <c r="S18" s="741"/>
      <c r="T18" s="721"/>
      <c r="U18" s="741"/>
      <c r="V18" s="721"/>
      <c r="W18" s="741">
        <v>0</v>
      </c>
      <c r="X18" s="741">
        <v>0</v>
      </c>
      <c r="Y18" s="721"/>
      <c r="Z18" s="721"/>
      <c r="AA18" s="720"/>
      <c r="AC18" s="720"/>
      <c r="AE18" s="720"/>
      <c r="AG18" s="720"/>
      <c r="AI18" s="720"/>
      <c r="AJ18" s="720"/>
      <c r="AK18" s="720"/>
      <c r="AM18" s="720"/>
      <c r="AN18" s="720"/>
      <c r="AO18" s="720"/>
    </row>
    <row r="19" spans="1:41" hidden="1">
      <c r="A19" s="721" t="s">
        <v>559</v>
      </c>
      <c r="B19" s="722">
        <v>2239</v>
      </c>
      <c r="C19" s="721" t="s">
        <v>571</v>
      </c>
      <c r="D19" s="721"/>
      <c r="E19" s="729">
        <v>0</v>
      </c>
      <c r="F19" s="730"/>
      <c r="G19" s="730"/>
      <c r="H19" s="721"/>
      <c r="I19" s="721"/>
      <c r="J19" s="721"/>
      <c r="K19" s="721"/>
      <c r="L19" s="721"/>
      <c r="M19" s="721"/>
      <c r="N19" s="721"/>
      <c r="O19" s="721"/>
      <c r="P19" s="721"/>
      <c r="Q19" s="721"/>
      <c r="R19" s="721"/>
      <c r="S19" s="741"/>
      <c r="T19" s="721"/>
      <c r="U19" s="741"/>
      <c r="V19" s="721"/>
      <c r="W19" s="741">
        <v>0</v>
      </c>
      <c r="X19" s="741">
        <v>0</v>
      </c>
      <c r="Y19" s="721"/>
      <c r="Z19" s="721"/>
      <c r="AA19" s="720"/>
      <c r="AC19" s="720"/>
      <c r="AE19" s="720"/>
      <c r="AG19" s="720"/>
      <c r="AI19" s="720"/>
      <c r="AJ19" s="720"/>
      <c r="AK19" s="720"/>
      <c r="AM19" s="720"/>
      <c r="AN19" s="720"/>
      <c r="AO19" s="720"/>
    </row>
    <row r="20" spans="1:41" hidden="1">
      <c r="A20" s="721" t="s">
        <v>561</v>
      </c>
      <c r="B20" s="722">
        <v>2241</v>
      </c>
      <c r="C20" s="721" t="s">
        <v>573</v>
      </c>
      <c r="D20" s="721"/>
      <c r="E20" s="729">
        <v>0</v>
      </c>
      <c r="F20" s="730"/>
      <c r="G20" s="730"/>
      <c r="H20" s="721"/>
      <c r="I20" s="721"/>
      <c r="J20" s="721"/>
      <c r="K20" s="721"/>
      <c r="L20" s="721"/>
      <c r="M20" s="721"/>
      <c r="N20" s="721"/>
      <c r="O20" s="721"/>
      <c r="P20" s="721"/>
      <c r="Q20" s="721"/>
      <c r="R20" s="721"/>
      <c r="S20" s="741"/>
      <c r="T20" s="721"/>
      <c r="U20" s="741"/>
      <c r="V20" s="721"/>
      <c r="W20" s="741">
        <v>0</v>
      </c>
      <c r="X20" s="741">
        <v>0</v>
      </c>
      <c r="Y20" s="721"/>
      <c r="Z20" s="721"/>
      <c r="AA20" s="720"/>
      <c r="AC20" s="720"/>
      <c r="AE20" s="720"/>
      <c r="AG20" s="720"/>
      <c r="AI20" s="720"/>
      <c r="AJ20" s="720"/>
      <c r="AK20" s="720"/>
      <c r="AM20" s="720"/>
      <c r="AN20" s="720"/>
      <c r="AO20" s="720"/>
    </row>
    <row r="21" spans="1:41" hidden="1">
      <c r="A21" s="721" t="s">
        <v>881</v>
      </c>
      <c r="B21" s="722">
        <v>2456</v>
      </c>
      <c r="C21" s="721" t="s">
        <v>890</v>
      </c>
      <c r="D21" s="721"/>
      <c r="E21" s="729">
        <v>0</v>
      </c>
      <c r="F21" s="730"/>
      <c r="G21" s="730"/>
      <c r="H21" s="721"/>
      <c r="I21" s="721"/>
      <c r="J21" s="721"/>
      <c r="K21" s="721"/>
      <c r="L21" s="721"/>
      <c r="M21" s="721"/>
      <c r="N21" s="721"/>
      <c r="O21" s="721"/>
      <c r="P21" s="721"/>
      <c r="Q21" s="721"/>
      <c r="R21" s="721"/>
      <c r="S21" s="741"/>
      <c r="T21" s="721"/>
      <c r="U21" s="741"/>
      <c r="V21" s="721"/>
      <c r="W21" s="741">
        <v>0</v>
      </c>
      <c r="X21" s="741">
        <v>0</v>
      </c>
      <c r="Y21" s="721"/>
      <c r="Z21" s="721"/>
      <c r="AA21" s="720"/>
      <c r="AC21" s="720"/>
      <c r="AE21" s="720"/>
      <c r="AG21" s="720"/>
      <c r="AI21" s="720"/>
      <c r="AJ21" s="720"/>
      <c r="AK21" s="720"/>
      <c r="AM21" s="720"/>
      <c r="AN21" s="720"/>
      <c r="AO21" s="720"/>
    </row>
    <row r="22" spans="1:41" hidden="1">
      <c r="A22" s="721" t="s">
        <v>563</v>
      </c>
      <c r="B22" s="722">
        <v>5413</v>
      </c>
      <c r="C22" s="721" t="s">
        <v>575</v>
      </c>
      <c r="D22" s="721"/>
      <c r="E22" s="729">
        <v>0</v>
      </c>
      <c r="F22" s="730"/>
      <c r="G22" s="730"/>
      <c r="H22" s="721"/>
      <c r="I22" s="721"/>
      <c r="J22" s="721"/>
      <c r="K22" s="721"/>
      <c r="L22" s="721"/>
      <c r="M22" s="721"/>
      <c r="N22" s="721"/>
      <c r="O22" s="721"/>
      <c r="P22" s="721"/>
      <c r="Q22" s="721"/>
      <c r="R22" s="721"/>
      <c r="S22" s="741"/>
      <c r="T22" s="721"/>
      <c r="U22" s="741"/>
      <c r="V22" s="721"/>
      <c r="W22" s="741">
        <v>0</v>
      </c>
      <c r="X22" s="741">
        <v>0</v>
      </c>
      <c r="Y22" s="721"/>
      <c r="Z22" s="721"/>
      <c r="AA22" s="720"/>
      <c r="AC22" s="720"/>
      <c r="AE22" s="720"/>
      <c r="AG22" s="720"/>
      <c r="AI22" s="720"/>
      <c r="AJ22" s="720"/>
      <c r="AK22" s="720"/>
      <c r="AM22" s="720"/>
      <c r="AN22" s="720"/>
      <c r="AO22" s="720"/>
    </row>
    <row r="23" spans="1:41" hidden="1">
      <c r="A23" s="721" t="s">
        <v>883</v>
      </c>
      <c r="B23" s="722">
        <v>2254</v>
      </c>
      <c r="C23" s="721" t="s">
        <v>892</v>
      </c>
      <c r="D23" s="721"/>
      <c r="E23" s="729">
        <v>0</v>
      </c>
      <c r="F23" s="730"/>
      <c r="G23" s="730"/>
      <c r="H23" s="721"/>
      <c r="I23" s="721"/>
      <c r="J23" s="721"/>
      <c r="K23" s="721"/>
      <c r="L23" s="721"/>
      <c r="M23" s="721"/>
      <c r="N23" s="721"/>
      <c r="O23" s="721"/>
      <c r="P23" s="721"/>
      <c r="Q23" s="721"/>
      <c r="R23" s="721"/>
      <c r="S23" s="741"/>
      <c r="T23" s="721"/>
      <c r="U23" s="741"/>
      <c r="V23" s="721"/>
      <c r="W23" s="741">
        <v>56974.21</v>
      </c>
      <c r="X23" s="741" t="s">
        <v>1088</v>
      </c>
      <c r="Y23" s="721"/>
      <c r="Z23" s="721"/>
      <c r="AA23" s="720"/>
      <c r="AC23" s="720"/>
      <c r="AE23" s="720"/>
      <c r="AG23" s="720"/>
      <c r="AI23" s="720"/>
      <c r="AJ23" s="720"/>
      <c r="AK23" s="720"/>
      <c r="AM23" s="720"/>
      <c r="AN23" s="720"/>
      <c r="AO23" s="720"/>
    </row>
    <row r="24" spans="1:41" hidden="1">
      <c r="A24" s="721" t="s">
        <v>566</v>
      </c>
      <c r="B24" s="722">
        <v>1025</v>
      </c>
      <c r="C24" s="721" t="s">
        <v>577</v>
      </c>
      <c r="D24" s="721"/>
      <c r="E24" s="729">
        <v>0</v>
      </c>
      <c r="F24" s="730"/>
      <c r="G24" s="730"/>
      <c r="H24" s="721"/>
      <c r="I24" s="721"/>
      <c r="J24" s="721"/>
      <c r="K24" s="721"/>
      <c r="L24" s="721"/>
      <c r="M24" s="721"/>
      <c r="N24" s="721"/>
      <c r="O24" s="721"/>
      <c r="P24" s="721"/>
      <c r="Q24" s="721"/>
      <c r="R24" s="721"/>
      <c r="S24" s="741"/>
      <c r="T24" s="721"/>
      <c r="U24" s="741"/>
      <c r="V24" s="721"/>
      <c r="W24" s="741">
        <v>0</v>
      </c>
      <c r="X24" s="741">
        <v>0</v>
      </c>
      <c r="Y24" s="721"/>
      <c r="Z24" s="721"/>
      <c r="AA24" s="720"/>
      <c r="AC24" s="720"/>
      <c r="AE24" s="720"/>
      <c r="AG24" s="720"/>
      <c r="AI24" s="720"/>
      <c r="AJ24" s="720"/>
      <c r="AK24" s="720"/>
      <c r="AM24" s="720"/>
      <c r="AN24" s="720"/>
      <c r="AO24" s="720"/>
    </row>
    <row r="25" spans="1:41" hidden="1">
      <c r="A25" s="721" t="s">
        <v>568</v>
      </c>
      <c r="B25" s="722">
        <v>2402</v>
      </c>
      <c r="C25" s="721" t="s">
        <v>579</v>
      </c>
      <c r="D25" s="721"/>
      <c r="E25" s="729">
        <v>0</v>
      </c>
      <c r="F25" s="730"/>
      <c r="G25" s="730"/>
      <c r="H25" s="721"/>
      <c r="I25" s="721"/>
      <c r="J25" s="721"/>
      <c r="K25" s="721"/>
      <c r="L25" s="721"/>
      <c r="M25" s="721"/>
      <c r="N25" s="721"/>
      <c r="O25" s="721"/>
      <c r="P25" s="721"/>
      <c r="Q25" s="721"/>
      <c r="R25" s="721"/>
      <c r="S25" s="741"/>
      <c r="T25" s="721"/>
      <c r="U25" s="741"/>
      <c r="V25" s="721"/>
      <c r="W25" s="741">
        <v>0</v>
      </c>
      <c r="X25" s="741">
        <v>0</v>
      </c>
      <c r="Y25" s="721"/>
      <c r="Z25" s="721"/>
      <c r="AA25" s="720"/>
      <c r="AC25" s="720"/>
      <c r="AE25" s="720"/>
      <c r="AG25" s="720"/>
      <c r="AI25" s="720"/>
      <c r="AJ25" s="720"/>
      <c r="AK25" s="720"/>
      <c r="AM25" s="720"/>
      <c r="AN25" s="720"/>
      <c r="AO25" s="720"/>
    </row>
    <row r="26" spans="1:41" hidden="1">
      <c r="A26" s="721" t="s">
        <v>570</v>
      </c>
      <c r="B26" s="722">
        <v>2401</v>
      </c>
      <c r="C26" s="721" t="s">
        <v>586</v>
      </c>
      <c r="D26" s="721"/>
      <c r="E26" s="729">
        <v>0</v>
      </c>
      <c r="F26" s="730"/>
      <c r="G26" s="730"/>
      <c r="H26" s="721"/>
      <c r="I26" s="721"/>
      <c r="J26" s="721"/>
      <c r="K26" s="721"/>
      <c r="L26" s="721"/>
      <c r="M26" s="721"/>
      <c r="N26" s="721"/>
      <c r="O26" s="721"/>
      <c r="P26" s="721"/>
      <c r="Q26" s="721"/>
      <c r="R26" s="721"/>
      <c r="S26" s="741"/>
      <c r="T26" s="721"/>
      <c r="U26" s="741"/>
      <c r="V26" s="721"/>
      <c r="W26" s="741">
        <v>0</v>
      </c>
      <c r="X26" s="741">
        <v>0</v>
      </c>
      <c r="Y26" s="721"/>
      <c r="Z26" s="721"/>
      <c r="AA26" s="720"/>
      <c r="AC26" s="720"/>
      <c r="AE26" s="720"/>
      <c r="AG26" s="720"/>
      <c r="AI26" s="720"/>
      <c r="AJ26" s="720"/>
      <c r="AK26" s="720"/>
      <c r="AM26" s="720"/>
      <c r="AN26" s="720"/>
      <c r="AO26" s="720"/>
    </row>
    <row r="27" spans="1:41" hidden="1">
      <c r="A27" s="721" t="s">
        <v>863</v>
      </c>
      <c r="B27" s="722">
        <v>1001</v>
      </c>
      <c r="C27" s="721" t="s">
        <v>894</v>
      </c>
      <c r="D27" s="721"/>
      <c r="E27" s="729">
        <v>0</v>
      </c>
      <c r="F27" s="730"/>
      <c r="G27" s="730"/>
      <c r="H27" s="721"/>
      <c r="I27" s="721"/>
      <c r="J27" s="721"/>
      <c r="K27" s="721"/>
      <c r="L27" s="721"/>
      <c r="M27" s="721"/>
      <c r="N27" s="721"/>
      <c r="O27" s="721"/>
      <c r="P27" s="721"/>
      <c r="Q27" s="721"/>
      <c r="R27" s="721"/>
      <c r="S27" s="741"/>
      <c r="T27" s="721"/>
      <c r="U27" s="741"/>
      <c r="V27" s="721"/>
      <c r="W27" s="741">
        <v>0</v>
      </c>
      <c r="X27" s="741">
        <v>0</v>
      </c>
      <c r="Y27" s="721"/>
      <c r="Z27" s="721"/>
      <c r="AA27" s="720"/>
      <c r="AC27" s="720"/>
      <c r="AE27" s="720"/>
      <c r="AG27" s="720"/>
      <c r="AI27" s="720"/>
      <c r="AJ27" s="720"/>
      <c r="AK27" s="720"/>
      <c r="AM27" s="720"/>
      <c r="AN27" s="720"/>
      <c r="AO27" s="720"/>
    </row>
    <row r="28" spans="1:41" hidden="1">
      <c r="A28" s="721" t="s">
        <v>572</v>
      </c>
      <c r="B28" s="722">
        <v>4115</v>
      </c>
      <c r="C28" s="721" t="s">
        <v>588</v>
      </c>
      <c r="D28" s="721"/>
      <c r="E28" s="729">
        <v>0</v>
      </c>
      <c r="F28" s="730"/>
      <c r="G28" s="730"/>
      <c r="H28" s="721"/>
      <c r="I28" s="721"/>
      <c r="J28" s="721"/>
      <c r="K28" s="721"/>
      <c r="L28" s="721"/>
      <c r="M28" s="721"/>
      <c r="N28" s="721"/>
      <c r="O28" s="721"/>
      <c r="P28" s="721"/>
      <c r="Q28" s="721"/>
      <c r="R28" s="721"/>
      <c r="S28" s="741"/>
      <c r="T28" s="721"/>
      <c r="U28" s="741"/>
      <c r="V28" s="721"/>
      <c r="W28" s="741">
        <v>0</v>
      </c>
      <c r="X28" s="741">
        <v>0</v>
      </c>
      <c r="Y28" s="721"/>
      <c r="Z28" s="721"/>
      <c r="AA28" s="720"/>
      <c r="AC28" s="720"/>
      <c r="AE28" s="720"/>
      <c r="AG28" s="720"/>
      <c r="AI28" s="720"/>
      <c r="AJ28" s="720"/>
      <c r="AK28" s="720"/>
      <c r="AM28" s="720"/>
      <c r="AN28" s="720"/>
      <c r="AO28" s="720"/>
    </row>
    <row r="29" spans="1:41" hidden="1">
      <c r="A29" s="721" t="s">
        <v>574</v>
      </c>
      <c r="B29" s="722">
        <v>2030</v>
      </c>
      <c r="C29" s="721" t="s">
        <v>590</v>
      </c>
      <c r="D29" s="721"/>
      <c r="E29" s="729">
        <v>0</v>
      </c>
      <c r="F29" s="730"/>
      <c r="G29" s="730"/>
      <c r="H29" s="721"/>
      <c r="I29" s="721"/>
      <c r="J29" s="721"/>
      <c r="K29" s="721"/>
      <c r="L29" s="721"/>
      <c r="M29" s="721"/>
      <c r="N29" s="721"/>
      <c r="O29" s="721"/>
      <c r="P29" s="721"/>
      <c r="Q29" s="721"/>
      <c r="R29" s="721"/>
      <c r="S29" s="741"/>
      <c r="T29" s="721"/>
      <c r="U29" s="741"/>
      <c r="V29" s="721"/>
      <c r="W29" s="741">
        <v>0</v>
      </c>
      <c r="X29" s="741">
        <v>0</v>
      </c>
      <c r="Y29" s="721"/>
      <c r="Z29" s="721"/>
      <c r="AA29" s="720"/>
      <c r="AC29" s="720"/>
      <c r="AE29" s="720"/>
      <c r="AG29" s="720"/>
      <c r="AI29" s="720"/>
      <c r="AJ29" s="720"/>
      <c r="AK29" s="720"/>
      <c r="AM29" s="720"/>
      <c r="AN29" s="720"/>
      <c r="AO29" s="720"/>
    </row>
    <row r="30" spans="1:41" hidden="1">
      <c r="A30" s="721" t="s">
        <v>576</v>
      </c>
      <c r="B30" s="722">
        <v>3353</v>
      </c>
      <c r="C30" s="721" t="s">
        <v>592</v>
      </c>
      <c r="D30" s="721"/>
      <c r="E30" s="729">
        <v>0</v>
      </c>
      <c r="F30" s="730"/>
      <c r="G30" s="730"/>
      <c r="H30" s="721"/>
      <c r="I30" s="721"/>
      <c r="J30" s="721"/>
      <c r="K30" s="721"/>
      <c r="L30" s="721"/>
      <c r="M30" s="721"/>
      <c r="N30" s="721"/>
      <c r="O30" s="721"/>
      <c r="P30" s="721"/>
      <c r="Q30" s="721"/>
      <c r="R30" s="721"/>
      <c r="S30" s="741">
        <v>4248</v>
      </c>
      <c r="T30" s="721" t="s">
        <v>1090</v>
      </c>
      <c r="U30" s="741" t="s">
        <v>1092</v>
      </c>
      <c r="V30" s="721"/>
      <c r="W30" s="741">
        <v>0</v>
      </c>
      <c r="X30" s="741">
        <v>0</v>
      </c>
      <c r="Y30" s="721"/>
      <c r="Z30" s="721"/>
      <c r="AA30" s="720"/>
      <c r="AC30" s="720"/>
      <c r="AE30" s="720"/>
      <c r="AG30" s="720"/>
      <c r="AI30" s="720"/>
      <c r="AJ30" s="720"/>
      <c r="AK30" s="720"/>
      <c r="AM30" s="720"/>
      <c r="AN30" s="720"/>
      <c r="AO30" s="720"/>
    </row>
    <row r="31" spans="1:41" hidden="1">
      <c r="A31" s="721" t="s">
        <v>578</v>
      </c>
      <c r="B31" s="722">
        <v>7030</v>
      </c>
      <c r="C31" s="721" t="s">
        <v>594</v>
      </c>
      <c r="D31" s="721"/>
      <c r="E31" s="729">
        <v>0</v>
      </c>
      <c r="F31" s="730"/>
      <c r="G31" s="730"/>
      <c r="H31" s="721"/>
      <c r="I31" s="721"/>
      <c r="J31" s="721"/>
      <c r="K31" s="721"/>
      <c r="L31" s="721"/>
      <c r="M31" s="721"/>
      <c r="N31" s="721"/>
      <c r="O31" s="721"/>
      <c r="P31" s="721"/>
      <c r="Q31" s="721"/>
      <c r="R31" s="721"/>
      <c r="S31" s="741"/>
      <c r="T31" s="721"/>
      <c r="U31" s="741"/>
      <c r="V31" s="721"/>
      <c r="W31" s="741">
        <v>0</v>
      </c>
      <c r="X31" s="741">
        <v>0</v>
      </c>
      <c r="Y31" s="721"/>
      <c r="Z31" s="721"/>
      <c r="AA31" s="720"/>
      <c r="AC31" s="720"/>
      <c r="AE31" s="720"/>
      <c r="AG31" s="720"/>
      <c r="AI31" s="720"/>
      <c r="AJ31" s="720"/>
      <c r="AK31" s="720"/>
      <c r="AM31" s="720"/>
      <c r="AN31" s="720"/>
      <c r="AO31" s="720"/>
    </row>
    <row r="32" spans="1:41" hidden="1">
      <c r="A32" s="721" t="s">
        <v>580</v>
      </c>
      <c r="B32" s="722">
        <v>1002</v>
      </c>
      <c r="C32" s="721" t="s">
        <v>596</v>
      </c>
      <c r="D32" s="721"/>
      <c r="E32" s="729">
        <v>2649.6</v>
      </c>
      <c r="F32" s="730" t="s">
        <v>1081</v>
      </c>
      <c r="G32" s="730" t="s">
        <v>1093</v>
      </c>
      <c r="H32" s="721"/>
      <c r="I32" s="721"/>
      <c r="J32" s="721"/>
      <c r="K32" s="721"/>
      <c r="L32" s="721"/>
      <c r="M32" s="721"/>
      <c r="N32" s="721"/>
      <c r="O32" s="721"/>
      <c r="P32" s="721"/>
      <c r="Q32" s="721"/>
      <c r="R32" s="721"/>
      <c r="S32" s="741"/>
      <c r="T32" s="721"/>
      <c r="U32" s="741"/>
      <c r="V32" s="721"/>
      <c r="W32" s="741">
        <v>0</v>
      </c>
      <c r="X32" s="741">
        <v>0</v>
      </c>
      <c r="Y32" s="721"/>
      <c r="Z32" s="721"/>
      <c r="AA32" s="720"/>
      <c r="AC32" s="720"/>
      <c r="AE32" s="720"/>
      <c r="AG32" s="720"/>
      <c r="AI32" s="720"/>
      <c r="AJ32" s="720"/>
      <c r="AK32" s="720"/>
      <c r="AM32" s="720"/>
      <c r="AN32" s="720"/>
      <c r="AO32" s="720"/>
    </row>
    <row r="33" spans="1:41" hidden="1">
      <c r="A33" s="721" t="s">
        <v>587</v>
      </c>
      <c r="B33" s="722">
        <v>2465</v>
      </c>
      <c r="C33" s="721" t="s">
        <v>598</v>
      </c>
      <c r="D33" s="721"/>
      <c r="E33" s="729">
        <v>0</v>
      </c>
      <c r="F33" s="730"/>
      <c r="G33" s="730"/>
      <c r="H33" s="721"/>
      <c r="I33" s="721"/>
      <c r="J33" s="721"/>
      <c r="K33" s="721"/>
      <c r="L33" s="721"/>
      <c r="M33" s="721"/>
      <c r="N33" s="721"/>
      <c r="O33" s="721"/>
      <c r="P33" s="721"/>
      <c r="Q33" s="721"/>
      <c r="R33" s="721"/>
      <c r="S33" s="741"/>
      <c r="T33" s="721"/>
      <c r="U33" s="741"/>
      <c r="V33" s="721"/>
      <c r="W33" s="741">
        <v>0</v>
      </c>
      <c r="X33" s="741">
        <v>0</v>
      </c>
      <c r="Y33" s="721"/>
      <c r="Z33" s="721"/>
      <c r="AA33" s="720"/>
      <c r="AC33" s="720"/>
      <c r="AE33" s="720"/>
      <c r="AG33" s="720"/>
      <c r="AI33" s="720"/>
      <c r="AJ33" s="720"/>
      <c r="AK33" s="720"/>
      <c r="AM33" s="720"/>
      <c r="AN33" s="720"/>
      <c r="AO33" s="720"/>
    </row>
    <row r="34" spans="1:41" hidden="1">
      <c r="A34" s="721" t="s">
        <v>589</v>
      </c>
      <c r="B34" s="722">
        <v>4801</v>
      </c>
      <c r="C34" s="721" t="s">
        <v>600</v>
      </c>
      <c r="D34" s="721"/>
      <c r="E34" s="729">
        <v>0</v>
      </c>
      <c r="F34" s="730"/>
      <c r="G34" s="730"/>
      <c r="H34" s="721"/>
      <c r="I34" s="721"/>
      <c r="J34" s="721"/>
      <c r="K34" s="721"/>
      <c r="L34" s="721"/>
      <c r="M34" s="721"/>
      <c r="N34" s="721"/>
      <c r="O34" s="721"/>
      <c r="P34" s="721"/>
      <c r="Q34" s="721"/>
      <c r="R34" s="721"/>
      <c r="S34" s="741"/>
      <c r="T34" s="721"/>
      <c r="U34" s="741"/>
      <c r="V34" s="721"/>
      <c r="W34" s="741">
        <v>0</v>
      </c>
      <c r="X34" s="741">
        <v>0</v>
      </c>
      <c r="Y34" s="721"/>
      <c r="Z34" s="721"/>
      <c r="AA34" s="720"/>
      <c r="AC34" s="720"/>
      <c r="AE34" s="720"/>
      <c r="AG34" s="720"/>
      <c r="AI34" s="720"/>
      <c r="AJ34" s="720"/>
      <c r="AK34" s="720"/>
      <c r="AM34" s="720"/>
      <c r="AN34" s="720"/>
      <c r="AO34" s="720"/>
    </row>
    <row r="35" spans="1:41" hidden="1">
      <c r="A35" s="721" t="s">
        <v>591</v>
      </c>
      <c r="B35" s="722">
        <v>1048</v>
      </c>
      <c r="C35" s="721" t="s">
        <v>602</v>
      </c>
      <c r="D35" s="721"/>
      <c r="E35" s="729">
        <v>1555.8400000000001</v>
      </c>
      <c r="F35" s="730" t="s">
        <v>1081</v>
      </c>
      <c r="G35" s="730" t="s">
        <v>1094</v>
      </c>
      <c r="H35" s="721"/>
      <c r="I35" s="721"/>
      <c r="J35" s="721"/>
      <c r="K35" s="721"/>
      <c r="L35" s="721"/>
      <c r="M35" s="721"/>
      <c r="N35" s="721"/>
      <c r="O35" s="721"/>
      <c r="P35" s="721"/>
      <c r="Q35" s="721"/>
      <c r="R35" s="721"/>
      <c r="S35" s="741"/>
      <c r="T35" s="721"/>
      <c r="U35" s="741"/>
      <c r="V35" s="721"/>
      <c r="W35" s="741">
        <v>0</v>
      </c>
      <c r="X35" s="741">
        <v>0</v>
      </c>
      <c r="Y35" s="721"/>
      <c r="Z35" s="721"/>
      <c r="AA35" s="720"/>
      <c r="AC35" s="720"/>
      <c r="AE35" s="720"/>
      <c r="AG35" s="720"/>
      <c r="AI35" s="720"/>
      <c r="AJ35" s="720"/>
      <c r="AK35" s="720"/>
      <c r="AM35" s="720"/>
      <c r="AN35" s="720"/>
      <c r="AO35" s="720"/>
    </row>
    <row r="36" spans="1:41" hidden="1">
      <c r="A36" s="721" t="s">
        <v>593</v>
      </c>
      <c r="B36" s="722">
        <v>2312</v>
      </c>
      <c r="C36" s="721" t="s">
        <v>604</v>
      </c>
      <c r="D36" s="721"/>
      <c r="E36" s="729">
        <v>0</v>
      </c>
      <c r="F36" s="730"/>
      <c r="G36" s="730"/>
      <c r="H36" s="721"/>
      <c r="I36" s="721"/>
      <c r="J36" s="721"/>
      <c r="K36" s="721"/>
      <c r="L36" s="721"/>
      <c r="M36" s="721"/>
      <c r="N36" s="721"/>
      <c r="O36" s="721"/>
      <c r="P36" s="721"/>
      <c r="Q36" s="721"/>
      <c r="R36" s="721"/>
      <c r="S36" s="741"/>
      <c r="T36" s="721"/>
      <c r="U36" s="741"/>
      <c r="V36" s="721"/>
      <c r="W36" s="741">
        <v>0</v>
      </c>
      <c r="X36" s="741">
        <v>0</v>
      </c>
      <c r="Y36" s="721"/>
      <c r="Z36" s="721"/>
      <c r="AA36" s="720"/>
      <c r="AC36" s="720"/>
      <c r="AE36" s="720"/>
      <c r="AG36" s="720"/>
      <c r="AI36" s="720"/>
      <c r="AJ36" s="720"/>
      <c r="AK36" s="720"/>
      <c r="AM36" s="720"/>
      <c r="AN36" s="720"/>
      <c r="AO36" s="720"/>
    </row>
    <row r="37" spans="1:41" hidden="1">
      <c r="A37" s="721" t="s">
        <v>595</v>
      </c>
      <c r="B37" s="722">
        <v>7051</v>
      </c>
      <c r="C37" s="721" t="s">
        <v>607</v>
      </c>
      <c r="D37" s="721"/>
      <c r="E37" s="729">
        <v>0</v>
      </c>
      <c r="F37" s="730"/>
      <c r="G37" s="730"/>
      <c r="H37" s="721"/>
      <c r="I37" s="721"/>
      <c r="J37" s="721"/>
      <c r="K37" s="721"/>
      <c r="L37" s="721"/>
      <c r="M37" s="721"/>
      <c r="N37" s="721"/>
      <c r="O37" s="721"/>
      <c r="P37" s="721"/>
      <c r="Q37" s="721"/>
      <c r="R37" s="721"/>
      <c r="S37" s="741">
        <v>531</v>
      </c>
      <c r="T37" s="721" t="s">
        <v>1090</v>
      </c>
      <c r="U37" s="741" t="s">
        <v>1095</v>
      </c>
      <c r="V37" s="721"/>
      <c r="W37" s="741">
        <v>23443.85</v>
      </c>
      <c r="X37" s="741" t="s">
        <v>1088</v>
      </c>
      <c r="Y37" s="721"/>
      <c r="Z37" s="721"/>
      <c r="AA37" s="720"/>
      <c r="AC37" s="720"/>
      <c r="AE37" s="720"/>
      <c r="AG37" s="720"/>
      <c r="AI37" s="720"/>
      <c r="AJ37" s="720"/>
      <c r="AK37" s="720"/>
      <c r="AM37" s="720"/>
      <c r="AN37" s="720"/>
      <c r="AO37" s="720"/>
    </row>
    <row r="38" spans="1:41" hidden="1">
      <c r="A38" s="721" t="s">
        <v>597</v>
      </c>
      <c r="B38" s="722">
        <v>2040</v>
      </c>
      <c r="C38" s="721" t="s">
        <v>609</v>
      </c>
      <c r="D38" s="721"/>
      <c r="E38" s="729"/>
      <c r="F38" s="730"/>
      <c r="G38" s="730"/>
      <c r="H38" s="721"/>
      <c r="I38" s="721"/>
      <c r="J38" s="721"/>
      <c r="K38" s="721"/>
      <c r="L38" s="721"/>
      <c r="M38" s="721"/>
      <c r="N38" s="721"/>
      <c r="O38" s="721"/>
      <c r="P38" s="721"/>
      <c r="Q38" s="721"/>
      <c r="R38" s="721"/>
      <c r="S38" s="741">
        <v>2596</v>
      </c>
      <c r="T38" s="721" t="s">
        <v>1090</v>
      </c>
      <c r="U38" s="741" t="s">
        <v>1096</v>
      </c>
      <c r="V38" s="721"/>
      <c r="W38" s="741">
        <v>40972.82</v>
      </c>
      <c r="X38" s="741" t="s">
        <v>1088</v>
      </c>
      <c r="Y38" s="721"/>
      <c r="Z38" s="721"/>
      <c r="AA38" s="720"/>
      <c r="AC38" s="720"/>
      <c r="AE38" s="720"/>
      <c r="AG38" s="720"/>
      <c r="AI38" s="720"/>
      <c r="AJ38" s="720"/>
      <c r="AK38" s="720"/>
      <c r="AM38" s="720"/>
      <c r="AN38" s="720"/>
      <c r="AO38" s="720"/>
    </row>
    <row r="39" spans="1:41" hidden="1">
      <c r="A39" s="721" t="s">
        <v>599</v>
      </c>
      <c r="B39" s="722">
        <v>2251</v>
      </c>
      <c r="C39" s="721" t="s">
        <v>611</v>
      </c>
      <c r="D39" s="721"/>
      <c r="E39" s="729">
        <v>0</v>
      </c>
      <c r="F39" s="730"/>
      <c r="G39" s="730"/>
      <c r="H39" s="721"/>
      <c r="I39" s="721"/>
      <c r="J39" s="721"/>
      <c r="K39" s="721"/>
      <c r="L39" s="721"/>
      <c r="M39" s="721"/>
      <c r="N39" s="721"/>
      <c r="O39" s="721"/>
      <c r="P39" s="721"/>
      <c r="Q39" s="721"/>
      <c r="R39" s="721"/>
      <c r="S39" s="741"/>
      <c r="T39" s="721"/>
      <c r="U39" s="741"/>
      <c r="V39" s="721"/>
      <c r="W39" s="741">
        <v>0</v>
      </c>
      <c r="X39" s="741">
        <v>0</v>
      </c>
      <c r="Y39" s="721"/>
      <c r="Z39" s="721"/>
      <c r="AA39" s="720"/>
      <c r="AC39" s="720"/>
      <c r="AE39" s="720"/>
      <c r="AG39" s="720"/>
      <c r="AI39" s="720"/>
      <c r="AJ39" s="720"/>
      <c r="AK39" s="720"/>
      <c r="AM39" s="720"/>
      <c r="AN39" s="720"/>
      <c r="AO39" s="720"/>
    </row>
    <row r="40" spans="1:41" hidden="1">
      <c r="A40" s="721" t="s">
        <v>601</v>
      </c>
      <c r="B40" s="722">
        <v>3002</v>
      </c>
      <c r="C40" s="721" t="s">
        <v>613</v>
      </c>
      <c r="D40" s="721"/>
      <c r="E40" s="729">
        <v>0</v>
      </c>
      <c r="F40" s="730"/>
      <c r="G40" s="730"/>
      <c r="H40" s="721"/>
      <c r="I40" s="721"/>
      <c r="J40" s="721"/>
      <c r="K40" s="721"/>
      <c r="L40" s="721"/>
      <c r="M40" s="721"/>
      <c r="N40" s="721"/>
      <c r="O40" s="721"/>
      <c r="P40" s="721"/>
      <c r="Q40" s="721"/>
      <c r="R40" s="721"/>
      <c r="S40" s="741"/>
      <c r="T40" s="721"/>
      <c r="U40" s="741"/>
      <c r="V40" s="721"/>
      <c r="W40" s="741">
        <v>28653.67</v>
      </c>
      <c r="X40" s="741" t="s">
        <v>1088</v>
      </c>
      <c r="Y40" s="721"/>
      <c r="Z40" s="721"/>
      <c r="AA40" s="720"/>
      <c r="AC40" s="720"/>
      <c r="AE40" s="720"/>
      <c r="AG40" s="720"/>
      <c r="AI40" s="720"/>
      <c r="AJ40" s="720"/>
      <c r="AK40" s="720"/>
      <c r="AM40" s="720"/>
      <c r="AN40" s="720"/>
      <c r="AO40" s="720"/>
    </row>
    <row r="41" spans="1:41" hidden="1">
      <c r="A41" s="721" t="s">
        <v>603</v>
      </c>
      <c r="B41" s="722">
        <v>3319</v>
      </c>
      <c r="C41" s="721" t="s">
        <v>615</v>
      </c>
      <c r="D41" s="721"/>
      <c r="E41" s="729">
        <v>0</v>
      </c>
      <c r="F41" s="730"/>
      <c r="G41" s="730"/>
      <c r="H41" s="721"/>
      <c r="I41" s="721"/>
      <c r="J41" s="721"/>
      <c r="K41" s="721"/>
      <c r="L41" s="721"/>
      <c r="M41" s="721"/>
      <c r="N41" s="721"/>
      <c r="O41" s="721"/>
      <c r="P41" s="721"/>
      <c r="Q41" s="721"/>
      <c r="R41" s="721"/>
      <c r="S41" s="741"/>
      <c r="T41" s="721"/>
      <c r="U41" s="741"/>
      <c r="V41" s="721"/>
      <c r="W41" s="741">
        <v>37312.089999999997</v>
      </c>
      <c r="X41" s="741" t="s">
        <v>1088</v>
      </c>
      <c r="Y41" s="721"/>
      <c r="Z41" s="721"/>
      <c r="AA41" s="720"/>
      <c r="AC41" s="720"/>
      <c r="AE41" s="720"/>
      <c r="AG41" s="720"/>
      <c r="AI41" s="720"/>
      <c r="AJ41" s="720"/>
      <c r="AK41" s="720"/>
      <c r="AM41" s="720"/>
      <c r="AN41" s="720"/>
      <c r="AO41" s="720"/>
    </row>
    <row r="42" spans="1:41" hidden="1">
      <c r="A42" s="721" t="s">
        <v>605</v>
      </c>
      <c r="B42" s="722">
        <v>1100</v>
      </c>
      <c r="C42" s="721" t="s">
        <v>617</v>
      </c>
      <c r="D42" s="721"/>
      <c r="E42" s="729">
        <v>0</v>
      </c>
      <c r="F42" s="730"/>
      <c r="G42" s="730"/>
      <c r="H42" s="721"/>
      <c r="I42" s="721"/>
      <c r="J42" s="721"/>
      <c r="K42" s="721"/>
      <c r="L42" s="721"/>
      <c r="M42" s="721"/>
      <c r="N42" s="721"/>
      <c r="O42" s="721"/>
      <c r="P42" s="741"/>
      <c r="Q42" s="721"/>
      <c r="R42" s="721"/>
      <c r="S42" s="741"/>
      <c r="T42" s="721"/>
      <c r="U42" s="741"/>
      <c r="V42" s="721"/>
      <c r="W42" s="741">
        <v>0</v>
      </c>
      <c r="X42" s="741">
        <v>0</v>
      </c>
      <c r="Y42" s="721"/>
      <c r="Z42" s="721"/>
      <c r="AA42" s="720"/>
      <c r="AC42" s="720"/>
      <c r="AE42" s="720"/>
      <c r="AG42" s="720"/>
      <c r="AI42" s="720"/>
      <c r="AJ42" s="720"/>
      <c r="AK42" s="720"/>
      <c r="AM42" s="720"/>
      <c r="AN42" s="720"/>
      <c r="AO42" s="720"/>
    </row>
    <row r="43" spans="1:41" hidden="1">
      <c r="A43" s="721" t="s">
        <v>608</v>
      </c>
      <c r="B43" s="722">
        <v>3432</v>
      </c>
      <c r="C43" s="721" t="s">
        <v>619</v>
      </c>
      <c r="D43" s="721"/>
      <c r="E43" s="729">
        <v>777.92000000000007</v>
      </c>
      <c r="F43" s="730" t="s">
        <v>1081</v>
      </c>
      <c r="G43" s="730" t="s">
        <v>1097</v>
      </c>
      <c r="H43" s="721"/>
      <c r="I43" s="721"/>
      <c r="J43" s="721"/>
      <c r="K43" s="721"/>
      <c r="L43" s="721"/>
      <c r="M43" s="721"/>
      <c r="N43" s="721"/>
      <c r="O43" s="721"/>
      <c r="P43" s="721"/>
      <c r="Q43" s="721"/>
      <c r="R43" s="721"/>
      <c r="S43" s="741"/>
      <c r="T43" s="721"/>
      <c r="U43" s="741"/>
      <c r="V43" s="721"/>
      <c r="W43" s="741">
        <v>82256.83</v>
      </c>
      <c r="X43" s="741" t="s">
        <v>1088</v>
      </c>
      <c r="Y43" s="721"/>
      <c r="Z43" s="721"/>
      <c r="AA43" s="720"/>
      <c r="AC43" s="720"/>
      <c r="AE43" s="720"/>
      <c r="AG43" s="720"/>
      <c r="AI43" s="720"/>
      <c r="AJ43" s="720"/>
      <c r="AK43" s="720"/>
      <c r="AM43" s="720"/>
      <c r="AN43" s="720"/>
      <c r="AO43" s="720"/>
    </row>
    <row r="44" spans="1:41" hidden="1">
      <c r="A44" s="721" t="s">
        <v>610</v>
      </c>
      <c r="B44" s="722">
        <v>2289</v>
      </c>
      <c r="C44" s="721" t="s">
        <v>621</v>
      </c>
      <c r="D44" s="721"/>
      <c r="E44" s="729">
        <v>0</v>
      </c>
      <c r="F44" s="730"/>
      <c r="G44" s="730"/>
      <c r="H44" s="721"/>
      <c r="I44" s="721"/>
      <c r="J44" s="721"/>
      <c r="K44" s="721"/>
      <c r="L44" s="721"/>
      <c r="M44" s="721"/>
      <c r="N44" s="721"/>
      <c r="O44" s="721"/>
      <c r="P44" s="721"/>
      <c r="Q44" s="721"/>
      <c r="R44" s="721"/>
      <c r="S44" s="741"/>
      <c r="T44" s="721"/>
      <c r="U44" s="741"/>
      <c r="V44" s="721"/>
      <c r="W44" s="741">
        <v>0</v>
      </c>
      <c r="X44" s="741">
        <v>0</v>
      </c>
      <c r="Y44" s="721"/>
      <c r="Z44" s="721"/>
      <c r="AA44" s="720"/>
      <c r="AC44" s="720"/>
      <c r="AE44" s="720"/>
      <c r="AG44" s="720"/>
      <c r="AI44" s="720"/>
      <c r="AJ44" s="720"/>
      <c r="AK44" s="720"/>
      <c r="AM44" s="720"/>
      <c r="AN44" s="720"/>
      <c r="AO44" s="720"/>
    </row>
    <row r="45" spans="1:41" hidden="1">
      <c r="A45" s="721" t="s">
        <v>612</v>
      </c>
      <c r="B45" s="722">
        <v>2185</v>
      </c>
      <c r="C45" s="721" t="s">
        <v>623</v>
      </c>
      <c r="D45" s="721"/>
      <c r="E45" s="729">
        <v>0</v>
      </c>
      <c r="F45" s="730"/>
      <c r="G45" s="730"/>
      <c r="H45" s="721"/>
      <c r="I45" s="721"/>
      <c r="J45" s="721"/>
      <c r="K45" s="721"/>
      <c r="L45" s="721"/>
      <c r="M45" s="721"/>
      <c r="N45" s="721"/>
      <c r="O45" s="721"/>
      <c r="P45" s="721"/>
      <c r="Q45" s="721"/>
      <c r="R45" s="721"/>
      <c r="S45" s="741"/>
      <c r="T45" s="721"/>
      <c r="U45" s="741"/>
      <c r="V45" s="721"/>
      <c r="W45" s="741">
        <v>48775.59</v>
      </c>
      <c r="X45" s="741" t="s">
        <v>1088</v>
      </c>
      <c r="Y45" s="721"/>
      <c r="Z45" s="721"/>
      <c r="AA45" s="720"/>
      <c r="AC45" s="720"/>
      <c r="AE45" s="720"/>
      <c r="AG45" s="720"/>
      <c r="AI45" s="720"/>
      <c r="AJ45" s="720"/>
      <c r="AK45" s="720"/>
      <c r="AM45" s="720"/>
      <c r="AN45" s="720"/>
      <c r="AO45" s="720"/>
    </row>
    <row r="46" spans="1:41" hidden="1">
      <c r="A46" s="721" t="s">
        <v>614</v>
      </c>
      <c r="B46" s="722">
        <v>5416</v>
      </c>
      <c r="C46" s="721" t="s">
        <v>625</v>
      </c>
      <c r="D46" s="721"/>
      <c r="E46" s="729">
        <v>0</v>
      </c>
      <c r="F46" s="730"/>
      <c r="G46" s="730"/>
      <c r="H46" s="721"/>
      <c r="I46" s="721"/>
      <c r="J46" s="721"/>
      <c r="K46" s="721"/>
      <c r="L46" s="721"/>
      <c r="M46" s="721"/>
      <c r="N46" s="721"/>
      <c r="O46" s="721"/>
      <c r="P46" s="721"/>
      <c r="Q46" s="721"/>
      <c r="R46" s="721"/>
      <c r="S46" s="741"/>
      <c r="T46" s="721"/>
      <c r="U46" s="741"/>
      <c r="V46" s="721"/>
      <c r="W46" s="741">
        <v>0</v>
      </c>
      <c r="X46" s="741">
        <v>0</v>
      </c>
      <c r="Y46" s="721"/>
      <c r="Z46" s="721"/>
      <c r="AA46" s="720"/>
      <c r="AC46" s="720"/>
      <c r="AE46" s="720"/>
      <c r="AG46" s="720"/>
      <c r="AI46" s="720"/>
      <c r="AJ46" s="720"/>
      <c r="AK46" s="720"/>
      <c r="AM46" s="720"/>
      <c r="AN46" s="720"/>
      <c r="AO46" s="720"/>
    </row>
    <row r="47" spans="1:41" hidden="1">
      <c r="A47" s="721" t="s">
        <v>616</v>
      </c>
      <c r="B47" s="722">
        <v>2054</v>
      </c>
      <c r="C47" s="721" t="s">
        <v>627</v>
      </c>
      <c r="D47" s="721"/>
      <c r="E47" s="729">
        <v>0</v>
      </c>
      <c r="F47" s="730"/>
      <c r="G47" s="730"/>
      <c r="H47" s="721"/>
      <c r="I47" s="721"/>
      <c r="J47" s="721"/>
      <c r="K47" s="721"/>
      <c r="L47" s="721"/>
      <c r="M47" s="721"/>
      <c r="N47" s="721"/>
      <c r="O47" s="721"/>
      <c r="P47" s="721"/>
      <c r="Q47" s="721"/>
      <c r="R47" s="721"/>
      <c r="S47" s="741"/>
      <c r="T47" s="721"/>
      <c r="U47" s="741"/>
      <c r="V47" s="721"/>
      <c r="W47" s="741">
        <v>0</v>
      </c>
      <c r="X47" s="741">
        <v>0</v>
      </c>
      <c r="Y47" s="721"/>
      <c r="Z47" s="721"/>
      <c r="AA47" s="720"/>
      <c r="AC47" s="720"/>
      <c r="AE47" s="720"/>
      <c r="AG47" s="720"/>
      <c r="AI47" s="720"/>
      <c r="AJ47" s="720"/>
      <c r="AK47" s="720"/>
      <c r="AM47" s="720"/>
      <c r="AN47" s="720"/>
      <c r="AO47" s="720"/>
    </row>
    <row r="48" spans="1:41" hidden="1">
      <c r="A48" s="721" t="s">
        <v>618</v>
      </c>
      <c r="B48" s="722">
        <v>2053</v>
      </c>
      <c r="C48" s="721" t="s">
        <v>629</v>
      </c>
      <c r="D48" s="721"/>
      <c r="E48" s="729">
        <v>0</v>
      </c>
      <c r="F48" s="730"/>
      <c r="G48" s="730"/>
      <c r="H48" s="721"/>
      <c r="I48" s="721"/>
      <c r="J48" s="721"/>
      <c r="K48" s="721"/>
      <c r="L48" s="721"/>
      <c r="M48" s="721"/>
      <c r="N48" s="721"/>
      <c r="O48" s="721"/>
      <c r="P48" s="721"/>
      <c r="Q48" s="721"/>
      <c r="R48" s="721"/>
      <c r="S48" s="741"/>
      <c r="T48" s="721"/>
      <c r="U48" s="741"/>
      <c r="V48" s="721"/>
      <c r="W48" s="741">
        <v>0</v>
      </c>
      <c r="X48" s="741">
        <v>0</v>
      </c>
      <c r="Y48" s="721"/>
      <c r="Z48" s="721"/>
      <c r="AA48" s="720"/>
      <c r="AC48" s="720"/>
      <c r="AE48" s="720"/>
      <c r="AG48" s="720"/>
      <c r="AI48" s="720"/>
      <c r="AJ48" s="720"/>
      <c r="AK48" s="720"/>
      <c r="AM48" s="720"/>
      <c r="AN48" s="720"/>
      <c r="AO48" s="720"/>
    </row>
    <row r="49" spans="1:41" hidden="1">
      <c r="A49" s="721" t="s">
        <v>865</v>
      </c>
      <c r="B49" s="722">
        <v>2464</v>
      </c>
      <c r="C49" s="721" t="s">
        <v>896</v>
      </c>
      <c r="D49" s="721"/>
      <c r="E49" s="729">
        <v>3500.6400000000003</v>
      </c>
      <c r="F49" s="730" t="s">
        <v>1081</v>
      </c>
      <c r="G49" s="730" t="s">
        <v>1098</v>
      </c>
      <c r="H49" s="721"/>
      <c r="I49" s="721"/>
      <c r="J49" s="721"/>
      <c r="K49" s="721"/>
      <c r="L49" s="721"/>
      <c r="M49" s="721"/>
      <c r="N49" s="721"/>
      <c r="O49" s="721"/>
      <c r="P49" s="721"/>
      <c r="Q49" s="721"/>
      <c r="R49" s="721"/>
      <c r="S49" s="741"/>
      <c r="T49" s="721"/>
      <c r="U49" s="741"/>
      <c r="V49" s="721"/>
      <c r="W49" s="741">
        <v>0</v>
      </c>
      <c r="X49" s="741">
        <v>0</v>
      </c>
      <c r="Y49" s="721"/>
      <c r="Z49" s="721"/>
      <c r="AA49" s="720"/>
      <c r="AC49" s="720"/>
      <c r="AE49" s="720"/>
      <c r="AG49" s="720"/>
      <c r="AI49" s="720"/>
      <c r="AJ49" s="720"/>
      <c r="AK49" s="720"/>
      <c r="AM49" s="720"/>
      <c r="AN49" s="720"/>
      <c r="AO49" s="720"/>
    </row>
    <row r="50" spans="1:41" hidden="1">
      <c r="A50" s="721" t="s">
        <v>620</v>
      </c>
      <c r="B50" s="722">
        <v>3320</v>
      </c>
      <c r="C50" s="721" t="s">
        <v>631</v>
      </c>
      <c r="D50" s="721"/>
      <c r="E50" s="729">
        <v>0</v>
      </c>
      <c r="F50" s="730"/>
      <c r="G50" s="730"/>
      <c r="H50" s="721"/>
      <c r="I50" s="721"/>
      <c r="J50" s="721"/>
      <c r="K50" s="721"/>
      <c r="L50" s="721"/>
      <c r="M50" s="721"/>
      <c r="N50" s="721"/>
      <c r="O50" s="721"/>
      <c r="P50" s="721"/>
      <c r="Q50" s="721"/>
      <c r="R50" s="721"/>
      <c r="S50" s="741"/>
      <c r="T50" s="721"/>
      <c r="U50" s="741"/>
      <c r="V50" s="721"/>
      <c r="W50" s="741">
        <v>41566.11</v>
      </c>
      <c r="X50" s="741" t="s">
        <v>1088</v>
      </c>
      <c r="Y50" s="721"/>
      <c r="Z50" s="721"/>
      <c r="AA50" s="720"/>
      <c r="AC50" s="720"/>
      <c r="AE50" s="720"/>
      <c r="AG50" s="720"/>
      <c r="AI50" s="720"/>
      <c r="AJ50" s="720"/>
      <c r="AK50" s="720"/>
      <c r="AM50" s="720"/>
      <c r="AN50" s="720"/>
      <c r="AO50" s="720"/>
    </row>
    <row r="51" spans="1:41" hidden="1">
      <c r="A51" s="721" t="s">
        <v>622</v>
      </c>
      <c r="B51" s="722">
        <v>2055</v>
      </c>
      <c r="C51" s="721" t="s">
        <v>633</v>
      </c>
      <c r="D51" s="721"/>
      <c r="E51" s="729">
        <v>0</v>
      </c>
      <c r="F51" s="730"/>
      <c r="G51" s="730"/>
      <c r="H51" s="721"/>
      <c r="I51" s="721"/>
      <c r="J51" s="721"/>
      <c r="K51" s="721"/>
      <c r="L51" s="721"/>
      <c r="M51" s="721"/>
      <c r="N51" s="721"/>
      <c r="O51" s="721"/>
      <c r="P51" s="721"/>
      <c r="Q51" s="721"/>
      <c r="R51" s="721"/>
      <c r="S51" s="741"/>
      <c r="T51" s="721"/>
      <c r="U51" s="741"/>
      <c r="V51" s="721"/>
      <c r="W51" s="741">
        <v>0</v>
      </c>
      <c r="X51" s="741">
        <v>0</v>
      </c>
      <c r="Y51" s="721"/>
      <c r="Z51" s="721"/>
      <c r="AA51" s="720"/>
      <c r="AC51" s="720"/>
      <c r="AE51" s="720"/>
      <c r="AG51" s="720"/>
      <c r="AI51" s="720"/>
      <c r="AJ51" s="720"/>
      <c r="AK51" s="720"/>
      <c r="AM51" s="720"/>
      <c r="AN51" s="720"/>
      <c r="AO51" s="720"/>
    </row>
    <row r="52" spans="1:41" hidden="1">
      <c r="A52" s="721" t="s">
        <v>885</v>
      </c>
      <c r="B52" s="722">
        <v>1802</v>
      </c>
      <c r="C52" s="721" t="s">
        <v>898</v>
      </c>
      <c r="D52" s="721"/>
      <c r="E52" s="729">
        <v>0</v>
      </c>
      <c r="F52" s="730"/>
      <c r="G52" s="730"/>
      <c r="H52" s="721"/>
      <c r="I52" s="721"/>
      <c r="J52" s="721"/>
      <c r="K52" s="721"/>
      <c r="L52" s="721"/>
      <c r="M52" s="721"/>
      <c r="N52" s="721"/>
      <c r="O52" s="721"/>
      <c r="P52" s="721"/>
      <c r="Q52" s="721"/>
      <c r="R52" s="721"/>
      <c r="S52" s="741"/>
      <c r="T52" s="721"/>
      <c r="U52" s="741"/>
      <c r="V52" s="721"/>
      <c r="W52" s="741">
        <v>0</v>
      </c>
      <c r="X52" s="741">
        <v>0</v>
      </c>
      <c r="Y52" s="721"/>
      <c r="Z52" s="721"/>
      <c r="AA52" s="720"/>
      <c r="AC52" s="720"/>
      <c r="AE52" s="720"/>
      <c r="AG52" s="720"/>
      <c r="AI52" s="720"/>
      <c r="AJ52" s="720"/>
      <c r="AK52" s="720"/>
      <c r="AM52" s="720"/>
      <c r="AN52" s="720"/>
      <c r="AO52" s="720"/>
    </row>
    <row r="53" spans="1:41" hidden="1">
      <c r="A53" s="721" t="s">
        <v>624</v>
      </c>
      <c r="B53" s="722">
        <v>2454</v>
      </c>
      <c r="C53" s="721" t="s">
        <v>635</v>
      </c>
      <c r="D53" s="721"/>
      <c r="E53" s="729">
        <v>0</v>
      </c>
      <c r="F53" s="730"/>
      <c r="G53" s="730"/>
      <c r="H53" s="721"/>
      <c r="I53" s="721"/>
      <c r="J53" s="721"/>
      <c r="K53" s="721"/>
      <c r="L53" s="721"/>
      <c r="M53" s="721"/>
      <c r="N53" s="721"/>
      <c r="O53" s="721"/>
      <c r="P53" s="721"/>
      <c r="Q53" s="721"/>
      <c r="R53" s="721"/>
      <c r="S53" s="741"/>
      <c r="T53" s="721"/>
      <c r="U53" s="741"/>
      <c r="V53" s="721"/>
      <c r="W53" s="741">
        <v>36693.629999999997</v>
      </c>
      <c r="X53" s="741" t="s">
        <v>1088</v>
      </c>
      <c r="Y53" s="721"/>
      <c r="Z53" s="721"/>
      <c r="AA53" s="720"/>
      <c r="AC53" s="720"/>
      <c r="AE53" s="720"/>
      <c r="AG53" s="720"/>
      <c r="AI53" s="720"/>
      <c r="AJ53" s="720"/>
      <c r="AK53" s="720"/>
      <c r="AM53" s="720"/>
      <c r="AN53" s="720"/>
      <c r="AO53" s="720"/>
    </row>
    <row r="54" spans="1:41" hidden="1">
      <c r="A54" s="721" t="s">
        <v>626</v>
      </c>
      <c r="B54" s="722">
        <v>3321</v>
      </c>
      <c r="C54" s="721" t="s">
        <v>637</v>
      </c>
      <c r="D54" s="721"/>
      <c r="E54" s="729">
        <v>3590.4</v>
      </c>
      <c r="F54" s="730" t="s">
        <v>1081</v>
      </c>
      <c r="G54" s="730" t="s">
        <v>1099</v>
      </c>
      <c r="H54" s="721"/>
      <c r="I54" s="721"/>
      <c r="J54" s="721"/>
      <c r="K54" s="721"/>
      <c r="L54" s="721"/>
      <c r="M54" s="721"/>
      <c r="N54" s="721"/>
      <c r="O54" s="721"/>
      <c r="P54" s="721"/>
      <c r="Q54" s="721"/>
      <c r="R54" s="721"/>
      <c r="S54" s="741"/>
      <c r="T54" s="721"/>
      <c r="U54" s="741"/>
      <c r="V54" s="721"/>
      <c r="W54" s="741">
        <v>43426.5</v>
      </c>
      <c r="X54" s="741" t="s">
        <v>1088</v>
      </c>
      <c r="Y54" s="721"/>
      <c r="Z54" s="721"/>
      <c r="AA54" s="720"/>
      <c r="AC54" s="720"/>
      <c r="AE54" s="720"/>
      <c r="AG54" s="720"/>
      <c r="AI54" s="720"/>
      <c r="AJ54" s="720"/>
      <c r="AK54" s="720"/>
      <c r="AM54" s="720"/>
      <c r="AN54" s="720"/>
      <c r="AO54" s="720"/>
    </row>
    <row r="55" spans="1:41" hidden="1">
      <c r="A55" s="721" t="s">
        <v>628</v>
      </c>
      <c r="B55" s="722">
        <v>1026</v>
      </c>
      <c r="C55" s="721" t="s">
        <v>639</v>
      </c>
      <c r="D55" s="721"/>
      <c r="E55" s="729">
        <v>0</v>
      </c>
      <c r="F55" s="730"/>
      <c r="G55" s="730"/>
      <c r="H55" s="721"/>
      <c r="I55" s="721"/>
      <c r="J55" s="721"/>
      <c r="K55" s="721"/>
      <c r="L55" s="721"/>
      <c r="M55" s="721"/>
      <c r="N55" s="721"/>
      <c r="O55" s="721"/>
      <c r="P55" s="721"/>
      <c r="Q55" s="721"/>
      <c r="R55" s="721"/>
      <c r="S55" s="741"/>
      <c r="T55" s="721"/>
      <c r="U55" s="741"/>
      <c r="V55" s="721"/>
      <c r="W55" s="741">
        <v>0</v>
      </c>
      <c r="X55" s="741">
        <v>0</v>
      </c>
      <c r="Y55" s="721"/>
      <c r="Z55" s="721"/>
      <c r="AA55" s="720"/>
      <c r="AC55" s="720"/>
      <c r="AE55" s="720"/>
      <c r="AG55" s="720"/>
      <c r="AI55" s="720"/>
      <c r="AJ55" s="720"/>
      <c r="AK55" s="720"/>
      <c r="AM55" s="720"/>
      <c r="AN55" s="720"/>
      <c r="AO55" s="720"/>
    </row>
    <row r="56" spans="1:41" hidden="1">
      <c r="A56" s="721" t="s">
        <v>630</v>
      </c>
      <c r="B56" s="722">
        <v>2294</v>
      </c>
      <c r="C56" s="721" t="s">
        <v>641</v>
      </c>
      <c r="D56" s="721"/>
      <c r="E56" s="729">
        <v>0</v>
      </c>
      <c r="F56" s="730"/>
      <c r="G56" s="730"/>
      <c r="H56" s="721"/>
      <c r="I56" s="721"/>
      <c r="J56" s="721"/>
      <c r="K56" s="721"/>
      <c r="L56" s="721"/>
      <c r="M56" s="721"/>
      <c r="N56" s="721"/>
      <c r="O56" s="721"/>
      <c r="P56" s="721"/>
      <c r="Q56" s="721"/>
      <c r="R56" s="721"/>
      <c r="S56" s="741"/>
      <c r="T56" s="721"/>
      <c r="U56" s="741"/>
      <c r="V56" s="721"/>
      <c r="W56" s="741">
        <v>39081.69</v>
      </c>
      <c r="X56" s="741" t="s">
        <v>1088</v>
      </c>
      <c r="Y56" s="721"/>
      <c r="Z56" s="721"/>
      <c r="AA56" s="720"/>
      <c r="AC56" s="720"/>
      <c r="AE56" s="720"/>
      <c r="AG56" s="720"/>
      <c r="AI56" s="720"/>
      <c r="AJ56" s="720"/>
      <c r="AK56" s="720"/>
      <c r="AM56" s="720"/>
      <c r="AN56" s="720"/>
      <c r="AO56" s="720"/>
    </row>
    <row r="57" spans="1:41" hidden="1">
      <c r="A57" s="721" t="s">
        <v>632</v>
      </c>
      <c r="B57" s="722">
        <v>2486</v>
      </c>
      <c r="C57" s="721" t="s">
        <v>644</v>
      </c>
      <c r="D57" s="721"/>
      <c r="E57" s="729">
        <v>0</v>
      </c>
      <c r="F57" s="730"/>
      <c r="G57" s="730"/>
      <c r="H57" s="721"/>
      <c r="I57" s="721"/>
      <c r="J57" s="721"/>
      <c r="K57" s="721"/>
      <c r="L57" s="721"/>
      <c r="M57" s="721"/>
      <c r="N57" s="721"/>
      <c r="O57" s="721"/>
      <c r="P57" s="721"/>
      <c r="Q57" s="721"/>
      <c r="R57" s="721"/>
      <c r="S57" s="741"/>
      <c r="T57" s="721"/>
      <c r="U57" s="741"/>
      <c r="V57" s="721"/>
      <c r="W57" s="741">
        <v>0</v>
      </c>
      <c r="X57" s="741"/>
      <c r="Y57" s="721"/>
      <c r="Z57" s="721"/>
      <c r="AA57" s="720"/>
      <c r="AC57" s="720"/>
      <c r="AE57" s="720"/>
      <c r="AG57" s="720"/>
      <c r="AI57" s="720"/>
      <c r="AJ57" s="720"/>
      <c r="AK57" s="720"/>
      <c r="AM57" s="720"/>
      <c r="AN57" s="720"/>
      <c r="AO57" s="720"/>
    </row>
    <row r="58" spans="1:41">
      <c r="A58" s="721" t="s">
        <v>634</v>
      </c>
      <c r="B58" s="722">
        <v>3435</v>
      </c>
      <c r="C58" s="721" t="s">
        <v>646</v>
      </c>
      <c r="D58" s="721"/>
      <c r="E58" s="729"/>
      <c r="F58" s="730"/>
      <c r="G58" s="730"/>
      <c r="H58" s="721"/>
      <c r="I58" s="721"/>
      <c r="J58" s="721"/>
      <c r="K58" s="721"/>
      <c r="L58" s="721"/>
      <c r="M58" s="721"/>
      <c r="N58" s="721"/>
      <c r="O58" s="721"/>
      <c r="P58" s="721"/>
      <c r="Q58" s="721"/>
      <c r="R58" s="721"/>
      <c r="S58" s="741"/>
      <c r="T58" s="721"/>
      <c r="U58" s="741"/>
      <c r="V58" s="721"/>
      <c r="W58" s="741">
        <v>36171.51</v>
      </c>
      <c r="X58" s="741" t="s">
        <v>1088</v>
      </c>
      <c r="Y58" s="721"/>
      <c r="Z58" s="721"/>
      <c r="AA58" s="720"/>
      <c r="AC58" s="720"/>
      <c r="AE58" s="720"/>
      <c r="AG58" s="720"/>
      <c r="AI58" s="720"/>
      <c r="AJ58" s="720"/>
      <c r="AK58" s="720"/>
      <c r="AM58" s="720"/>
      <c r="AN58" s="720"/>
      <c r="AO58" s="720"/>
    </row>
    <row r="59" spans="1:41" hidden="1">
      <c r="A59" s="721" t="s">
        <v>636</v>
      </c>
      <c r="B59" s="722">
        <v>7050</v>
      </c>
      <c r="C59" s="721" t="s">
        <v>648</v>
      </c>
      <c r="D59" s="721"/>
      <c r="E59" s="729">
        <v>0</v>
      </c>
      <c r="F59" s="730"/>
      <c r="G59" s="730"/>
      <c r="H59" s="721"/>
      <c r="I59" s="721"/>
      <c r="J59" s="721"/>
      <c r="K59" s="721"/>
      <c r="L59" s="721"/>
      <c r="M59" s="721"/>
      <c r="N59" s="721"/>
      <c r="O59" s="721"/>
      <c r="P59" s="721"/>
      <c r="Q59" s="721"/>
      <c r="R59" s="721"/>
      <c r="S59" s="741"/>
      <c r="T59" s="721"/>
      <c r="U59" s="741"/>
      <c r="V59" s="721"/>
      <c r="W59" s="741">
        <v>0</v>
      </c>
      <c r="X59" s="741">
        <v>0</v>
      </c>
      <c r="Y59" s="721"/>
      <c r="Z59" s="721"/>
      <c r="AA59" s="720"/>
      <c r="AC59" s="720"/>
      <c r="AE59" s="720"/>
      <c r="AG59" s="720"/>
      <c r="AI59" s="720"/>
      <c r="AJ59" s="720"/>
      <c r="AK59" s="720"/>
      <c r="AM59" s="720"/>
      <c r="AN59" s="720"/>
      <c r="AO59" s="720"/>
    </row>
    <row r="60" spans="1:41" hidden="1">
      <c r="A60" s="721" t="s">
        <v>638</v>
      </c>
      <c r="B60" s="722">
        <v>1006</v>
      </c>
      <c r="C60" s="721" t="s">
        <v>650</v>
      </c>
      <c r="D60" s="721"/>
      <c r="E60" s="729">
        <v>0</v>
      </c>
      <c r="F60" s="730"/>
      <c r="G60" s="730"/>
      <c r="H60" s="721"/>
      <c r="I60" s="721"/>
      <c r="J60" s="721"/>
      <c r="K60" s="721"/>
      <c r="L60" s="721"/>
      <c r="M60" s="721"/>
      <c r="N60" s="721"/>
      <c r="O60" s="721"/>
      <c r="P60" s="721"/>
      <c r="Q60" s="721"/>
      <c r="R60" s="721"/>
      <c r="S60" s="741"/>
      <c r="T60" s="721"/>
      <c r="U60" s="741"/>
      <c r="V60" s="721"/>
      <c r="W60" s="741">
        <v>0</v>
      </c>
      <c r="X60" s="741">
        <v>0</v>
      </c>
      <c r="Y60" s="721"/>
      <c r="Z60" s="721"/>
      <c r="AA60" s="720"/>
      <c r="AC60" s="720"/>
      <c r="AE60" s="720"/>
      <c r="AG60" s="720"/>
      <c r="AI60" s="720"/>
      <c r="AJ60" s="720"/>
      <c r="AK60" s="720"/>
      <c r="AM60" s="720"/>
      <c r="AN60" s="720"/>
      <c r="AO60" s="720"/>
    </row>
    <row r="61" spans="1:41" hidden="1">
      <c r="A61" s="721" t="s">
        <v>887</v>
      </c>
      <c r="B61" s="722">
        <v>2079</v>
      </c>
      <c r="C61" s="721" t="s">
        <v>822</v>
      </c>
      <c r="D61" s="721"/>
      <c r="E61" s="729">
        <v>0</v>
      </c>
      <c r="F61" s="730"/>
      <c r="G61" s="730"/>
      <c r="H61" s="721"/>
      <c r="I61" s="721"/>
      <c r="J61" s="721"/>
      <c r="K61" s="721"/>
      <c r="L61" s="721"/>
      <c r="M61" s="721"/>
      <c r="N61" s="721"/>
      <c r="O61" s="721"/>
      <c r="P61" s="721"/>
      <c r="Q61" s="721"/>
      <c r="R61" s="721"/>
      <c r="S61" s="741"/>
      <c r="T61" s="721"/>
      <c r="U61" s="741"/>
      <c r="V61" s="721"/>
      <c r="W61" s="741">
        <v>36390.47</v>
      </c>
      <c r="X61" s="741" t="s">
        <v>1088</v>
      </c>
      <c r="Y61" s="721"/>
      <c r="Z61" s="721"/>
      <c r="AA61" s="720"/>
      <c r="AC61" s="720"/>
      <c r="AE61" s="720"/>
      <c r="AG61" s="720"/>
      <c r="AI61" s="720"/>
      <c r="AJ61" s="720"/>
      <c r="AK61" s="720"/>
      <c r="AM61" s="720"/>
      <c r="AN61" s="720"/>
      <c r="AO61" s="720"/>
    </row>
    <row r="62" spans="1:41" hidden="1">
      <c r="A62" s="721" t="s">
        <v>640</v>
      </c>
      <c r="B62" s="722">
        <v>2081</v>
      </c>
      <c r="C62" s="721" t="s">
        <v>652</v>
      </c>
      <c r="D62" s="721"/>
      <c r="E62" s="729">
        <v>0</v>
      </c>
      <c r="F62" s="730"/>
      <c r="G62" s="730"/>
      <c r="H62" s="721"/>
      <c r="I62" s="721"/>
      <c r="J62" s="721"/>
      <c r="K62" s="721"/>
      <c r="L62" s="721"/>
      <c r="M62" s="721"/>
      <c r="N62" s="721"/>
      <c r="O62" s="721"/>
      <c r="P62" s="721"/>
      <c r="Q62" s="721"/>
      <c r="R62" s="721"/>
      <c r="S62" s="741"/>
      <c r="T62" s="721"/>
      <c r="U62" s="741"/>
      <c r="V62" s="721"/>
      <c r="W62" s="741">
        <v>0</v>
      </c>
      <c r="X62" s="741">
        <v>0</v>
      </c>
      <c r="Y62" s="721"/>
      <c r="Z62" s="721"/>
      <c r="AA62" s="720"/>
      <c r="AC62" s="720"/>
      <c r="AE62" s="720"/>
      <c r="AG62" s="720"/>
      <c r="AI62" s="720"/>
      <c r="AJ62" s="720"/>
      <c r="AK62" s="720"/>
      <c r="AM62" s="720"/>
      <c r="AN62" s="720"/>
      <c r="AO62" s="720"/>
    </row>
    <row r="63" spans="1:41" hidden="1">
      <c r="A63" s="721" t="s">
        <v>642</v>
      </c>
      <c r="B63" s="722">
        <v>2296</v>
      </c>
      <c r="C63" s="721" t="s">
        <v>654</v>
      </c>
      <c r="D63" s="721"/>
      <c r="E63" s="729">
        <v>0</v>
      </c>
      <c r="F63" s="730"/>
      <c r="G63" s="730"/>
      <c r="H63" s="721"/>
      <c r="I63" s="721"/>
      <c r="J63" s="721"/>
      <c r="K63" s="721"/>
      <c r="L63" s="721"/>
      <c r="M63" s="721"/>
      <c r="N63" s="721"/>
      <c r="O63" s="721"/>
      <c r="P63" s="721"/>
      <c r="Q63" s="721"/>
      <c r="R63" s="721"/>
      <c r="S63" s="741"/>
      <c r="T63" s="721"/>
      <c r="U63" s="741"/>
      <c r="V63" s="721"/>
      <c r="W63" s="741">
        <v>0</v>
      </c>
      <c r="X63" s="741">
        <v>0</v>
      </c>
      <c r="Y63" s="721"/>
      <c r="Z63" s="721"/>
      <c r="AA63" s="720"/>
      <c r="AC63" s="720"/>
      <c r="AE63" s="720"/>
      <c r="AG63" s="720"/>
      <c r="AI63" s="720"/>
      <c r="AJ63" s="720"/>
      <c r="AK63" s="720"/>
      <c r="AM63" s="720"/>
      <c r="AN63" s="720"/>
      <c r="AO63" s="720"/>
    </row>
    <row r="64" spans="1:41" hidden="1">
      <c r="A64" s="721" t="s">
        <v>645</v>
      </c>
      <c r="B64" s="722">
        <v>1015</v>
      </c>
      <c r="C64" s="721" t="s">
        <v>656</v>
      </c>
      <c r="D64" s="721"/>
      <c r="E64" s="729">
        <v>0</v>
      </c>
      <c r="F64" s="730"/>
      <c r="G64" s="730"/>
      <c r="H64" s="721"/>
      <c r="I64" s="721"/>
      <c r="J64" s="721"/>
      <c r="K64" s="721"/>
      <c r="L64" s="721"/>
      <c r="M64" s="721"/>
      <c r="N64" s="721"/>
      <c r="O64" s="721"/>
      <c r="P64" s="721"/>
      <c r="Q64" s="721"/>
      <c r="R64" s="721"/>
      <c r="S64" s="741"/>
      <c r="T64" s="721"/>
      <c r="U64" s="741"/>
      <c r="V64" s="721"/>
      <c r="W64" s="741">
        <v>0</v>
      </c>
      <c r="X64" s="741">
        <v>0</v>
      </c>
      <c r="Y64" s="721"/>
      <c r="Z64" s="721"/>
      <c r="AA64" s="720"/>
      <c r="AC64" s="720"/>
      <c r="AE64" s="720"/>
      <c r="AG64" s="720"/>
      <c r="AI64" s="720"/>
      <c r="AJ64" s="720"/>
      <c r="AK64" s="720"/>
      <c r="AM64" s="720"/>
      <c r="AN64" s="720"/>
      <c r="AO64" s="720"/>
    </row>
    <row r="65" spans="1:26" hidden="1">
      <c r="A65" s="721" t="s">
        <v>647</v>
      </c>
      <c r="B65" s="722">
        <v>1022</v>
      </c>
      <c r="C65" s="721" t="s">
        <v>658</v>
      </c>
      <c r="D65" s="721"/>
      <c r="E65" s="729">
        <v>0</v>
      </c>
      <c r="F65" s="730"/>
      <c r="G65" s="730"/>
      <c r="H65" s="721"/>
      <c r="I65" s="721"/>
      <c r="J65" s="721"/>
      <c r="K65" s="721"/>
      <c r="L65" s="721"/>
      <c r="M65" s="721"/>
      <c r="N65" s="721"/>
      <c r="O65" s="721"/>
      <c r="P65" s="721"/>
      <c r="Q65" s="721"/>
      <c r="R65" s="721"/>
      <c r="S65" s="741"/>
      <c r="T65" s="721"/>
      <c r="U65" s="741"/>
      <c r="V65" s="721"/>
      <c r="W65" s="741">
        <v>0</v>
      </c>
      <c r="X65" s="741">
        <v>0</v>
      </c>
      <c r="Y65" s="721"/>
      <c r="Z65" s="721"/>
    </row>
    <row r="66" spans="1:26" hidden="1">
      <c r="A66" s="721" t="s">
        <v>649</v>
      </c>
      <c r="B66" s="722">
        <v>2087</v>
      </c>
      <c r="C66" s="721" t="s">
        <v>660</v>
      </c>
      <c r="D66" s="721"/>
      <c r="E66" s="729">
        <v>0</v>
      </c>
      <c r="F66" s="730"/>
      <c r="G66" s="730"/>
      <c r="H66" s="721"/>
      <c r="I66" s="721"/>
      <c r="J66" s="721"/>
      <c r="K66" s="721"/>
      <c r="L66" s="721"/>
      <c r="M66" s="721"/>
      <c r="N66" s="721"/>
      <c r="O66" s="721"/>
      <c r="P66" s="721"/>
      <c r="Q66" s="721"/>
      <c r="R66" s="721"/>
      <c r="S66" s="741"/>
      <c r="T66" s="721"/>
      <c r="U66" s="741"/>
      <c r="V66" s="721"/>
      <c r="W66" s="741">
        <v>42690.52</v>
      </c>
      <c r="X66" s="741" t="s">
        <v>1088</v>
      </c>
      <c r="Y66" s="721"/>
      <c r="Z66" s="721"/>
    </row>
    <row r="67" spans="1:26" hidden="1">
      <c r="A67" s="721" t="s">
        <v>651</v>
      </c>
      <c r="B67" s="722">
        <v>2466</v>
      </c>
      <c r="C67" s="721" t="s">
        <v>662</v>
      </c>
      <c r="D67" s="721"/>
      <c r="E67" s="729">
        <v>9634.24</v>
      </c>
      <c r="F67" s="730" t="s">
        <v>1081</v>
      </c>
      <c r="G67" s="730" t="s">
        <v>1100</v>
      </c>
      <c r="H67" s="721"/>
      <c r="I67" s="721"/>
      <c r="J67" s="721"/>
      <c r="K67" s="721"/>
      <c r="L67" s="721"/>
      <c r="M67" s="721"/>
      <c r="N67" s="721"/>
      <c r="O67" s="721"/>
      <c r="P67" s="721"/>
      <c r="Q67" s="721"/>
      <c r="R67" s="721"/>
      <c r="S67" s="741">
        <v>7788</v>
      </c>
      <c r="T67" s="721" t="s">
        <v>1090</v>
      </c>
      <c r="U67" s="741" t="s">
        <v>1101</v>
      </c>
      <c r="V67" s="721"/>
      <c r="W67" s="741">
        <v>55620.42</v>
      </c>
      <c r="X67" s="741" t="s">
        <v>1102</v>
      </c>
      <c r="Y67" s="721"/>
      <c r="Z67" s="721"/>
    </row>
    <row r="68" spans="1:26" hidden="1">
      <c r="A68" s="721" t="s">
        <v>889</v>
      </c>
      <c r="B68" s="722">
        <v>2091</v>
      </c>
      <c r="C68" s="721" t="s">
        <v>866</v>
      </c>
      <c r="D68" s="721"/>
      <c r="E68" s="729">
        <v>2752.6400000000003</v>
      </c>
      <c r="F68" s="730" t="s">
        <v>1081</v>
      </c>
      <c r="G68" s="730" t="s">
        <v>1103</v>
      </c>
      <c r="H68" s="721"/>
      <c r="I68" s="721"/>
      <c r="J68" s="721"/>
      <c r="K68" s="721"/>
      <c r="L68" s="721"/>
      <c r="M68" s="721"/>
      <c r="N68" s="721"/>
      <c r="O68" s="721"/>
      <c r="P68" s="721"/>
      <c r="Q68" s="721"/>
      <c r="R68" s="721"/>
      <c r="S68" s="741"/>
      <c r="T68" s="721"/>
      <c r="U68" s="741"/>
      <c r="V68" s="721"/>
      <c r="W68" s="741">
        <v>0</v>
      </c>
      <c r="X68" s="741">
        <v>0</v>
      </c>
      <c r="Y68" s="721"/>
      <c r="Z68" s="721"/>
    </row>
    <row r="69" spans="1:26" hidden="1">
      <c r="A69" s="721" t="s">
        <v>653</v>
      </c>
      <c r="B69" s="722">
        <v>2093</v>
      </c>
      <c r="C69" s="721" t="s">
        <v>664</v>
      </c>
      <c r="D69" s="721"/>
      <c r="E69" s="729">
        <v>2573.1200000000003</v>
      </c>
      <c r="F69" s="730" t="s">
        <v>1081</v>
      </c>
      <c r="G69" s="730" t="s">
        <v>1104</v>
      </c>
      <c r="H69" s="721"/>
      <c r="I69" s="721"/>
      <c r="J69" s="721"/>
      <c r="K69" s="721"/>
      <c r="L69" s="721"/>
      <c r="M69" s="721"/>
      <c r="N69" s="721"/>
      <c r="O69" s="721"/>
      <c r="P69" s="721"/>
      <c r="Q69" s="721"/>
      <c r="R69" s="721"/>
      <c r="S69" s="741"/>
      <c r="T69" s="721"/>
      <c r="U69" s="741"/>
      <c r="V69" s="721"/>
      <c r="W69" s="741">
        <v>46343.47</v>
      </c>
      <c r="X69" s="741" t="s">
        <v>1088</v>
      </c>
      <c r="Y69" s="721"/>
      <c r="Z69" s="721"/>
    </row>
    <row r="70" spans="1:26" hidden="1">
      <c r="A70" s="721" t="s">
        <v>655</v>
      </c>
      <c r="B70" s="722">
        <v>2092</v>
      </c>
      <c r="C70" s="721" t="s">
        <v>666</v>
      </c>
      <c r="D70" s="721"/>
      <c r="E70" s="729">
        <v>0</v>
      </c>
      <c r="F70" s="730"/>
      <c r="G70" s="730"/>
      <c r="H70" s="721"/>
      <c r="I70" s="721"/>
      <c r="J70" s="721"/>
      <c r="K70" s="721"/>
      <c r="L70" s="721"/>
      <c r="M70" s="721"/>
      <c r="N70" s="721"/>
      <c r="O70" s="721"/>
      <c r="P70" s="721"/>
      <c r="Q70" s="721"/>
      <c r="R70" s="721"/>
      <c r="S70" s="741"/>
      <c r="T70" s="721"/>
      <c r="U70" s="741"/>
      <c r="V70" s="721"/>
      <c r="W70" s="741">
        <v>38510.5</v>
      </c>
      <c r="X70" s="741" t="s">
        <v>1088</v>
      </c>
      <c r="Y70" s="721"/>
      <c r="Z70" s="721"/>
    </row>
    <row r="71" spans="1:26" hidden="1">
      <c r="A71" s="721" t="s">
        <v>657</v>
      </c>
      <c r="B71" s="722">
        <v>7006</v>
      </c>
      <c r="C71" s="721" t="s">
        <v>668</v>
      </c>
      <c r="D71" s="721"/>
      <c r="E71" s="729">
        <v>0</v>
      </c>
      <c r="F71" s="730"/>
      <c r="G71" s="730"/>
      <c r="H71" s="721"/>
      <c r="I71" s="721"/>
      <c r="J71" s="721"/>
      <c r="K71" s="721"/>
      <c r="L71" s="721"/>
      <c r="M71" s="721"/>
      <c r="N71" s="721"/>
      <c r="O71" s="721"/>
      <c r="P71" s="721"/>
      <c r="Q71" s="721"/>
      <c r="R71" s="721"/>
      <c r="S71" s="741">
        <v>649</v>
      </c>
      <c r="T71" s="721" t="s">
        <v>1090</v>
      </c>
      <c r="U71" s="741" t="s">
        <v>1105</v>
      </c>
      <c r="V71" s="721"/>
      <c r="W71" s="741">
        <v>35077.949999999997</v>
      </c>
      <c r="X71" s="741" t="s">
        <v>1088</v>
      </c>
      <c r="Y71" s="721"/>
      <c r="Z71" s="721"/>
    </row>
    <row r="72" spans="1:26" hidden="1">
      <c r="A72" s="721" t="s">
        <v>891</v>
      </c>
      <c r="B72" s="722">
        <v>2477</v>
      </c>
      <c r="C72" s="721" t="s">
        <v>868</v>
      </c>
      <c r="D72" s="721"/>
      <c r="E72" s="729">
        <v>0</v>
      </c>
      <c r="F72" s="730"/>
      <c r="G72" s="730"/>
      <c r="H72" s="721"/>
      <c r="I72" s="721"/>
      <c r="J72" s="721"/>
      <c r="K72" s="721"/>
      <c r="L72" s="721"/>
      <c r="M72" s="721"/>
      <c r="N72" s="721"/>
      <c r="O72" s="721"/>
      <c r="P72" s="721"/>
      <c r="Q72" s="721"/>
      <c r="R72" s="721"/>
      <c r="S72" s="741"/>
      <c r="T72" s="721"/>
      <c r="U72" s="741"/>
      <c r="V72" s="721"/>
      <c r="W72" s="741">
        <v>0</v>
      </c>
      <c r="X72" s="741">
        <v>0</v>
      </c>
      <c r="Y72" s="721"/>
      <c r="Z72" s="721"/>
    </row>
    <row r="73" spans="1:26" hidden="1">
      <c r="A73" s="721" t="s">
        <v>893</v>
      </c>
      <c r="B73" s="722">
        <v>3436</v>
      </c>
      <c r="C73" s="721" t="s">
        <v>900</v>
      </c>
      <c r="D73" s="721"/>
      <c r="E73" s="729">
        <v>1750.3200000000002</v>
      </c>
      <c r="F73" s="730" t="s">
        <v>1081</v>
      </c>
      <c r="G73" s="730" t="s">
        <v>1106</v>
      </c>
      <c r="H73" s="721"/>
      <c r="I73" s="721"/>
      <c r="J73" s="721"/>
      <c r="K73" s="721"/>
      <c r="L73" s="721"/>
      <c r="M73" s="721"/>
      <c r="N73" s="721"/>
      <c r="O73" s="721"/>
      <c r="P73" s="721"/>
      <c r="Q73" s="721"/>
      <c r="R73" s="721"/>
      <c r="S73" s="741"/>
      <c r="T73" s="721"/>
      <c r="U73" s="741"/>
      <c r="V73" s="721"/>
      <c r="W73" s="741">
        <v>0</v>
      </c>
      <c r="X73" s="741">
        <v>0</v>
      </c>
      <c r="Y73" s="721"/>
      <c r="Z73" s="721"/>
    </row>
    <row r="74" spans="1:26" hidden="1">
      <c r="A74" s="721" t="s">
        <v>659</v>
      </c>
      <c r="B74" s="722">
        <v>2099</v>
      </c>
      <c r="C74" s="721" t="s">
        <v>670</v>
      </c>
      <c r="D74" s="721"/>
      <c r="E74" s="729">
        <v>0</v>
      </c>
      <c r="F74" s="730"/>
      <c r="G74" s="730"/>
      <c r="H74" s="721"/>
      <c r="I74" s="721"/>
      <c r="J74" s="721"/>
      <c r="K74" s="721"/>
      <c r="L74" s="721"/>
      <c r="M74" s="721"/>
      <c r="N74" s="721"/>
      <c r="O74" s="721"/>
      <c r="P74" s="721"/>
      <c r="Q74" s="721"/>
      <c r="R74" s="721"/>
      <c r="S74" s="741"/>
      <c r="T74" s="721"/>
      <c r="U74" s="741"/>
      <c r="V74" s="721"/>
      <c r="W74" s="741">
        <v>0</v>
      </c>
      <c r="X74" s="741">
        <v>0</v>
      </c>
      <c r="Y74" s="721"/>
      <c r="Z74" s="721"/>
    </row>
    <row r="75" spans="1:26" hidden="1">
      <c r="A75" s="721" t="s">
        <v>661</v>
      </c>
      <c r="B75" s="722">
        <v>1010</v>
      </c>
      <c r="C75" s="721" t="s">
        <v>672</v>
      </c>
      <c r="D75" s="721"/>
      <c r="E75" s="729">
        <v>0</v>
      </c>
      <c r="F75" s="730"/>
      <c r="G75" s="730"/>
      <c r="H75" s="721"/>
      <c r="I75" s="721"/>
      <c r="J75" s="721"/>
      <c r="K75" s="721"/>
      <c r="L75" s="721"/>
      <c r="M75" s="721"/>
      <c r="N75" s="721"/>
      <c r="O75" s="721"/>
      <c r="P75" s="721"/>
      <c r="Q75" s="721"/>
      <c r="R75" s="721"/>
      <c r="S75" s="741"/>
      <c r="T75" s="721"/>
      <c r="U75" s="741"/>
      <c r="V75" s="721"/>
      <c r="W75" s="741">
        <v>0</v>
      </c>
      <c r="X75" s="741">
        <v>0</v>
      </c>
      <c r="Y75" s="721"/>
      <c r="Z75" s="721"/>
    </row>
    <row r="76" spans="1:26" hidden="1">
      <c r="A76" s="721" t="s">
        <v>663</v>
      </c>
      <c r="B76" s="722">
        <v>1021</v>
      </c>
      <c r="C76" s="721" t="s">
        <v>674</v>
      </c>
      <c r="D76" s="721"/>
      <c r="E76" s="729">
        <v>0</v>
      </c>
      <c r="F76" s="730"/>
      <c r="G76" s="730"/>
      <c r="H76" s="721"/>
      <c r="I76" s="721"/>
      <c r="J76" s="721"/>
      <c r="K76" s="721"/>
      <c r="L76" s="721"/>
      <c r="M76" s="721"/>
      <c r="N76" s="721"/>
      <c r="O76" s="721"/>
      <c r="P76" s="721"/>
      <c r="Q76" s="721"/>
      <c r="R76" s="721"/>
      <c r="S76" s="741"/>
      <c r="T76" s="721"/>
      <c r="U76" s="741"/>
      <c r="V76" s="721"/>
      <c r="W76" s="741">
        <v>0</v>
      </c>
      <c r="X76" s="741">
        <v>0</v>
      </c>
      <c r="Y76" s="721"/>
      <c r="Z76" s="721"/>
    </row>
    <row r="77" spans="1:26" hidden="1">
      <c r="A77" s="721" t="s">
        <v>665</v>
      </c>
      <c r="B77" s="722">
        <v>4201</v>
      </c>
      <c r="C77" s="721" t="s">
        <v>676</v>
      </c>
      <c r="D77" s="721"/>
      <c r="E77" s="729">
        <v>0</v>
      </c>
      <c r="F77" s="730"/>
      <c r="G77" s="730"/>
      <c r="H77" s="721"/>
      <c r="I77" s="721"/>
      <c r="J77" s="721"/>
      <c r="K77" s="721"/>
      <c r="L77" s="721"/>
      <c r="M77" s="721"/>
      <c r="N77" s="721"/>
      <c r="O77" s="721"/>
      <c r="P77" s="721"/>
      <c r="Q77" s="721"/>
      <c r="R77" s="721"/>
      <c r="S77" s="741"/>
      <c r="T77" s="721"/>
      <c r="U77" s="741"/>
      <c r="V77" s="721"/>
      <c r="W77" s="741">
        <v>0</v>
      </c>
      <c r="X77" s="741">
        <v>0</v>
      </c>
      <c r="Y77" s="721"/>
      <c r="Z77" s="721"/>
    </row>
    <row r="78" spans="1:26" hidden="1">
      <c r="A78" s="721" t="s">
        <v>667</v>
      </c>
      <c r="B78" s="722">
        <v>4015</v>
      </c>
      <c r="C78" s="721" t="s">
        <v>678</v>
      </c>
      <c r="D78" s="721"/>
      <c r="E78" s="729">
        <v>0</v>
      </c>
      <c r="F78" s="730"/>
      <c r="G78" s="730"/>
      <c r="H78" s="721"/>
      <c r="I78" s="721"/>
      <c r="J78" s="721"/>
      <c r="K78" s="721"/>
      <c r="L78" s="721"/>
      <c r="M78" s="721"/>
      <c r="N78" s="721"/>
      <c r="O78" s="721"/>
      <c r="P78" s="721"/>
      <c r="Q78" s="721"/>
      <c r="R78" s="721"/>
      <c r="S78" s="741"/>
      <c r="T78" s="721"/>
      <c r="U78" s="741"/>
      <c r="V78" s="721"/>
      <c r="W78" s="741">
        <v>0</v>
      </c>
      <c r="X78" s="741">
        <v>0</v>
      </c>
      <c r="Y78" s="721"/>
      <c r="Z78" s="721"/>
    </row>
    <row r="79" spans="1:26" hidden="1">
      <c r="A79" s="721" t="s">
        <v>669</v>
      </c>
      <c r="B79" s="722">
        <v>3411</v>
      </c>
      <c r="C79" s="721" t="s">
        <v>680</v>
      </c>
      <c r="D79" s="721"/>
      <c r="E79" s="729">
        <v>0</v>
      </c>
      <c r="F79" s="730"/>
      <c r="G79" s="730"/>
      <c r="H79" s="721"/>
      <c r="I79" s="721"/>
      <c r="J79" s="721"/>
      <c r="K79" s="721"/>
      <c r="L79" s="721"/>
      <c r="M79" s="721"/>
      <c r="N79" s="721"/>
      <c r="O79" s="721"/>
      <c r="P79" s="721"/>
      <c r="Q79" s="721"/>
      <c r="R79" s="721"/>
      <c r="S79" s="741"/>
      <c r="T79" s="721"/>
      <c r="U79" s="741"/>
      <c r="V79" s="721"/>
      <c r="W79" s="741">
        <v>0</v>
      </c>
      <c r="X79" s="741">
        <v>0</v>
      </c>
      <c r="Y79" s="721"/>
      <c r="Z79" s="721"/>
    </row>
    <row r="80" spans="1:26" hidden="1">
      <c r="A80" s="721" t="s">
        <v>895</v>
      </c>
      <c r="B80" s="722">
        <v>2474</v>
      </c>
      <c r="C80" s="721" t="s">
        <v>902</v>
      </c>
      <c r="D80" s="721"/>
      <c r="E80" s="729">
        <v>4032</v>
      </c>
      <c r="F80" s="730" t="s">
        <v>1081</v>
      </c>
      <c r="G80" s="730" t="s">
        <v>1107</v>
      </c>
      <c r="H80" s="721"/>
      <c r="I80" s="721"/>
      <c r="J80" s="721"/>
      <c r="K80" s="721"/>
      <c r="L80" s="721"/>
      <c r="M80" s="721"/>
      <c r="N80" s="721"/>
      <c r="O80" s="721"/>
      <c r="P80" s="721"/>
      <c r="Q80" s="721"/>
      <c r="R80" s="721"/>
      <c r="S80" s="741"/>
      <c r="T80" s="721"/>
      <c r="U80" s="741"/>
      <c r="V80" s="721"/>
      <c r="W80" s="741">
        <v>0</v>
      </c>
      <c r="X80" s="741">
        <v>0</v>
      </c>
      <c r="Y80" s="721"/>
      <c r="Z80" s="721"/>
    </row>
    <row r="81" spans="1:26" hidden="1">
      <c r="A81" s="721" t="s">
        <v>671</v>
      </c>
      <c r="B81" s="722">
        <v>4223</v>
      </c>
      <c r="C81" s="721" t="s">
        <v>682</v>
      </c>
      <c r="D81" s="721"/>
      <c r="E81" s="729">
        <v>0</v>
      </c>
      <c r="F81" s="730"/>
      <c r="G81" s="730"/>
      <c r="H81" s="721"/>
      <c r="I81" s="721"/>
      <c r="J81" s="721"/>
      <c r="K81" s="721"/>
      <c r="L81" s="721"/>
      <c r="M81" s="721"/>
      <c r="N81" s="721"/>
      <c r="O81" s="721"/>
      <c r="P81" s="721"/>
      <c r="Q81" s="721"/>
      <c r="R81" s="721"/>
      <c r="S81" s="741"/>
      <c r="T81" s="721"/>
      <c r="U81" s="741"/>
      <c r="V81" s="721"/>
      <c r="W81" s="741">
        <v>148173.85</v>
      </c>
      <c r="X81" s="741" t="s">
        <v>1088</v>
      </c>
      <c r="Y81" s="721"/>
      <c r="Z81" s="721"/>
    </row>
    <row r="82" spans="1:26" hidden="1">
      <c r="A82" s="721" t="s">
        <v>673</v>
      </c>
      <c r="B82" s="722">
        <v>3317</v>
      </c>
      <c r="C82" s="721" t="s">
        <v>684</v>
      </c>
      <c r="D82" s="721"/>
      <c r="E82" s="729">
        <v>0</v>
      </c>
      <c r="F82" s="730"/>
      <c r="G82" s="730"/>
      <c r="H82" s="721"/>
      <c r="I82" s="721"/>
      <c r="J82" s="721"/>
      <c r="K82" s="721"/>
      <c r="L82" s="721"/>
      <c r="M82" s="721"/>
      <c r="N82" s="721"/>
      <c r="O82" s="721"/>
      <c r="P82" s="721"/>
      <c r="Q82" s="721"/>
      <c r="R82" s="721"/>
      <c r="S82" s="741"/>
      <c r="T82" s="721"/>
      <c r="U82" s="741"/>
      <c r="V82" s="721"/>
      <c r="W82" s="741">
        <v>23773.33</v>
      </c>
      <c r="X82" s="741" t="s">
        <v>1088</v>
      </c>
      <c r="Y82" s="721"/>
      <c r="Z82" s="721"/>
    </row>
    <row r="83" spans="1:26" hidden="1">
      <c r="A83" s="721" t="s">
        <v>675</v>
      </c>
      <c r="B83" s="722">
        <v>1023</v>
      </c>
      <c r="C83" s="721" t="s">
        <v>686</v>
      </c>
      <c r="D83" s="721"/>
      <c r="E83" s="729">
        <v>0</v>
      </c>
      <c r="F83" s="730"/>
      <c r="G83" s="730"/>
      <c r="H83" s="721"/>
      <c r="I83" s="721"/>
      <c r="J83" s="721"/>
      <c r="K83" s="721"/>
      <c r="L83" s="721"/>
      <c r="M83" s="721"/>
      <c r="N83" s="721"/>
      <c r="O83" s="721"/>
      <c r="P83" s="721"/>
      <c r="Q83" s="721"/>
      <c r="R83" s="721"/>
      <c r="S83" s="741"/>
      <c r="T83" s="721"/>
      <c r="U83" s="741"/>
      <c r="V83" s="721"/>
      <c r="W83" s="741">
        <v>0</v>
      </c>
      <c r="X83" s="741">
        <v>0</v>
      </c>
      <c r="Y83" s="721"/>
      <c r="Z83" s="721"/>
    </row>
    <row r="84" spans="1:26" hidden="1">
      <c r="A84" s="721" t="s">
        <v>677</v>
      </c>
      <c r="B84" s="722">
        <v>2015</v>
      </c>
      <c r="C84" s="721" t="s">
        <v>688</v>
      </c>
      <c r="D84" s="721"/>
      <c r="E84" s="729">
        <v>0</v>
      </c>
      <c r="F84" s="730"/>
      <c r="G84" s="730"/>
      <c r="H84" s="721"/>
      <c r="I84" s="721"/>
      <c r="J84" s="721"/>
      <c r="K84" s="721"/>
      <c r="L84" s="721"/>
      <c r="M84" s="721"/>
      <c r="N84" s="721"/>
      <c r="O84" s="721"/>
      <c r="P84" s="721"/>
      <c r="Q84" s="721"/>
      <c r="R84" s="721"/>
      <c r="S84" s="741">
        <v>1298</v>
      </c>
      <c r="T84" s="721" t="s">
        <v>1090</v>
      </c>
      <c r="U84" s="741" t="s">
        <v>1108</v>
      </c>
      <c r="V84" s="721"/>
      <c r="W84" s="741">
        <v>0</v>
      </c>
      <c r="X84" s="741">
        <v>0</v>
      </c>
      <c r="Y84" s="721"/>
      <c r="Z84" s="721"/>
    </row>
    <row r="85" spans="1:26" hidden="1">
      <c r="A85" s="721" t="s">
        <v>897</v>
      </c>
      <c r="B85" s="722">
        <v>3352</v>
      </c>
      <c r="C85" s="721" t="s">
        <v>906</v>
      </c>
      <c r="D85" s="721"/>
      <c r="E85" s="729">
        <v>0</v>
      </c>
      <c r="F85" s="730"/>
      <c r="G85" s="730"/>
      <c r="H85" s="721"/>
      <c r="I85" s="721"/>
      <c r="J85" s="721"/>
      <c r="K85" s="721"/>
      <c r="L85" s="721"/>
      <c r="M85" s="721"/>
      <c r="N85" s="721"/>
      <c r="O85" s="721"/>
      <c r="P85" s="721"/>
      <c r="Q85" s="721"/>
      <c r="R85" s="721"/>
      <c r="S85" s="741"/>
      <c r="T85" s="721"/>
      <c r="U85" s="741"/>
      <c r="V85" s="721"/>
      <c r="W85" s="741">
        <v>0</v>
      </c>
      <c r="X85" s="741">
        <v>0</v>
      </c>
      <c r="Y85" s="721"/>
      <c r="Z85" s="721"/>
    </row>
    <row r="86" spans="1:26" hidden="1">
      <c r="A86" s="721" t="s">
        <v>899</v>
      </c>
      <c r="B86" s="722">
        <v>2005</v>
      </c>
      <c r="C86" s="721" t="s">
        <v>908</v>
      </c>
      <c r="D86" s="721"/>
      <c r="E86" s="729">
        <v>0</v>
      </c>
      <c r="F86" s="730"/>
      <c r="G86" s="730"/>
      <c r="H86" s="721"/>
      <c r="I86" s="721"/>
      <c r="J86" s="721"/>
      <c r="K86" s="721"/>
      <c r="L86" s="721"/>
      <c r="M86" s="721"/>
      <c r="N86" s="721"/>
      <c r="O86" s="721"/>
      <c r="P86" s="721"/>
      <c r="Q86" s="721"/>
      <c r="R86" s="721"/>
      <c r="S86" s="741"/>
      <c r="T86" s="721"/>
      <c r="U86" s="741"/>
      <c r="V86" s="721"/>
      <c r="W86" s="741">
        <v>0</v>
      </c>
      <c r="X86" s="741">
        <v>0</v>
      </c>
      <c r="Y86" s="721"/>
      <c r="Z86" s="721"/>
    </row>
    <row r="87" spans="1:26" hidden="1">
      <c r="A87" s="721" t="s">
        <v>679</v>
      </c>
      <c r="B87" s="722">
        <v>4063</v>
      </c>
      <c r="C87" s="721" t="s">
        <v>690</v>
      </c>
      <c r="D87" s="721"/>
      <c r="E87" s="729">
        <v>4188.8</v>
      </c>
      <c r="F87" s="730" t="s">
        <v>1081</v>
      </c>
      <c r="G87" s="730" t="s">
        <v>1109</v>
      </c>
      <c r="H87" s="721"/>
      <c r="I87" s="721"/>
      <c r="J87" s="721"/>
      <c r="K87" s="721"/>
      <c r="L87" s="721"/>
      <c r="M87" s="721"/>
      <c r="N87" s="721"/>
      <c r="O87" s="721"/>
      <c r="P87" s="721"/>
      <c r="Q87" s="721"/>
      <c r="R87" s="721"/>
      <c r="S87" s="741"/>
      <c r="T87" s="721"/>
      <c r="U87" s="741"/>
      <c r="V87" s="721"/>
      <c r="W87" s="741">
        <v>0</v>
      </c>
      <c r="X87" s="741">
        <v>0</v>
      </c>
      <c r="Y87" s="721"/>
      <c r="Z87" s="721"/>
    </row>
    <row r="88" spans="1:26" hidden="1">
      <c r="A88" s="721" t="s">
        <v>681</v>
      </c>
      <c r="B88" s="722">
        <v>1016</v>
      </c>
      <c r="C88" s="721" t="s">
        <v>692</v>
      </c>
      <c r="D88" s="721"/>
      <c r="E88" s="729"/>
      <c r="F88" s="730"/>
      <c r="G88" s="730"/>
      <c r="H88" s="721"/>
      <c r="I88" s="721"/>
      <c r="J88" s="721"/>
      <c r="K88" s="721"/>
      <c r="L88" s="721"/>
      <c r="M88" s="721"/>
      <c r="N88" s="721"/>
      <c r="O88" s="721"/>
      <c r="P88" s="721"/>
      <c r="Q88" s="721"/>
      <c r="R88" s="721"/>
      <c r="S88" s="741"/>
      <c r="T88" s="721"/>
      <c r="U88" s="741"/>
      <c r="V88" s="721"/>
      <c r="W88" s="741">
        <v>0</v>
      </c>
      <c r="X88" s="741">
        <v>0</v>
      </c>
      <c r="Y88" s="721"/>
      <c r="Z88" s="721"/>
    </row>
    <row r="89" spans="1:26" hidden="1">
      <c r="A89" s="721" t="s">
        <v>683</v>
      </c>
      <c r="B89" s="722">
        <v>2115</v>
      </c>
      <c r="C89" s="721" t="s">
        <v>694</v>
      </c>
      <c r="D89" s="721"/>
      <c r="E89" s="729">
        <v>2752.6400000000003</v>
      </c>
      <c r="F89" s="730" t="s">
        <v>1081</v>
      </c>
      <c r="G89" s="730" t="s">
        <v>1103</v>
      </c>
      <c r="H89" s="721"/>
      <c r="I89" s="721"/>
      <c r="J89" s="721"/>
      <c r="K89" s="721"/>
      <c r="L89" s="721"/>
      <c r="M89" s="721"/>
      <c r="N89" s="721"/>
      <c r="O89" s="721"/>
      <c r="P89" s="721"/>
      <c r="Q89" s="721"/>
      <c r="R89" s="721"/>
      <c r="S89" s="741"/>
      <c r="T89" s="721"/>
      <c r="U89" s="741"/>
      <c r="V89" s="721"/>
      <c r="W89" s="741">
        <v>0</v>
      </c>
      <c r="X89" s="741">
        <v>0</v>
      </c>
      <c r="Y89" s="721"/>
      <c r="Z89" s="721"/>
    </row>
    <row r="90" spans="1:26" hidden="1">
      <c r="A90" s="721" t="s">
        <v>685</v>
      </c>
      <c r="B90" s="722">
        <v>2441</v>
      </c>
      <c r="C90" s="721" t="s">
        <v>696</v>
      </c>
      <c r="D90" s="721"/>
      <c r="E90" s="729">
        <v>0</v>
      </c>
      <c r="F90" s="730"/>
      <c r="G90" s="730"/>
      <c r="H90" s="721"/>
      <c r="I90" s="721"/>
      <c r="J90" s="721"/>
      <c r="K90" s="721"/>
      <c r="L90" s="721"/>
      <c r="M90" s="721"/>
      <c r="N90" s="721"/>
      <c r="O90" s="721"/>
      <c r="P90" s="721"/>
      <c r="Q90" s="721"/>
      <c r="R90" s="721"/>
      <c r="S90" s="741">
        <v>2596</v>
      </c>
      <c r="T90" s="721" t="s">
        <v>1090</v>
      </c>
      <c r="U90" s="741" t="s">
        <v>1110</v>
      </c>
      <c r="V90" s="721"/>
      <c r="W90" s="741">
        <v>0</v>
      </c>
      <c r="X90" s="741">
        <v>0</v>
      </c>
      <c r="Y90" s="721"/>
      <c r="Z90" s="721"/>
    </row>
    <row r="91" spans="1:26" hidden="1">
      <c r="A91" s="721" t="s">
        <v>687</v>
      </c>
      <c r="B91" s="722">
        <v>2321</v>
      </c>
      <c r="C91" s="721" t="s">
        <v>698</v>
      </c>
      <c r="D91" s="721"/>
      <c r="E91" s="729">
        <v>0</v>
      </c>
      <c r="F91" s="730"/>
      <c r="G91" s="730"/>
      <c r="H91" s="721"/>
      <c r="I91" s="721"/>
      <c r="J91" s="721"/>
      <c r="K91" s="721"/>
      <c r="L91" s="721"/>
      <c r="M91" s="721"/>
      <c r="N91" s="721"/>
      <c r="O91" s="721"/>
      <c r="P91" s="721"/>
      <c r="Q91" s="721"/>
      <c r="R91" s="721"/>
      <c r="S91" s="741"/>
      <c r="T91" s="721"/>
      <c r="U91" s="741"/>
      <c r="V91" s="721"/>
      <c r="W91" s="741">
        <v>22635.759999999998</v>
      </c>
      <c r="X91" s="741" t="s">
        <v>1088</v>
      </c>
      <c r="Y91" s="721"/>
      <c r="Z91" s="721"/>
    </row>
    <row r="92" spans="1:26" hidden="1">
      <c r="A92" s="721" t="s">
        <v>867</v>
      </c>
      <c r="B92" s="722">
        <v>2189</v>
      </c>
      <c r="C92" s="721" t="s">
        <v>910</v>
      </c>
      <c r="D92" s="721"/>
      <c r="E92" s="729">
        <v>3141.6000000000004</v>
      </c>
      <c r="F92" s="730" t="s">
        <v>1081</v>
      </c>
      <c r="G92" s="730" t="s">
        <v>1111</v>
      </c>
      <c r="H92" s="721"/>
      <c r="I92" s="721"/>
      <c r="J92" s="721"/>
      <c r="K92" s="721"/>
      <c r="L92" s="721"/>
      <c r="M92" s="721"/>
      <c r="N92" s="721"/>
      <c r="O92" s="721"/>
      <c r="P92" s="721"/>
      <c r="Q92" s="721"/>
      <c r="R92" s="721"/>
      <c r="S92" s="741"/>
      <c r="T92" s="721"/>
      <c r="U92" s="741"/>
      <c r="V92" s="721"/>
      <c r="W92" s="741">
        <v>32834.980000000003</v>
      </c>
      <c r="X92" s="741" t="s">
        <v>1088</v>
      </c>
      <c r="Y92" s="721"/>
      <c r="Z92" s="721"/>
    </row>
    <row r="93" spans="1:26" hidden="1">
      <c r="A93" s="721" t="s">
        <v>869</v>
      </c>
      <c r="B93" s="722">
        <v>7060</v>
      </c>
      <c r="C93" s="721" t="s">
        <v>912</v>
      </c>
      <c r="D93" s="721"/>
      <c r="E93" s="729">
        <v>0</v>
      </c>
      <c r="F93" s="730"/>
      <c r="G93" s="730"/>
      <c r="H93" s="721"/>
      <c r="I93" s="721"/>
      <c r="J93" s="721"/>
      <c r="K93" s="721"/>
      <c r="L93" s="721"/>
      <c r="M93" s="721"/>
      <c r="N93" s="721"/>
      <c r="O93" s="721"/>
      <c r="P93" s="721"/>
      <c r="Q93" s="721"/>
      <c r="R93" s="721"/>
      <c r="S93" s="741"/>
      <c r="T93" s="721"/>
      <c r="U93" s="741"/>
      <c r="V93" s="721"/>
      <c r="W93" s="741">
        <v>0</v>
      </c>
      <c r="X93" s="741">
        <v>0</v>
      </c>
      <c r="Y93" s="721"/>
      <c r="Z93" s="721"/>
    </row>
    <row r="94" spans="1:26" hidden="1">
      <c r="A94" s="721" t="s">
        <v>901</v>
      </c>
      <c r="B94" s="722">
        <v>1024</v>
      </c>
      <c r="C94" s="721" t="s">
        <v>916</v>
      </c>
      <c r="D94" s="721"/>
      <c r="E94" s="729">
        <v>0</v>
      </c>
      <c r="F94" s="730"/>
      <c r="G94" s="730"/>
      <c r="H94" s="721"/>
      <c r="I94" s="721"/>
      <c r="J94" s="721"/>
      <c r="K94" s="721"/>
      <c r="L94" s="721"/>
      <c r="M94" s="721"/>
      <c r="N94" s="721"/>
      <c r="O94" s="721"/>
      <c r="P94" s="721"/>
      <c r="Q94" s="721"/>
      <c r="R94" s="721"/>
      <c r="S94" s="741"/>
      <c r="T94" s="721"/>
      <c r="U94" s="741"/>
      <c r="V94" s="721"/>
      <c r="W94" s="741">
        <v>0</v>
      </c>
      <c r="X94" s="741">
        <v>0</v>
      </c>
      <c r="Y94" s="721"/>
      <c r="Z94" s="721"/>
    </row>
    <row r="95" spans="1:26" hidden="1">
      <c r="A95" s="721" t="s">
        <v>689</v>
      </c>
      <c r="B95" s="722">
        <v>7062</v>
      </c>
      <c r="C95" s="721" t="s">
        <v>700</v>
      </c>
      <c r="D95" s="721"/>
      <c r="E95" s="729"/>
      <c r="F95" s="730"/>
      <c r="G95" s="730"/>
      <c r="H95" s="721"/>
      <c r="I95" s="721"/>
      <c r="J95" s="721"/>
      <c r="K95" s="721"/>
      <c r="L95" s="721"/>
      <c r="M95" s="721"/>
      <c r="N95" s="721"/>
      <c r="O95" s="721"/>
      <c r="P95" s="721"/>
      <c r="Q95" s="721"/>
      <c r="R95" s="721"/>
      <c r="S95" s="741"/>
      <c r="T95" s="721"/>
      <c r="U95" s="741"/>
      <c r="V95" s="721"/>
      <c r="W95" s="741">
        <v>0</v>
      </c>
      <c r="X95" s="741">
        <v>0</v>
      </c>
      <c r="Y95" s="721"/>
      <c r="Z95" s="721"/>
    </row>
    <row r="96" spans="1:26" hidden="1">
      <c r="A96" s="721" t="s">
        <v>691</v>
      </c>
      <c r="B96" s="722">
        <v>2462</v>
      </c>
      <c r="C96" s="721" t="s">
        <v>702</v>
      </c>
      <c r="D96" s="721"/>
      <c r="E96" s="729">
        <v>0</v>
      </c>
      <c r="F96" s="730"/>
      <c r="G96" s="730"/>
      <c r="H96" s="721"/>
      <c r="I96" s="721"/>
      <c r="J96" s="721"/>
      <c r="K96" s="721"/>
      <c r="L96" s="721"/>
      <c r="M96" s="721"/>
      <c r="N96" s="721"/>
      <c r="O96" s="721"/>
      <c r="P96" s="721"/>
      <c r="Q96" s="721"/>
      <c r="R96" s="721"/>
      <c r="S96" s="741"/>
      <c r="T96" s="721"/>
      <c r="U96" s="741"/>
      <c r="V96" s="721"/>
      <c r="W96" s="741">
        <v>48013.99</v>
      </c>
      <c r="X96" s="741" t="s">
        <v>1088</v>
      </c>
      <c r="Y96" s="721"/>
      <c r="Z96" s="721"/>
    </row>
    <row r="97" spans="1:26" hidden="1">
      <c r="A97" s="721" t="s">
        <v>693</v>
      </c>
      <c r="B97" s="722">
        <v>7012</v>
      </c>
      <c r="C97" s="721" t="s">
        <v>704</v>
      </c>
      <c r="D97" s="721"/>
      <c r="E97" s="729">
        <v>0</v>
      </c>
      <c r="F97" s="730"/>
      <c r="G97" s="730"/>
      <c r="H97" s="721"/>
      <c r="I97" s="721"/>
      <c r="J97" s="721"/>
      <c r="K97" s="721"/>
      <c r="L97" s="721"/>
      <c r="M97" s="721"/>
      <c r="N97" s="721"/>
      <c r="O97" s="721"/>
      <c r="P97" s="721"/>
      <c r="Q97" s="721"/>
      <c r="R97" s="721"/>
      <c r="S97" s="741"/>
      <c r="T97" s="721"/>
      <c r="U97" s="741"/>
      <c r="V97" s="721"/>
      <c r="W97" s="741">
        <v>15698.26</v>
      </c>
      <c r="X97" s="741" t="s">
        <v>1088</v>
      </c>
      <c r="Y97" s="721"/>
      <c r="Z97" s="721"/>
    </row>
    <row r="98" spans="1:26" hidden="1">
      <c r="A98" s="721" t="s">
        <v>695</v>
      </c>
      <c r="B98" s="722">
        <v>2127</v>
      </c>
      <c r="C98" s="721" t="s">
        <v>708</v>
      </c>
      <c r="D98" s="721"/>
      <c r="E98" s="729">
        <v>0</v>
      </c>
      <c r="F98" s="730"/>
      <c r="G98" s="730"/>
      <c r="H98" s="721"/>
      <c r="I98" s="721"/>
      <c r="J98" s="721"/>
      <c r="K98" s="721"/>
      <c r="L98" s="721"/>
      <c r="M98" s="721"/>
      <c r="N98" s="721"/>
      <c r="O98" s="721"/>
      <c r="P98" s="721"/>
      <c r="Q98" s="721"/>
      <c r="R98" s="721"/>
      <c r="S98" s="741"/>
      <c r="T98" s="721"/>
      <c r="U98" s="741"/>
      <c r="V98" s="721"/>
      <c r="W98" s="741">
        <v>0</v>
      </c>
      <c r="X98" s="741">
        <v>0</v>
      </c>
      <c r="Y98" s="721"/>
      <c r="Z98" s="721"/>
    </row>
    <row r="99" spans="1:26" hidden="1">
      <c r="A99" s="721" t="s">
        <v>697</v>
      </c>
      <c r="B99" s="722">
        <v>2129</v>
      </c>
      <c r="C99" s="721" t="s">
        <v>710</v>
      </c>
      <c r="D99" s="721"/>
      <c r="E99" s="729">
        <v>0</v>
      </c>
      <c r="F99" s="730"/>
      <c r="G99" s="730"/>
      <c r="H99" s="721"/>
      <c r="I99" s="721"/>
      <c r="J99" s="721"/>
      <c r="K99" s="721"/>
      <c r="L99" s="721"/>
      <c r="M99" s="721"/>
      <c r="N99" s="721"/>
      <c r="O99" s="721"/>
      <c r="P99" s="721"/>
      <c r="Q99" s="721"/>
      <c r="R99" s="721"/>
      <c r="S99" s="741"/>
      <c r="T99" s="721"/>
      <c r="U99" s="741"/>
      <c r="V99" s="721"/>
      <c r="W99" s="741">
        <v>0</v>
      </c>
      <c r="X99" s="741">
        <v>0</v>
      </c>
      <c r="Y99" s="721"/>
      <c r="Z99" s="721"/>
    </row>
    <row r="100" spans="1:26" hidden="1">
      <c r="A100" s="721" t="s">
        <v>699</v>
      </c>
      <c r="B100" s="722">
        <v>2128</v>
      </c>
      <c r="C100" s="721" t="s">
        <v>712</v>
      </c>
      <c r="D100" s="721"/>
      <c r="E100" s="729">
        <v>0</v>
      </c>
      <c r="F100" s="730"/>
      <c r="G100" s="730"/>
      <c r="H100" s="721"/>
      <c r="I100" s="721"/>
      <c r="J100" s="721"/>
      <c r="K100" s="721"/>
      <c r="L100" s="721"/>
      <c r="M100" s="721"/>
      <c r="N100" s="721"/>
      <c r="O100" s="721"/>
      <c r="P100" s="721"/>
      <c r="Q100" s="721"/>
      <c r="R100" s="721"/>
      <c r="S100" s="741"/>
      <c r="T100" s="721"/>
      <c r="U100" s="741"/>
      <c r="V100" s="721"/>
      <c r="W100" s="741">
        <v>0</v>
      </c>
      <c r="X100" s="741">
        <v>0</v>
      </c>
      <c r="Y100" s="721"/>
      <c r="Z100" s="721"/>
    </row>
    <row r="101" spans="1:26" hidden="1">
      <c r="A101" s="721" t="s">
        <v>701</v>
      </c>
      <c r="B101" s="722">
        <v>2420</v>
      </c>
      <c r="C101" s="721" t="s">
        <v>714</v>
      </c>
      <c r="D101" s="721"/>
      <c r="E101" s="729">
        <v>0</v>
      </c>
      <c r="F101" s="730"/>
      <c r="G101" s="730"/>
      <c r="H101" s="721"/>
      <c r="I101" s="721"/>
      <c r="J101" s="721"/>
      <c r="K101" s="721"/>
      <c r="L101" s="721"/>
      <c r="M101" s="721"/>
      <c r="N101" s="721"/>
      <c r="O101" s="721"/>
      <c r="P101" s="721"/>
      <c r="Q101" s="721"/>
      <c r="R101" s="721"/>
      <c r="S101" s="741"/>
      <c r="T101" s="721"/>
      <c r="U101" s="741"/>
      <c r="V101" s="721"/>
      <c r="W101" s="741">
        <v>0</v>
      </c>
      <c r="X101" s="741">
        <v>0</v>
      </c>
      <c r="Y101" s="721"/>
      <c r="Z101" s="721"/>
    </row>
    <row r="102" spans="1:26" hidden="1">
      <c r="A102" s="721" t="s">
        <v>903</v>
      </c>
      <c r="B102" s="722">
        <v>2004</v>
      </c>
      <c r="C102" s="721" t="s">
        <v>924</v>
      </c>
      <c r="D102" s="721"/>
      <c r="E102" s="729"/>
      <c r="F102" s="730"/>
      <c r="G102" s="730"/>
      <c r="H102" s="721"/>
      <c r="I102" s="721"/>
      <c r="J102" s="721"/>
      <c r="K102" s="721"/>
      <c r="L102" s="721"/>
      <c r="M102" s="721"/>
      <c r="N102" s="721"/>
      <c r="O102" s="721"/>
      <c r="P102" s="721"/>
      <c r="Q102" s="721"/>
      <c r="R102" s="721"/>
      <c r="S102" s="741"/>
      <c r="T102" s="721"/>
      <c r="U102" s="741"/>
      <c r="V102" s="721"/>
      <c r="W102" s="741">
        <v>36559.22</v>
      </c>
      <c r="X102" s="741" t="s">
        <v>1088</v>
      </c>
      <c r="Y102" s="721"/>
      <c r="Z102" s="721"/>
    </row>
    <row r="103" spans="1:26" hidden="1">
      <c r="A103" s="721" t="s">
        <v>703</v>
      </c>
      <c r="B103" s="722">
        <v>1012</v>
      </c>
      <c r="C103" s="721" t="s">
        <v>716</v>
      </c>
      <c r="D103" s="721"/>
      <c r="E103" s="729">
        <v>0</v>
      </c>
      <c r="F103" s="730"/>
      <c r="G103" s="730"/>
      <c r="H103" s="721"/>
      <c r="I103" s="721"/>
      <c r="J103" s="721"/>
      <c r="K103" s="721"/>
      <c r="L103" s="721"/>
      <c r="M103" s="721"/>
      <c r="N103" s="721"/>
      <c r="O103" s="721"/>
      <c r="P103" s="721"/>
      <c r="Q103" s="721"/>
      <c r="R103" s="721"/>
      <c r="S103" s="741"/>
      <c r="T103" s="721"/>
      <c r="U103" s="741"/>
      <c r="V103" s="721"/>
      <c r="W103" s="741">
        <v>0</v>
      </c>
      <c r="X103" s="741">
        <v>0</v>
      </c>
      <c r="Y103" s="721"/>
      <c r="Z103" s="721"/>
    </row>
    <row r="104" spans="1:26" hidden="1">
      <c r="A104" s="721" t="s">
        <v>705</v>
      </c>
      <c r="B104" s="722">
        <v>2133</v>
      </c>
      <c r="C104" s="721" t="s">
        <v>718</v>
      </c>
      <c r="D104" s="721"/>
      <c r="E104" s="729">
        <v>0</v>
      </c>
      <c r="F104" s="730"/>
      <c r="G104" s="730"/>
      <c r="H104" s="721"/>
      <c r="I104" s="721"/>
      <c r="J104" s="721"/>
      <c r="K104" s="721"/>
      <c r="L104" s="721"/>
      <c r="M104" s="721"/>
      <c r="N104" s="721"/>
      <c r="O104" s="721"/>
      <c r="P104" s="721"/>
      <c r="Q104" s="721"/>
      <c r="R104" s="721"/>
      <c r="S104" s="741"/>
      <c r="T104" s="721"/>
      <c r="U104" s="741"/>
      <c r="V104" s="721"/>
      <c r="W104" s="741">
        <v>26157.279999999999</v>
      </c>
      <c r="X104" s="741" t="s">
        <v>1102</v>
      </c>
      <c r="Y104" s="721"/>
      <c r="Z104" s="721"/>
    </row>
    <row r="105" spans="1:26" hidden="1">
      <c r="A105" s="721" t="s">
        <v>709</v>
      </c>
      <c r="B105" s="722">
        <v>2406</v>
      </c>
      <c r="C105" s="721" t="s">
        <v>720</v>
      </c>
      <c r="D105" s="721"/>
      <c r="E105" s="729">
        <v>0</v>
      </c>
      <c r="F105" s="730"/>
      <c r="G105" s="730"/>
      <c r="H105" s="721"/>
      <c r="I105" s="721"/>
      <c r="J105" s="721"/>
      <c r="K105" s="721"/>
      <c r="L105" s="721"/>
      <c r="M105" s="721"/>
      <c r="N105" s="721"/>
      <c r="O105" s="721"/>
      <c r="P105" s="721"/>
      <c r="Q105" s="721"/>
      <c r="R105" s="721"/>
      <c r="S105" s="741"/>
      <c r="T105" s="721"/>
      <c r="U105" s="741"/>
      <c r="V105" s="721"/>
      <c r="W105" s="741">
        <v>0</v>
      </c>
      <c r="X105" s="741">
        <v>0</v>
      </c>
      <c r="Y105" s="721"/>
      <c r="Z105" s="721"/>
    </row>
    <row r="106" spans="1:26" hidden="1">
      <c r="A106" s="721" t="s">
        <v>711</v>
      </c>
      <c r="B106" s="722">
        <v>2416</v>
      </c>
      <c r="C106" s="721" t="s">
        <v>722</v>
      </c>
      <c r="D106" s="721"/>
      <c r="E106" s="729">
        <v>0</v>
      </c>
      <c r="F106" s="730"/>
      <c r="G106" s="730"/>
      <c r="H106" s="721"/>
      <c r="I106" s="721"/>
      <c r="J106" s="721"/>
      <c r="K106" s="721"/>
      <c r="L106" s="721"/>
      <c r="M106" s="721"/>
      <c r="N106" s="721"/>
      <c r="O106" s="721"/>
      <c r="P106" s="721"/>
      <c r="Q106" s="721"/>
      <c r="R106" s="721"/>
      <c r="S106" s="741"/>
      <c r="T106" s="721"/>
      <c r="U106" s="741"/>
      <c r="V106" s="721"/>
      <c r="W106" s="741">
        <v>0</v>
      </c>
      <c r="X106" s="741">
        <v>0</v>
      </c>
      <c r="Y106" s="721"/>
      <c r="Z106" s="721"/>
    </row>
    <row r="107" spans="1:26" hidden="1">
      <c r="A107" s="721" t="s">
        <v>713</v>
      </c>
      <c r="B107" s="722">
        <v>3003</v>
      </c>
      <c r="C107" s="721" t="s">
        <v>726</v>
      </c>
      <c r="D107" s="721"/>
      <c r="E107" s="729">
        <v>2393.6000000000004</v>
      </c>
      <c r="F107" s="730" t="s">
        <v>1081</v>
      </c>
      <c r="G107" s="730" t="s">
        <v>1112</v>
      </c>
      <c r="H107" s="721"/>
      <c r="I107" s="721"/>
      <c r="J107" s="721"/>
      <c r="K107" s="721"/>
      <c r="L107" s="721"/>
      <c r="M107" s="721"/>
      <c r="N107" s="721"/>
      <c r="O107" s="721"/>
      <c r="P107" s="721"/>
      <c r="Q107" s="721"/>
      <c r="R107" s="721"/>
      <c r="S107" s="741"/>
      <c r="T107" s="721"/>
      <c r="U107" s="741"/>
      <c r="V107" s="721"/>
      <c r="W107" s="741">
        <v>27563.89</v>
      </c>
      <c r="X107" s="741" t="s">
        <v>1088</v>
      </c>
      <c r="Y107" s="721"/>
      <c r="Z107" s="721"/>
    </row>
    <row r="108" spans="1:26" hidden="1">
      <c r="A108" s="721" t="s">
        <v>715</v>
      </c>
      <c r="B108" s="722">
        <v>4245</v>
      </c>
      <c r="C108" s="721" t="s">
        <v>728</v>
      </c>
      <c r="D108" s="721"/>
      <c r="E108" s="729">
        <v>0</v>
      </c>
      <c r="F108" s="730"/>
      <c r="G108" s="730"/>
      <c r="H108" s="721"/>
      <c r="I108" s="721"/>
      <c r="J108" s="721"/>
      <c r="K108" s="721"/>
      <c r="L108" s="721"/>
      <c r="M108" s="721"/>
      <c r="N108" s="721"/>
      <c r="O108" s="721"/>
      <c r="P108" s="721"/>
      <c r="Q108" s="721"/>
      <c r="R108" s="721"/>
      <c r="S108" s="741"/>
      <c r="T108" s="721"/>
      <c r="U108" s="741"/>
      <c r="V108" s="721"/>
      <c r="W108" s="741">
        <v>0</v>
      </c>
      <c r="X108" s="741">
        <v>0</v>
      </c>
      <c r="Y108" s="721"/>
      <c r="Z108" s="721"/>
    </row>
    <row r="109" spans="1:26" hidden="1">
      <c r="A109" s="721" t="s">
        <v>717</v>
      </c>
      <c r="B109" s="722">
        <v>2457</v>
      </c>
      <c r="C109" s="721" t="s">
        <v>730</v>
      </c>
      <c r="D109" s="721"/>
      <c r="E109" s="729">
        <v>0</v>
      </c>
      <c r="F109" s="730"/>
      <c r="G109" s="730"/>
      <c r="H109" s="721"/>
      <c r="I109" s="721"/>
      <c r="J109" s="721"/>
      <c r="K109" s="721"/>
      <c r="L109" s="721"/>
      <c r="M109" s="721"/>
      <c r="N109" s="721"/>
      <c r="O109" s="721"/>
      <c r="P109" s="721"/>
      <c r="Q109" s="721"/>
      <c r="R109" s="721"/>
      <c r="S109" s="741"/>
      <c r="T109" s="721"/>
      <c r="U109" s="741"/>
      <c r="V109" s="721"/>
      <c r="W109" s="741">
        <v>44878.59</v>
      </c>
      <c r="X109" s="741" t="s">
        <v>1088</v>
      </c>
      <c r="Y109" s="721"/>
      <c r="Z109" s="721"/>
    </row>
    <row r="110" spans="1:26" hidden="1">
      <c r="A110" s="721" t="s">
        <v>719</v>
      </c>
      <c r="B110" s="722">
        <v>2142</v>
      </c>
      <c r="C110" s="721" t="s">
        <v>732</v>
      </c>
      <c r="D110" s="721"/>
      <c r="E110" s="729">
        <v>2752.6400000000003</v>
      </c>
      <c r="F110" s="730" t="s">
        <v>1081</v>
      </c>
      <c r="G110" s="730" t="s">
        <v>1103</v>
      </c>
      <c r="H110" s="721"/>
      <c r="I110" s="721"/>
      <c r="J110" s="721"/>
      <c r="K110" s="721"/>
      <c r="L110" s="721"/>
      <c r="M110" s="721"/>
      <c r="N110" s="721"/>
      <c r="O110" s="721"/>
      <c r="P110" s="721"/>
      <c r="Q110" s="721"/>
      <c r="R110" s="721"/>
      <c r="S110" s="741"/>
      <c r="T110" s="721"/>
      <c r="U110" s="741"/>
      <c r="V110" s="721"/>
      <c r="W110" s="741">
        <v>54195.73</v>
      </c>
      <c r="X110" s="741" t="s">
        <v>1088</v>
      </c>
      <c r="Y110" s="721"/>
      <c r="Z110" s="721"/>
    </row>
    <row r="111" spans="1:26" hidden="1">
      <c r="A111" s="721" t="s">
        <v>721</v>
      </c>
      <c r="B111" s="722">
        <v>2469</v>
      </c>
      <c r="C111" s="721" t="s">
        <v>734</v>
      </c>
      <c r="D111" s="721"/>
      <c r="E111" s="729">
        <v>3769.92</v>
      </c>
      <c r="F111" s="730" t="s">
        <v>1081</v>
      </c>
      <c r="G111" s="730" t="s">
        <v>1113</v>
      </c>
      <c r="H111" s="721"/>
      <c r="I111" s="721"/>
      <c r="J111" s="721"/>
      <c r="K111" s="721"/>
      <c r="L111" s="721"/>
      <c r="M111" s="721"/>
      <c r="N111" s="721"/>
      <c r="O111" s="721"/>
      <c r="P111" s="721"/>
      <c r="Q111" s="721"/>
      <c r="R111" s="721"/>
      <c r="S111" s="741"/>
      <c r="T111" s="721"/>
      <c r="U111" s="741"/>
      <c r="V111" s="721"/>
      <c r="W111" s="741">
        <v>0</v>
      </c>
      <c r="X111" s="741">
        <v>0</v>
      </c>
      <c r="Y111" s="721"/>
      <c r="Z111" s="721"/>
    </row>
    <row r="112" spans="1:26" hidden="1">
      <c r="A112" s="721" t="s">
        <v>907</v>
      </c>
      <c r="B112" s="722">
        <v>1028</v>
      </c>
      <c r="C112" s="721" t="s">
        <v>926</v>
      </c>
      <c r="D112" s="721"/>
      <c r="E112" s="729">
        <v>0</v>
      </c>
      <c r="F112" s="730"/>
      <c r="G112" s="730"/>
      <c r="H112" s="721"/>
      <c r="I112" s="721"/>
      <c r="J112" s="721"/>
      <c r="K112" s="721"/>
      <c r="L112" s="721"/>
      <c r="M112" s="721"/>
      <c r="N112" s="721"/>
      <c r="O112" s="721"/>
      <c r="P112" s="721"/>
      <c r="Q112" s="721"/>
      <c r="R112" s="721"/>
      <c r="S112" s="741"/>
      <c r="T112" s="721"/>
      <c r="U112" s="741"/>
      <c r="V112" s="721"/>
      <c r="W112" s="741">
        <v>0</v>
      </c>
      <c r="X112" s="741">
        <v>0</v>
      </c>
      <c r="Y112" s="721"/>
      <c r="Z112" s="721"/>
    </row>
    <row r="113" spans="1:26" hidden="1">
      <c r="A113" s="721" t="s">
        <v>723</v>
      </c>
      <c r="B113" s="722">
        <v>1049</v>
      </c>
      <c r="C113" s="721" t="s">
        <v>736</v>
      </c>
      <c r="D113" s="721"/>
      <c r="E113" s="729">
        <v>1376.3200000000002</v>
      </c>
      <c r="F113" s="730" t="s">
        <v>1081</v>
      </c>
      <c r="G113" s="730" t="s">
        <v>1114</v>
      </c>
      <c r="H113" s="721"/>
      <c r="I113" s="721"/>
      <c r="J113" s="721"/>
      <c r="K113" s="721"/>
      <c r="L113" s="721"/>
      <c r="M113" s="721"/>
      <c r="N113" s="721"/>
      <c r="O113" s="721"/>
      <c r="P113" s="721"/>
      <c r="Q113" s="721"/>
      <c r="R113" s="721"/>
      <c r="S113" s="741"/>
      <c r="T113" s="721"/>
      <c r="U113" s="741"/>
      <c r="V113" s="721"/>
      <c r="W113" s="741">
        <v>0</v>
      </c>
      <c r="X113" s="741">
        <v>0</v>
      </c>
      <c r="Y113" s="721"/>
      <c r="Z113" s="721"/>
    </row>
    <row r="114" spans="1:26" hidden="1">
      <c r="A114" s="721" t="s">
        <v>727</v>
      </c>
      <c r="B114" s="722">
        <v>3351</v>
      </c>
      <c r="C114" s="721" t="s">
        <v>738</v>
      </c>
      <c r="D114" s="721"/>
      <c r="E114" s="729">
        <v>2064.48</v>
      </c>
      <c r="F114" s="730" t="s">
        <v>1081</v>
      </c>
      <c r="G114" s="730" t="s">
        <v>1115</v>
      </c>
      <c r="H114" s="721"/>
      <c r="I114" s="721"/>
      <c r="J114" s="721"/>
      <c r="K114" s="721"/>
      <c r="L114" s="721"/>
      <c r="M114" s="721"/>
      <c r="N114" s="721"/>
      <c r="O114" s="721"/>
      <c r="P114" s="721"/>
      <c r="Q114" s="721"/>
      <c r="R114" s="721"/>
      <c r="S114" s="741"/>
      <c r="T114" s="721"/>
      <c r="U114" s="741"/>
      <c r="V114" s="721"/>
      <c r="W114" s="741">
        <v>23695.19</v>
      </c>
      <c r="X114" s="741" t="s">
        <v>1088</v>
      </c>
      <c r="Y114" s="721"/>
      <c r="Z114" s="721"/>
    </row>
    <row r="115" spans="1:26" hidden="1">
      <c r="A115" s="721" t="s">
        <v>729</v>
      </c>
      <c r="B115" s="722">
        <v>3328</v>
      </c>
      <c r="C115" s="721" t="s">
        <v>740</v>
      </c>
      <c r="D115" s="721"/>
      <c r="E115" s="729">
        <v>0</v>
      </c>
      <c r="F115" s="730"/>
      <c r="G115" s="730"/>
      <c r="H115" s="721"/>
      <c r="I115" s="721"/>
      <c r="J115" s="721"/>
      <c r="K115" s="721"/>
      <c r="L115" s="721"/>
      <c r="M115" s="721"/>
      <c r="N115" s="721"/>
      <c r="O115" s="721"/>
      <c r="P115" s="721"/>
      <c r="Q115" s="721"/>
      <c r="R115" s="721"/>
      <c r="S115" s="741"/>
      <c r="T115" s="721"/>
      <c r="U115" s="741"/>
      <c r="V115" s="721"/>
      <c r="W115" s="741">
        <v>22210.98</v>
      </c>
      <c r="X115" s="741" t="s">
        <v>1088</v>
      </c>
      <c r="Y115" s="721"/>
      <c r="Z115" s="721"/>
    </row>
    <row r="116" spans="1:26" hidden="1">
      <c r="A116" s="721" t="s">
        <v>909</v>
      </c>
      <c r="B116" s="722">
        <v>2150</v>
      </c>
      <c r="C116" s="721" t="s">
        <v>930</v>
      </c>
      <c r="D116" s="721"/>
      <c r="E116" s="729">
        <v>5505.2800000000007</v>
      </c>
      <c r="F116" s="730" t="s">
        <v>1081</v>
      </c>
      <c r="G116" s="730" t="s">
        <v>1116</v>
      </c>
      <c r="H116" s="721"/>
      <c r="I116" s="721"/>
      <c r="J116" s="721"/>
      <c r="K116" s="721"/>
      <c r="L116" s="721"/>
      <c r="M116" s="721"/>
      <c r="N116" s="721"/>
      <c r="O116" s="721"/>
      <c r="P116" s="721"/>
      <c r="Q116" s="721"/>
      <c r="R116" s="721"/>
      <c r="S116" s="741"/>
      <c r="T116" s="721"/>
      <c r="U116" s="741"/>
      <c r="V116" s="721"/>
      <c r="W116" s="741">
        <v>31225.53</v>
      </c>
      <c r="X116" s="741" t="s">
        <v>1088</v>
      </c>
      <c r="Y116" s="721"/>
      <c r="Z116" s="721"/>
    </row>
    <row r="117" spans="1:26" hidden="1">
      <c r="A117" s="721" t="s">
        <v>911</v>
      </c>
      <c r="B117" s="722">
        <v>2425</v>
      </c>
      <c r="C117" s="721" t="s">
        <v>872</v>
      </c>
      <c r="D117" s="721"/>
      <c r="E117" s="729">
        <v>2393.6000000000004</v>
      </c>
      <c r="F117" s="730" t="s">
        <v>1081</v>
      </c>
      <c r="G117" s="730" t="s">
        <v>1112</v>
      </c>
      <c r="H117" s="721"/>
      <c r="I117" s="721"/>
      <c r="J117" s="721"/>
      <c r="K117" s="721"/>
      <c r="L117" s="721"/>
      <c r="M117" s="721"/>
      <c r="N117" s="721"/>
      <c r="O117" s="721"/>
      <c r="P117" s="721"/>
      <c r="Q117" s="721"/>
      <c r="R117" s="721"/>
      <c r="S117" s="741"/>
      <c r="T117" s="721"/>
      <c r="U117" s="741"/>
      <c r="V117" s="721"/>
      <c r="W117" s="741">
        <v>21859.3</v>
      </c>
      <c r="X117" s="741" t="s">
        <v>1088</v>
      </c>
      <c r="Y117" s="721"/>
      <c r="Z117" s="721"/>
    </row>
    <row r="118" spans="1:26" hidden="1">
      <c r="A118" s="721" t="s">
        <v>731</v>
      </c>
      <c r="B118" s="722">
        <v>1008</v>
      </c>
      <c r="C118" s="721" t="s">
        <v>742</v>
      </c>
      <c r="D118" s="721"/>
      <c r="E118" s="729">
        <v>0</v>
      </c>
      <c r="F118" s="730"/>
      <c r="G118" s="730"/>
      <c r="H118" s="721"/>
      <c r="I118" s="721"/>
      <c r="J118" s="721"/>
      <c r="K118" s="721"/>
      <c r="L118" s="721"/>
      <c r="M118" s="721"/>
      <c r="N118" s="721"/>
      <c r="O118" s="721"/>
      <c r="P118" s="721"/>
      <c r="Q118" s="721"/>
      <c r="R118" s="721"/>
      <c r="S118" s="741"/>
      <c r="T118" s="721"/>
      <c r="U118" s="741"/>
      <c r="V118" s="721"/>
      <c r="W118" s="741">
        <v>0</v>
      </c>
      <c r="X118" s="741">
        <v>0</v>
      </c>
      <c r="Y118" s="721"/>
      <c r="Z118" s="721"/>
    </row>
    <row r="119" spans="1:26" hidden="1">
      <c r="A119" s="721" t="s">
        <v>913</v>
      </c>
      <c r="B119" s="722">
        <v>7034</v>
      </c>
      <c r="C119" s="721" t="s">
        <v>936</v>
      </c>
      <c r="D119" s="721"/>
      <c r="E119" s="729">
        <v>0</v>
      </c>
      <c r="F119" s="730"/>
      <c r="G119" s="730"/>
      <c r="H119" s="721"/>
      <c r="I119" s="721"/>
      <c r="J119" s="721"/>
      <c r="K119" s="721"/>
      <c r="L119" s="721"/>
      <c r="M119" s="721"/>
      <c r="N119" s="721"/>
      <c r="O119" s="721"/>
      <c r="P119" s="721"/>
      <c r="Q119" s="721"/>
      <c r="R119" s="721"/>
      <c r="S119" s="741"/>
      <c r="T119" s="721"/>
      <c r="U119" s="741"/>
      <c r="V119" s="721"/>
      <c r="W119" s="741">
        <v>0</v>
      </c>
      <c r="X119" s="741">
        <v>0</v>
      </c>
      <c r="Y119" s="721"/>
      <c r="Z119" s="721"/>
    </row>
    <row r="120" spans="1:26" hidden="1">
      <c r="A120" s="721" t="s">
        <v>733</v>
      </c>
      <c r="B120" s="722">
        <v>4173</v>
      </c>
      <c r="C120" s="721" t="s">
        <v>744</v>
      </c>
      <c r="D120" s="721"/>
      <c r="E120" s="729">
        <v>0</v>
      </c>
      <c r="F120" s="730"/>
      <c r="G120" s="730"/>
      <c r="H120" s="721"/>
      <c r="I120" s="721"/>
      <c r="J120" s="721"/>
      <c r="K120" s="721"/>
      <c r="L120" s="721"/>
      <c r="M120" s="721"/>
      <c r="N120" s="721"/>
      <c r="O120" s="721"/>
      <c r="P120" s="721"/>
      <c r="Q120" s="721"/>
      <c r="R120" s="721"/>
      <c r="S120" s="741"/>
      <c r="T120" s="721"/>
      <c r="U120" s="741"/>
      <c r="V120" s="721"/>
      <c r="W120" s="741">
        <v>0</v>
      </c>
      <c r="X120" s="741">
        <v>0</v>
      </c>
      <c r="Y120" s="721"/>
      <c r="Z120" s="721"/>
    </row>
    <row r="121" spans="1:26" hidden="1">
      <c r="A121" s="721" t="s">
        <v>915</v>
      </c>
      <c r="B121" s="722">
        <v>2157</v>
      </c>
      <c r="C121" s="721" t="s">
        <v>824</v>
      </c>
      <c r="D121" s="721"/>
      <c r="E121" s="729">
        <v>3440.8</v>
      </c>
      <c r="F121" s="730" t="s">
        <v>1081</v>
      </c>
      <c r="G121" s="730" t="s">
        <v>1117</v>
      </c>
      <c r="H121" s="721"/>
      <c r="I121" s="721"/>
      <c r="J121" s="721"/>
      <c r="K121" s="721"/>
      <c r="L121" s="721"/>
      <c r="M121" s="721"/>
      <c r="N121" s="721"/>
      <c r="O121" s="721"/>
      <c r="P121" s="721"/>
      <c r="Q121" s="721"/>
      <c r="R121" s="721"/>
      <c r="S121" s="741"/>
      <c r="T121" s="721"/>
      <c r="U121" s="741"/>
      <c r="V121" s="721"/>
      <c r="W121" s="741">
        <v>0</v>
      </c>
      <c r="X121" s="741">
        <v>0</v>
      </c>
      <c r="Y121" s="721"/>
      <c r="Z121" s="721"/>
    </row>
    <row r="122" spans="1:26" hidden="1">
      <c r="A122" s="721" t="s">
        <v>735</v>
      </c>
      <c r="B122" s="722">
        <v>2159</v>
      </c>
      <c r="C122" s="721" t="s">
        <v>746</v>
      </c>
      <c r="D122" s="721"/>
      <c r="E122" s="729">
        <v>2064.48</v>
      </c>
      <c r="F122" s="730" t="s">
        <v>1081</v>
      </c>
      <c r="G122" s="730" t="s">
        <v>1115</v>
      </c>
      <c r="H122" s="721"/>
      <c r="I122" s="721"/>
      <c r="J122" s="721"/>
      <c r="K122" s="721"/>
      <c r="L122" s="721"/>
      <c r="M122" s="721"/>
      <c r="N122" s="721"/>
      <c r="O122" s="721"/>
      <c r="P122" s="721"/>
      <c r="Q122" s="721"/>
      <c r="R122" s="721"/>
      <c r="S122" s="741"/>
      <c r="T122" s="721"/>
      <c r="U122" s="741"/>
      <c r="V122" s="721"/>
      <c r="W122" s="741">
        <v>0</v>
      </c>
      <c r="X122" s="741">
        <v>0</v>
      </c>
      <c r="Y122" s="721"/>
      <c r="Z122" s="721"/>
    </row>
    <row r="123" spans="1:26" hidden="1">
      <c r="A123" s="721" t="s">
        <v>737</v>
      </c>
      <c r="B123" s="722">
        <v>2161</v>
      </c>
      <c r="C123" s="721" t="s">
        <v>748</v>
      </c>
      <c r="D123" s="721"/>
      <c r="E123" s="729">
        <v>1196.8000000000002</v>
      </c>
      <c r="F123" s="730" t="s">
        <v>1081</v>
      </c>
      <c r="G123" s="730" t="s">
        <v>1118</v>
      </c>
      <c r="H123" s="721"/>
      <c r="I123" s="721"/>
      <c r="J123" s="721"/>
      <c r="K123" s="721"/>
      <c r="L123" s="721"/>
      <c r="M123" s="721"/>
      <c r="N123" s="721"/>
      <c r="O123" s="721"/>
      <c r="P123" s="721"/>
      <c r="Q123" s="721"/>
      <c r="R123" s="721"/>
      <c r="S123" s="741"/>
      <c r="T123" s="721"/>
      <c r="U123" s="741"/>
      <c r="V123" s="721"/>
      <c r="W123" s="741">
        <v>0</v>
      </c>
      <c r="X123" s="741">
        <v>0</v>
      </c>
      <c r="Y123" s="721"/>
      <c r="Z123" s="721"/>
    </row>
    <row r="124" spans="1:26" hidden="1">
      <c r="A124" s="721" t="s">
        <v>739</v>
      </c>
      <c r="B124" s="722">
        <v>2160</v>
      </c>
      <c r="C124" s="721" t="s">
        <v>750</v>
      </c>
      <c r="D124" s="721"/>
      <c r="E124" s="729">
        <v>1840.0800000000002</v>
      </c>
      <c r="F124" s="730" t="s">
        <v>1081</v>
      </c>
      <c r="G124" s="730" t="s">
        <v>1119</v>
      </c>
      <c r="H124" s="721"/>
      <c r="I124" s="721"/>
      <c r="J124" s="721"/>
      <c r="K124" s="721"/>
      <c r="L124" s="721"/>
      <c r="M124" s="721"/>
      <c r="N124" s="721"/>
      <c r="O124" s="721"/>
      <c r="P124" s="721"/>
      <c r="Q124" s="721"/>
      <c r="R124" s="721"/>
      <c r="S124" s="741"/>
      <c r="T124" s="721"/>
      <c r="U124" s="741"/>
      <c r="V124" s="721"/>
      <c r="W124" s="741">
        <v>0</v>
      </c>
      <c r="X124" s="741">
        <v>0</v>
      </c>
      <c r="Y124" s="721"/>
      <c r="Z124" s="721"/>
    </row>
    <row r="125" spans="1:26" hidden="1">
      <c r="A125" s="721" t="s">
        <v>741</v>
      </c>
      <c r="B125" s="722">
        <v>2063</v>
      </c>
      <c r="C125" s="721" t="s">
        <v>752</v>
      </c>
      <c r="D125" s="721"/>
      <c r="E125" s="729"/>
      <c r="F125" s="730"/>
      <c r="G125" s="730"/>
      <c r="H125" s="721"/>
      <c r="I125" s="721"/>
      <c r="J125" s="721"/>
      <c r="K125" s="721"/>
      <c r="L125" s="721"/>
      <c r="M125" s="721"/>
      <c r="N125" s="721"/>
      <c r="O125" s="721"/>
      <c r="P125" s="721"/>
      <c r="Q125" s="721"/>
      <c r="R125" s="721"/>
      <c r="S125" s="741"/>
      <c r="T125" s="721"/>
      <c r="U125" s="741"/>
      <c r="V125" s="721"/>
      <c r="W125" s="741">
        <v>0</v>
      </c>
      <c r="X125" s="741">
        <v>0</v>
      </c>
      <c r="Y125" s="721"/>
      <c r="Z125" s="721"/>
    </row>
    <row r="126" spans="1:26" hidden="1">
      <c r="A126" s="721" t="s">
        <v>743</v>
      </c>
      <c r="B126" s="722">
        <v>1018</v>
      </c>
      <c r="C126" s="721" t="s">
        <v>754</v>
      </c>
      <c r="D126" s="721"/>
      <c r="E126" s="729">
        <v>0</v>
      </c>
      <c r="F126" s="730"/>
      <c r="G126" s="730"/>
      <c r="H126" s="721"/>
      <c r="I126" s="721"/>
      <c r="J126" s="721"/>
      <c r="K126" s="721"/>
      <c r="L126" s="721"/>
      <c r="M126" s="721"/>
      <c r="N126" s="721"/>
      <c r="O126" s="721"/>
      <c r="P126" s="721"/>
      <c r="Q126" s="721"/>
      <c r="R126" s="721"/>
      <c r="S126" s="741"/>
      <c r="T126" s="721"/>
      <c r="U126" s="741"/>
      <c r="V126" s="721"/>
      <c r="W126" s="741">
        <v>0</v>
      </c>
      <c r="X126" s="741">
        <v>0</v>
      </c>
      <c r="Y126" s="721"/>
      <c r="Z126" s="721"/>
    </row>
    <row r="127" spans="1:26" hidden="1">
      <c r="A127" s="721" t="s">
        <v>917</v>
      </c>
      <c r="B127" s="722">
        <v>1000</v>
      </c>
      <c r="C127" s="721" t="s">
        <v>938</v>
      </c>
      <c r="D127" s="721"/>
      <c r="E127" s="729">
        <v>1376.3200000000002</v>
      </c>
      <c r="F127" s="730" t="s">
        <v>1081</v>
      </c>
      <c r="G127" s="730" t="s">
        <v>1114</v>
      </c>
      <c r="H127" s="721"/>
      <c r="I127" s="721"/>
      <c r="J127" s="721"/>
      <c r="K127" s="721"/>
      <c r="L127" s="721"/>
      <c r="M127" s="721"/>
      <c r="N127" s="721"/>
      <c r="O127" s="721"/>
      <c r="P127" s="721"/>
      <c r="Q127" s="721"/>
      <c r="R127" s="721"/>
      <c r="S127" s="741"/>
      <c r="T127" s="721"/>
      <c r="U127" s="741"/>
      <c r="V127" s="721"/>
      <c r="W127" s="741">
        <v>0</v>
      </c>
      <c r="X127" s="741">
        <v>0</v>
      </c>
      <c r="Y127" s="721"/>
      <c r="Z127" s="721"/>
    </row>
    <row r="128" spans="1:26" hidden="1">
      <c r="A128" s="721" t="s">
        <v>745</v>
      </c>
      <c r="B128" s="722">
        <v>7033</v>
      </c>
      <c r="C128" s="721" t="s">
        <v>756</v>
      </c>
      <c r="D128" s="721"/>
      <c r="E128" s="729">
        <v>0</v>
      </c>
      <c r="F128" s="730"/>
      <c r="G128" s="730"/>
      <c r="H128" s="721"/>
      <c r="I128" s="721"/>
      <c r="J128" s="721"/>
      <c r="K128" s="721"/>
      <c r="L128" s="721"/>
      <c r="M128" s="721"/>
      <c r="N128" s="721"/>
      <c r="O128" s="721"/>
      <c r="P128" s="721"/>
      <c r="Q128" s="721"/>
      <c r="R128" s="721"/>
      <c r="S128" s="741">
        <v>1652</v>
      </c>
      <c r="T128" s="721" t="s">
        <v>1090</v>
      </c>
      <c r="U128" s="741" t="s">
        <v>1120</v>
      </c>
      <c r="V128" s="721"/>
      <c r="W128" s="741">
        <v>0</v>
      </c>
      <c r="X128" s="741">
        <v>0</v>
      </c>
      <c r="Y128" s="721"/>
      <c r="Z128" s="721"/>
    </row>
    <row r="129" spans="1:26" hidden="1">
      <c r="A129" s="721" t="s">
        <v>747</v>
      </c>
      <c r="B129" s="722">
        <v>4177</v>
      </c>
      <c r="C129" s="721" t="s">
        <v>758</v>
      </c>
      <c r="D129" s="721"/>
      <c r="E129" s="729">
        <v>0</v>
      </c>
      <c r="F129" s="730"/>
      <c r="G129" s="730"/>
      <c r="H129" s="721"/>
      <c r="I129" s="721"/>
      <c r="J129" s="721"/>
      <c r="K129" s="721"/>
      <c r="L129" s="721"/>
      <c r="M129" s="721"/>
      <c r="N129" s="721"/>
      <c r="O129" s="721"/>
      <c r="P129" s="721"/>
      <c r="Q129" s="721"/>
      <c r="R129" s="721"/>
      <c r="S129" s="741"/>
      <c r="T129" s="721"/>
      <c r="U129" s="741"/>
      <c r="V129" s="721"/>
      <c r="W129" s="741">
        <v>0</v>
      </c>
      <c r="X129" s="741">
        <v>0</v>
      </c>
      <c r="Y129" s="721"/>
      <c r="Z129" s="721"/>
    </row>
    <row r="130" spans="1:26" hidden="1">
      <c r="A130" s="721" t="s">
        <v>749</v>
      </c>
      <c r="B130" s="722">
        <v>2169</v>
      </c>
      <c r="C130" s="721" t="s">
        <v>760</v>
      </c>
      <c r="D130" s="721"/>
      <c r="E130" s="729">
        <v>0</v>
      </c>
      <c r="F130" s="730"/>
      <c r="G130" s="730"/>
      <c r="H130" s="721"/>
      <c r="I130" s="721"/>
      <c r="J130" s="721"/>
      <c r="K130" s="721"/>
      <c r="L130" s="721"/>
      <c r="M130" s="721"/>
      <c r="N130" s="721"/>
      <c r="O130" s="721"/>
      <c r="P130" s="721"/>
      <c r="Q130" s="721"/>
      <c r="R130" s="721"/>
      <c r="S130" s="741"/>
      <c r="T130" s="721"/>
      <c r="U130" s="741"/>
      <c r="V130" s="721"/>
      <c r="W130" s="741">
        <v>48199.27</v>
      </c>
      <c r="X130" s="741" t="s">
        <v>1088</v>
      </c>
      <c r="Y130" s="721"/>
      <c r="Z130" s="721"/>
    </row>
    <row r="131" spans="1:26" hidden="1">
      <c r="A131" s="721" t="s">
        <v>751</v>
      </c>
      <c r="B131" s="722">
        <v>2008</v>
      </c>
      <c r="C131" s="721" t="s">
        <v>762</v>
      </c>
      <c r="D131" s="721"/>
      <c r="E131" s="729">
        <v>0</v>
      </c>
      <c r="F131" s="730"/>
      <c r="G131" s="730"/>
      <c r="H131" s="721"/>
      <c r="I131" s="721"/>
      <c r="J131" s="721"/>
      <c r="K131" s="721"/>
      <c r="L131" s="721"/>
      <c r="M131" s="721"/>
      <c r="N131" s="721"/>
      <c r="O131" s="721"/>
      <c r="P131" s="721"/>
      <c r="Q131" s="721"/>
      <c r="R131" s="721"/>
      <c r="S131" s="741"/>
      <c r="T131" s="721"/>
      <c r="U131" s="741"/>
      <c r="V131" s="721"/>
      <c r="W131" s="741">
        <v>55517.26</v>
      </c>
      <c r="X131" s="741" t="s">
        <v>1088</v>
      </c>
      <c r="Y131" s="721"/>
      <c r="Z131" s="721"/>
    </row>
    <row r="132" spans="1:26" hidden="1">
      <c r="A132" s="721" t="s">
        <v>753</v>
      </c>
      <c r="B132" s="722">
        <v>1038</v>
      </c>
      <c r="C132" s="721" t="s">
        <v>764</v>
      </c>
      <c r="D132" s="721"/>
      <c r="E132" s="729">
        <v>0</v>
      </c>
      <c r="F132" s="730"/>
      <c r="G132" s="730"/>
      <c r="H132" s="721"/>
      <c r="I132" s="721"/>
      <c r="J132" s="721"/>
      <c r="K132" s="721"/>
      <c r="L132" s="721"/>
      <c r="M132" s="721"/>
      <c r="N132" s="721"/>
      <c r="O132" s="721"/>
      <c r="P132" s="721"/>
      <c r="Q132" s="721"/>
      <c r="R132" s="721"/>
      <c r="S132" s="741"/>
      <c r="T132" s="721"/>
      <c r="U132" s="741"/>
      <c r="V132" s="721"/>
      <c r="W132" s="741">
        <v>11656.33</v>
      </c>
      <c r="X132" s="741" t="s">
        <v>1088</v>
      </c>
      <c r="Y132" s="721"/>
      <c r="Z132" s="721"/>
    </row>
    <row r="133" spans="1:26" hidden="1">
      <c r="A133" s="721" t="s">
        <v>755</v>
      </c>
      <c r="B133" s="722">
        <v>2174</v>
      </c>
      <c r="C133" s="721" t="s">
        <v>766</v>
      </c>
      <c r="D133" s="721"/>
      <c r="E133" s="729">
        <v>0</v>
      </c>
      <c r="F133" s="730"/>
      <c r="G133" s="730"/>
      <c r="H133" s="721"/>
      <c r="I133" s="721"/>
      <c r="J133" s="721"/>
      <c r="K133" s="721"/>
      <c r="L133" s="721"/>
      <c r="M133" s="721"/>
      <c r="N133" s="721"/>
      <c r="O133" s="721"/>
      <c r="P133" s="721"/>
      <c r="Q133" s="721"/>
      <c r="R133" s="721"/>
      <c r="S133" s="741"/>
      <c r="T133" s="721"/>
      <c r="U133" s="741"/>
      <c r="V133" s="721"/>
      <c r="W133" s="741">
        <v>0</v>
      </c>
      <c r="X133" s="741">
        <v>0</v>
      </c>
      <c r="Y133" s="721"/>
      <c r="Z133" s="721"/>
    </row>
    <row r="134" spans="1:26" hidden="1">
      <c r="A134" s="721" t="s">
        <v>757</v>
      </c>
      <c r="B134" s="722">
        <v>2176</v>
      </c>
      <c r="C134" s="721" t="s">
        <v>768</v>
      </c>
      <c r="D134" s="721"/>
      <c r="E134" s="729">
        <v>0</v>
      </c>
      <c r="F134" s="730"/>
      <c r="G134" s="730"/>
      <c r="H134" s="721"/>
      <c r="I134" s="721"/>
      <c r="J134" s="721"/>
      <c r="K134" s="721"/>
      <c r="L134" s="721"/>
      <c r="M134" s="721"/>
      <c r="N134" s="721"/>
      <c r="O134" s="721"/>
      <c r="P134" s="721"/>
      <c r="Q134" s="721"/>
      <c r="R134" s="721"/>
      <c r="S134" s="741"/>
      <c r="T134" s="721"/>
      <c r="U134" s="741"/>
      <c r="V134" s="721"/>
      <c r="W134" s="741">
        <v>0</v>
      </c>
      <c r="X134" s="741">
        <v>0</v>
      </c>
      <c r="Y134" s="721"/>
      <c r="Z134" s="721"/>
    </row>
    <row r="135" spans="1:26" hidden="1">
      <c r="A135" s="721" t="s">
        <v>759</v>
      </c>
      <c r="B135" s="722">
        <v>7047</v>
      </c>
      <c r="C135" s="721" t="s">
        <v>770</v>
      </c>
      <c r="D135" s="721"/>
      <c r="E135" s="729">
        <v>0</v>
      </c>
      <c r="F135" s="730"/>
      <c r="G135" s="730"/>
      <c r="H135" s="721"/>
      <c r="I135" s="721"/>
      <c r="J135" s="721"/>
      <c r="K135" s="721"/>
      <c r="L135" s="721"/>
      <c r="M135" s="721"/>
      <c r="N135" s="721"/>
      <c r="O135" s="721"/>
      <c r="P135" s="721"/>
      <c r="Q135" s="721"/>
      <c r="R135" s="721"/>
      <c r="S135" s="741"/>
      <c r="T135" s="721"/>
      <c r="U135" s="741"/>
      <c r="V135" s="721"/>
      <c r="W135" s="741">
        <v>0</v>
      </c>
      <c r="X135" s="741">
        <v>0</v>
      </c>
      <c r="Y135" s="721"/>
      <c r="Z135" s="721"/>
    </row>
    <row r="136" spans="1:26" hidden="1">
      <c r="A136" s="721" t="s">
        <v>761</v>
      </c>
      <c r="B136" s="722">
        <v>3410</v>
      </c>
      <c r="C136" s="721" t="s">
        <v>772</v>
      </c>
      <c r="D136" s="721"/>
      <c r="E136" s="729">
        <v>2109.36</v>
      </c>
      <c r="F136" s="730" t="s">
        <v>1081</v>
      </c>
      <c r="G136" s="730" t="s">
        <v>1121</v>
      </c>
      <c r="H136" s="721"/>
      <c r="I136" s="721"/>
      <c r="J136" s="721"/>
      <c r="K136" s="721"/>
      <c r="L136" s="721"/>
      <c r="M136" s="721"/>
      <c r="N136" s="721"/>
      <c r="O136" s="721"/>
      <c r="P136" s="721"/>
      <c r="Q136" s="721"/>
      <c r="R136" s="721"/>
      <c r="S136" s="741"/>
      <c r="T136" s="721"/>
      <c r="U136" s="741"/>
      <c r="V136" s="721"/>
      <c r="W136" s="741">
        <v>22124.080000000002</v>
      </c>
      <c r="X136" s="741" t="s">
        <v>1088</v>
      </c>
      <c r="Y136" s="721"/>
      <c r="Z136" s="721"/>
    </row>
    <row r="137" spans="1:26" hidden="1">
      <c r="A137" s="721" t="s">
        <v>763</v>
      </c>
      <c r="B137" s="722">
        <v>3381</v>
      </c>
      <c r="C137" s="721" t="s">
        <v>774</v>
      </c>
      <c r="D137" s="721"/>
      <c r="E137" s="729">
        <v>1226.72</v>
      </c>
      <c r="F137" s="730" t="s">
        <v>1081</v>
      </c>
      <c r="G137" s="730" t="s">
        <v>1122</v>
      </c>
      <c r="H137" s="721"/>
      <c r="I137" s="721"/>
      <c r="J137" s="721"/>
      <c r="K137" s="721"/>
      <c r="L137" s="721"/>
      <c r="M137" s="721"/>
      <c r="N137" s="721"/>
      <c r="O137" s="721"/>
      <c r="P137" s="721"/>
      <c r="Q137" s="721"/>
      <c r="R137" s="721"/>
      <c r="S137" s="741"/>
      <c r="T137" s="721"/>
      <c r="U137" s="741"/>
      <c r="V137" s="721"/>
      <c r="W137" s="741">
        <v>21217.87</v>
      </c>
      <c r="X137" s="741" t="s">
        <v>1088</v>
      </c>
      <c r="Y137" s="721"/>
      <c r="Z137" s="721"/>
    </row>
    <row r="138" spans="1:26" hidden="1">
      <c r="A138" s="721" t="s">
        <v>765</v>
      </c>
      <c r="B138" s="722">
        <v>3335</v>
      </c>
      <c r="C138" s="721" t="s">
        <v>776</v>
      </c>
      <c r="D138" s="721"/>
      <c r="E138" s="729">
        <v>1376.3200000000002</v>
      </c>
      <c r="F138" s="730" t="s">
        <v>1081</v>
      </c>
      <c r="G138" s="730" t="s">
        <v>1114</v>
      </c>
      <c r="H138" s="721"/>
      <c r="I138" s="721"/>
      <c r="J138" s="721"/>
      <c r="K138" s="721"/>
      <c r="L138" s="721"/>
      <c r="M138" s="721"/>
      <c r="N138" s="721"/>
      <c r="O138" s="721"/>
      <c r="P138" s="721"/>
      <c r="Q138" s="721"/>
      <c r="R138" s="721"/>
      <c r="S138" s="741"/>
      <c r="T138" s="721"/>
      <c r="U138" s="741"/>
      <c r="V138" s="721"/>
      <c r="W138" s="741">
        <v>26517.27</v>
      </c>
      <c r="X138" s="741" t="s">
        <v>1088</v>
      </c>
      <c r="Y138" s="721"/>
      <c r="Z138" s="721"/>
    </row>
    <row r="139" spans="1:26" hidden="1">
      <c r="A139" s="721" t="s">
        <v>767</v>
      </c>
      <c r="B139" s="722">
        <v>2183</v>
      </c>
      <c r="C139" s="721" t="s">
        <v>778</v>
      </c>
      <c r="D139" s="721"/>
      <c r="E139" s="729">
        <v>2752.6400000000003</v>
      </c>
      <c r="F139" s="730" t="s">
        <v>1081</v>
      </c>
      <c r="G139" s="730" t="s">
        <v>1103</v>
      </c>
      <c r="H139" s="721"/>
      <c r="I139" s="721"/>
      <c r="J139" s="721"/>
      <c r="K139" s="721"/>
      <c r="L139" s="721"/>
      <c r="M139" s="721"/>
      <c r="N139" s="721"/>
      <c r="O139" s="721"/>
      <c r="P139" s="721"/>
      <c r="Q139" s="721"/>
      <c r="R139" s="721"/>
      <c r="S139" s="741"/>
      <c r="T139" s="721"/>
      <c r="U139" s="741"/>
      <c r="V139" s="721"/>
      <c r="W139" s="741">
        <v>37350.89</v>
      </c>
      <c r="X139" s="741" t="s">
        <v>1088</v>
      </c>
      <c r="Y139" s="721"/>
      <c r="Z139" s="721"/>
    </row>
    <row r="140" spans="1:26" hidden="1">
      <c r="A140" s="721" t="s">
        <v>769</v>
      </c>
      <c r="B140" s="722">
        <v>3372</v>
      </c>
      <c r="C140" s="721" t="s">
        <v>780</v>
      </c>
      <c r="D140" s="721"/>
      <c r="E140" s="729">
        <v>4817.12</v>
      </c>
      <c r="F140" s="730" t="s">
        <v>1081</v>
      </c>
      <c r="G140" s="730" t="s">
        <v>1123</v>
      </c>
      <c r="H140" s="721"/>
      <c r="I140" s="721"/>
      <c r="J140" s="721"/>
      <c r="K140" s="721"/>
      <c r="L140" s="721"/>
      <c r="M140" s="721"/>
      <c r="N140" s="721"/>
      <c r="O140" s="721"/>
      <c r="P140" s="741">
        <v>2844.59</v>
      </c>
      <c r="Q140" s="721" t="s">
        <v>1124</v>
      </c>
      <c r="R140" s="721"/>
      <c r="S140" s="741"/>
      <c r="T140" s="721"/>
      <c r="U140" s="741"/>
      <c r="V140" s="721"/>
      <c r="W140" s="741">
        <v>63056.38</v>
      </c>
      <c r="X140" s="741" t="s">
        <v>1088</v>
      </c>
      <c r="Y140" s="721"/>
      <c r="Z140" s="721"/>
    </row>
    <row r="141" spans="1:26" hidden="1">
      <c r="A141" s="721" t="s">
        <v>771</v>
      </c>
      <c r="B141" s="722">
        <v>3375</v>
      </c>
      <c r="C141" s="721" t="s">
        <v>782</v>
      </c>
      <c r="D141" s="721"/>
      <c r="E141" s="729">
        <v>0</v>
      </c>
      <c r="F141" s="730"/>
      <c r="G141" s="730"/>
      <c r="H141" s="721"/>
      <c r="I141" s="721"/>
      <c r="J141" s="721"/>
      <c r="K141" s="721"/>
      <c r="L141" s="721"/>
      <c r="M141" s="721"/>
      <c r="N141" s="721"/>
      <c r="O141" s="721"/>
      <c r="P141" s="721"/>
      <c r="Q141" s="721"/>
      <c r="R141" s="721"/>
      <c r="S141" s="741"/>
      <c r="T141" s="721"/>
      <c r="U141" s="741"/>
      <c r="V141" s="721"/>
      <c r="W141" s="741">
        <v>49277.59</v>
      </c>
      <c r="X141" s="741" t="s">
        <v>1088</v>
      </c>
      <c r="Y141" s="721"/>
      <c r="Z141" s="721"/>
    </row>
    <row r="142" spans="1:26" hidden="1">
      <c r="A142" s="721" t="s">
        <v>773</v>
      </c>
      <c r="B142" s="722">
        <v>3331</v>
      </c>
      <c r="C142" s="721" t="s">
        <v>784</v>
      </c>
      <c r="D142" s="721"/>
      <c r="E142" s="729">
        <v>2154.2400000000002</v>
      </c>
      <c r="F142" s="730" t="s">
        <v>1081</v>
      </c>
      <c r="G142" s="730" t="s">
        <v>1125</v>
      </c>
      <c r="H142" s="721"/>
      <c r="I142" s="721"/>
      <c r="J142" s="721"/>
      <c r="K142" s="721"/>
      <c r="L142" s="721"/>
      <c r="M142" s="721"/>
      <c r="N142" s="721"/>
      <c r="O142" s="721"/>
      <c r="P142" s="721"/>
      <c r="Q142" s="721"/>
      <c r="R142" s="721"/>
      <c r="S142" s="741"/>
      <c r="T142" s="721"/>
      <c r="U142" s="741"/>
      <c r="V142" s="721"/>
      <c r="W142" s="741">
        <v>29978.89</v>
      </c>
      <c r="X142" s="741" t="s">
        <v>1088</v>
      </c>
      <c r="Y142" s="721"/>
      <c r="Z142" s="721"/>
    </row>
    <row r="143" spans="1:26" hidden="1">
      <c r="A143" s="721" t="s">
        <v>775</v>
      </c>
      <c r="B143" s="722">
        <v>3386</v>
      </c>
      <c r="C143" s="721" t="s">
        <v>786</v>
      </c>
      <c r="D143" s="721"/>
      <c r="E143" s="729">
        <v>2064.48</v>
      </c>
      <c r="F143" s="730" t="s">
        <v>1081</v>
      </c>
      <c r="G143" s="730" t="s">
        <v>1115</v>
      </c>
      <c r="H143" s="721"/>
      <c r="I143" s="721"/>
      <c r="J143" s="721"/>
      <c r="K143" s="721"/>
      <c r="L143" s="721"/>
      <c r="M143" s="721"/>
      <c r="N143" s="721"/>
      <c r="O143" s="721"/>
      <c r="P143" s="721"/>
      <c r="Q143" s="721"/>
      <c r="R143" s="721"/>
      <c r="S143" s="741"/>
      <c r="T143" s="721"/>
      <c r="U143" s="741"/>
      <c r="V143" s="721"/>
      <c r="W143" s="741">
        <v>30825.439999999999</v>
      </c>
      <c r="X143" s="741" t="s">
        <v>1088</v>
      </c>
      <c r="Y143" s="721"/>
      <c r="Z143" s="721"/>
    </row>
    <row r="144" spans="1:26" hidden="1">
      <c r="A144" s="721" t="s">
        <v>777</v>
      </c>
      <c r="B144" s="722">
        <v>3363</v>
      </c>
      <c r="C144" s="721" t="s">
        <v>788</v>
      </c>
      <c r="D144" s="721"/>
      <c r="E144" s="729">
        <v>0</v>
      </c>
      <c r="F144" s="730"/>
      <c r="G144" s="730"/>
      <c r="H144" s="721"/>
      <c r="I144" s="721"/>
      <c r="J144" s="721"/>
      <c r="K144" s="721"/>
      <c r="L144" s="721"/>
      <c r="M144" s="721"/>
      <c r="N144" s="721"/>
      <c r="O144" s="721"/>
      <c r="P144" s="721"/>
      <c r="Q144" s="721"/>
      <c r="R144" s="721"/>
      <c r="S144" s="741"/>
      <c r="T144" s="721"/>
      <c r="U144" s="741"/>
      <c r="V144" s="721"/>
      <c r="W144" s="741">
        <v>0</v>
      </c>
      <c r="X144" s="741">
        <v>0</v>
      </c>
      <c r="Y144" s="721"/>
      <c r="Z144" s="721"/>
    </row>
    <row r="145" spans="1:26" hidden="1">
      <c r="A145" s="721" t="s">
        <v>779</v>
      </c>
      <c r="B145" s="722">
        <v>3355</v>
      </c>
      <c r="C145" s="721" t="s">
        <v>790</v>
      </c>
      <c r="D145" s="721"/>
      <c r="E145" s="729">
        <v>0</v>
      </c>
      <c r="F145" s="730"/>
      <c r="G145" s="730"/>
      <c r="H145" s="721"/>
      <c r="I145" s="721"/>
      <c r="J145" s="721"/>
      <c r="K145" s="721"/>
      <c r="L145" s="721"/>
      <c r="M145" s="721"/>
      <c r="N145" s="721"/>
      <c r="O145" s="721"/>
      <c r="P145" s="721"/>
      <c r="Q145" s="721"/>
      <c r="R145" s="721"/>
      <c r="S145" s="741"/>
      <c r="T145" s="721"/>
      <c r="U145" s="741"/>
      <c r="V145" s="721"/>
      <c r="W145" s="741">
        <v>40662.54</v>
      </c>
      <c r="X145" s="741" t="s">
        <v>1088</v>
      </c>
      <c r="Y145" s="721"/>
      <c r="Z145" s="721"/>
    </row>
    <row r="146" spans="1:26" hidden="1">
      <c r="A146" s="721" t="s">
        <v>781</v>
      </c>
      <c r="B146" s="722">
        <v>3367</v>
      </c>
      <c r="C146" s="721" t="s">
        <v>792</v>
      </c>
      <c r="D146" s="721"/>
      <c r="E146" s="729">
        <v>2393.6000000000004</v>
      </c>
      <c r="F146" s="730" t="s">
        <v>1081</v>
      </c>
      <c r="G146" s="730" t="s">
        <v>1112</v>
      </c>
      <c r="H146" s="721"/>
      <c r="I146" s="721"/>
      <c r="J146" s="721"/>
      <c r="K146" s="721"/>
      <c r="L146" s="721"/>
      <c r="M146" s="721"/>
      <c r="N146" s="721"/>
      <c r="O146" s="721"/>
      <c r="P146" s="721"/>
      <c r="Q146" s="721"/>
      <c r="R146" s="721"/>
      <c r="S146" s="741"/>
      <c r="T146" s="721"/>
      <c r="U146" s="741"/>
      <c r="V146" s="721"/>
      <c r="W146" s="741">
        <v>25290.87</v>
      </c>
      <c r="X146" s="741" t="s">
        <v>1088</v>
      </c>
      <c r="Y146" s="721"/>
      <c r="Z146" s="721"/>
    </row>
    <row r="147" spans="1:26" hidden="1">
      <c r="A147" s="721" t="s">
        <v>783</v>
      </c>
      <c r="B147" s="722">
        <v>3010</v>
      </c>
      <c r="C147" s="721" t="s">
        <v>794</v>
      </c>
      <c r="D147" s="721"/>
      <c r="E147" s="729">
        <v>0</v>
      </c>
      <c r="F147" s="730"/>
      <c r="G147" s="730"/>
      <c r="H147" s="721"/>
      <c r="I147" s="721"/>
      <c r="J147" s="721"/>
      <c r="K147" s="721"/>
      <c r="L147" s="721"/>
      <c r="M147" s="721"/>
      <c r="N147" s="721"/>
      <c r="O147" s="721"/>
      <c r="P147" s="721"/>
      <c r="Q147" s="721"/>
      <c r="R147" s="721"/>
      <c r="S147" s="741">
        <v>1298</v>
      </c>
      <c r="T147" s="721" t="s">
        <v>1090</v>
      </c>
      <c r="U147" s="741" t="s">
        <v>1108</v>
      </c>
      <c r="V147" s="721"/>
      <c r="W147" s="741">
        <v>0</v>
      </c>
      <c r="X147" s="741">
        <v>0</v>
      </c>
      <c r="Y147" s="721"/>
      <c r="Z147" s="721"/>
    </row>
    <row r="148" spans="1:26" hidden="1">
      <c r="A148" s="721" t="s">
        <v>785</v>
      </c>
      <c r="B148" s="722">
        <v>4625</v>
      </c>
      <c r="C148" s="721" t="s">
        <v>796</v>
      </c>
      <c r="D148" s="721"/>
      <c r="E148" s="729">
        <v>0</v>
      </c>
      <c r="F148" s="730"/>
      <c r="G148" s="730"/>
      <c r="H148" s="721"/>
      <c r="I148" s="721"/>
      <c r="J148" s="721"/>
      <c r="K148" s="721"/>
      <c r="L148" s="721"/>
      <c r="M148" s="721"/>
      <c r="N148" s="721"/>
      <c r="O148" s="721"/>
      <c r="P148" s="721"/>
      <c r="Q148" s="721"/>
      <c r="R148" s="721"/>
      <c r="S148" s="741"/>
      <c r="T148" s="721"/>
      <c r="U148" s="741"/>
      <c r="V148" s="721"/>
      <c r="W148" s="741">
        <v>0</v>
      </c>
      <c r="X148" s="741">
        <v>0</v>
      </c>
      <c r="Y148" s="721"/>
      <c r="Z148" s="721"/>
    </row>
    <row r="149" spans="1:26" hidden="1">
      <c r="A149" s="721" t="s">
        <v>787</v>
      </c>
      <c r="B149" s="722">
        <v>3377</v>
      </c>
      <c r="C149" s="721" t="s">
        <v>798</v>
      </c>
      <c r="D149" s="721"/>
      <c r="E149" s="729">
        <v>0</v>
      </c>
      <c r="F149" s="730"/>
      <c r="G149" s="730"/>
      <c r="H149" s="721"/>
      <c r="I149" s="721"/>
      <c r="J149" s="721"/>
      <c r="K149" s="721"/>
      <c r="L149" s="721"/>
      <c r="M149" s="721"/>
      <c r="N149" s="721"/>
      <c r="O149" s="721"/>
      <c r="P149" s="721"/>
      <c r="Q149" s="721"/>
      <c r="R149" s="721"/>
      <c r="S149" s="741"/>
      <c r="T149" s="721"/>
      <c r="U149" s="741"/>
      <c r="V149" s="721"/>
      <c r="W149" s="741">
        <v>26678.85</v>
      </c>
      <c r="X149" s="741" t="s">
        <v>1088</v>
      </c>
      <c r="Y149" s="721"/>
      <c r="Z149" s="721"/>
    </row>
    <row r="150" spans="1:26" hidden="1">
      <c r="A150" s="721" t="s">
        <v>789</v>
      </c>
      <c r="B150" s="722">
        <v>3371</v>
      </c>
      <c r="C150" s="721" t="s">
        <v>800</v>
      </c>
      <c r="D150" s="721"/>
      <c r="E150" s="729">
        <v>0</v>
      </c>
      <c r="F150" s="730"/>
      <c r="G150" s="730"/>
      <c r="H150" s="721"/>
      <c r="I150" s="721"/>
      <c r="J150" s="721"/>
      <c r="K150" s="721"/>
      <c r="L150" s="721"/>
      <c r="M150" s="721"/>
      <c r="N150" s="721"/>
      <c r="O150" s="721"/>
      <c r="P150" s="721"/>
      <c r="Q150" s="721"/>
      <c r="R150" s="721"/>
      <c r="S150" s="741"/>
      <c r="T150" s="721"/>
      <c r="U150" s="741"/>
      <c r="V150" s="721"/>
      <c r="W150" s="741">
        <v>0</v>
      </c>
      <c r="X150" s="741">
        <v>0</v>
      </c>
      <c r="Y150" s="721"/>
      <c r="Z150" s="721"/>
    </row>
    <row r="151" spans="1:26" hidden="1">
      <c r="A151" s="721" t="s">
        <v>791</v>
      </c>
      <c r="B151" s="722">
        <v>3307</v>
      </c>
      <c r="C151" s="721" t="s">
        <v>802</v>
      </c>
      <c r="D151" s="721"/>
      <c r="E151" s="729">
        <v>2513.2800000000002</v>
      </c>
      <c r="F151" s="730" t="s">
        <v>1081</v>
      </c>
      <c r="G151" s="730" t="s">
        <v>1126</v>
      </c>
      <c r="H151" s="721"/>
      <c r="I151" s="721"/>
      <c r="J151" s="721"/>
      <c r="K151" s="721"/>
      <c r="L151" s="721"/>
      <c r="M151" s="721"/>
      <c r="N151" s="721"/>
      <c r="O151" s="721"/>
      <c r="P151" s="721"/>
      <c r="Q151" s="721"/>
      <c r="R151" s="721"/>
      <c r="S151" s="741"/>
      <c r="T151" s="721"/>
      <c r="U151" s="741"/>
      <c r="V151" s="721"/>
      <c r="W151" s="741">
        <v>0</v>
      </c>
      <c r="X151" s="741">
        <v>0</v>
      </c>
      <c r="Y151" s="721"/>
      <c r="Z151" s="721"/>
    </row>
    <row r="152" spans="1:26" hidden="1">
      <c r="A152" s="721" t="s">
        <v>793</v>
      </c>
      <c r="B152" s="722">
        <v>3361</v>
      </c>
      <c r="C152" s="721" t="s">
        <v>804</v>
      </c>
      <c r="D152" s="721"/>
      <c r="E152" s="729">
        <v>2393.6000000000004</v>
      </c>
      <c r="F152" s="730" t="s">
        <v>1081</v>
      </c>
      <c r="G152" s="730" t="s">
        <v>1112</v>
      </c>
      <c r="H152" s="721"/>
      <c r="I152" s="721"/>
      <c r="J152" s="721"/>
      <c r="K152" s="721"/>
      <c r="L152" s="721"/>
      <c r="M152" s="721"/>
      <c r="N152" s="721"/>
      <c r="O152" s="721"/>
      <c r="P152" s="721"/>
      <c r="Q152" s="721"/>
      <c r="R152" s="721"/>
      <c r="S152" s="741">
        <v>2596</v>
      </c>
      <c r="T152" s="721" t="s">
        <v>1090</v>
      </c>
      <c r="U152" s="741" t="s">
        <v>1110</v>
      </c>
      <c r="V152" s="721"/>
      <c r="W152" s="741">
        <v>38824.21</v>
      </c>
      <c r="X152" s="741" t="s">
        <v>1088</v>
      </c>
      <c r="Y152" s="721"/>
      <c r="Z152" s="721"/>
    </row>
    <row r="153" spans="1:26" hidden="1">
      <c r="A153" s="721" t="s">
        <v>925</v>
      </c>
      <c r="B153" s="722">
        <v>3382</v>
      </c>
      <c r="C153" s="721" t="s">
        <v>874</v>
      </c>
      <c r="D153" s="721"/>
      <c r="E153" s="729">
        <v>1795.2</v>
      </c>
      <c r="F153" s="730" t="s">
        <v>1081</v>
      </c>
      <c r="G153" s="730" t="s">
        <v>1127</v>
      </c>
      <c r="H153" s="721"/>
      <c r="I153" s="721"/>
      <c r="J153" s="721"/>
      <c r="K153" s="721"/>
      <c r="L153" s="721"/>
      <c r="M153" s="721"/>
      <c r="N153" s="721"/>
      <c r="O153" s="721"/>
      <c r="P153" s="721"/>
      <c r="Q153" s="721"/>
      <c r="R153" s="721"/>
      <c r="S153" s="741"/>
      <c r="T153" s="721"/>
      <c r="U153" s="741"/>
      <c r="V153" s="721"/>
      <c r="W153" s="741">
        <v>26924.57</v>
      </c>
      <c r="X153" s="741" t="s">
        <v>1088</v>
      </c>
      <c r="Y153" s="721"/>
      <c r="Z153" s="721"/>
    </row>
    <row r="154" spans="1:26" hidden="1">
      <c r="A154" s="721" t="s">
        <v>795</v>
      </c>
      <c r="B154" s="722">
        <v>3344</v>
      </c>
      <c r="C154" s="721" t="s">
        <v>806</v>
      </c>
      <c r="D154" s="721"/>
      <c r="E154" s="729">
        <v>1196.8000000000002</v>
      </c>
      <c r="F154" s="730" t="s">
        <v>1081</v>
      </c>
      <c r="G154" s="730" t="s">
        <v>1118</v>
      </c>
      <c r="H154" s="721"/>
      <c r="I154" s="721"/>
      <c r="J154" s="721"/>
      <c r="K154" s="721"/>
      <c r="L154" s="721"/>
      <c r="M154" s="721"/>
      <c r="N154" s="721"/>
      <c r="O154" s="721"/>
      <c r="P154" s="721"/>
      <c r="Q154" s="721"/>
      <c r="R154" s="721"/>
      <c r="S154" s="741"/>
      <c r="T154" s="721"/>
      <c r="U154" s="741"/>
      <c r="V154" s="721"/>
      <c r="W154" s="741">
        <v>37605.980000000003</v>
      </c>
      <c r="X154" s="741" t="s">
        <v>1088</v>
      </c>
      <c r="Y154" s="721"/>
      <c r="Z154" s="721"/>
    </row>
    <row r="155" spans="1:26" hidden="1">
      <c r="A155" s="721" t="s">
        <v>797</v>
      </c>
      <c r="B155" s="722">
        <v>3025</v>
      </c>
      <c r="C155" s="721" t="s">
        <v>808</v>
      </c>
      <c r="D155" s="721"/>
      <c r="E155" s="729">
        <v>0</v>
      </c>
      <c r="F155" s="730"/>
      <c r="G155" s="730"/>
      <c r="H155" s="721"/>
      <c r="I155" s="721"/>
      <c r="J155" s="721"/>
      <c r="K155" s="721"/>
      <c r="L155" s="721"/>
      <c r="M155" s="721"/>
      <c r="N155" s="721"/>
      <c r="O155" s="721"/>
      <c r="P155" s="721"/>
      <c r="Q155" s="721"/>
      <c r="R155" s="721"/>
      <c r="S155" s="741"/>
      <c r="T155" s="721"/>
      <c r="U155" s="741"/>
      <c r="V155" s="721"/>
      <c r="W155" s="741">
        <v>0</v>
      </c>
      <c r="X155" s="741">
        <v>0</v>
      </c>
      <c r="Y155" s="721"/>
      <c r="Z155" s="721"/>
    </row>
    <row r="156" spans="1:26" hidden="1">
      <c r="A156" s="721" t="s">
        <v>799</v>
      </c>
      <c r="B156" s="722">
        <v>3016</v>
      </c>
      <c r="C156" s="721" t="s">
        <v>810</v>
      </c>
      <c r="D156" s="721"/>
      <c r="E156" s="729">
        <v>0</v>
      </c>
      <c r="F156" s="730"/>
      <c r="G156" s="730"/>
      <c r="H156" s="721"/>
      <c r="I156" s="721"/>
      <c r="J156" s="721"/>
      <c r="K156" s="721"/>
      <c r="L156" s="721"/>
      <c r="M156" s="721"/>
      <c r="N156" s="721"/>
      <c r="O156" s="721"/>
      <c r="P156" s="721"/>
      <c r="Q156" s="721"/>
      <c r="R156" s="721"/>
      <c r="S156" s="741"/>
      <c r="T156" s="721"/>
      <c r="U156" s="741"/>
      <c r="V156" s="721"/>
      <c r="W156" s="741">
        <v>32935.769999999997</v>
      </c>
      <c r="X156" s="741" t="s">
        <v>1088</v>
      </c>
      <c r="Y156" s="721"/>
      <c r="Z156" s="721"/>
    </row>
    <row r="157" spans="1:26" hidden="1">
      <c r="A157" s="721" t="s">
        <v>927</v>
      </c>
      <c r="B157" s="722">
        <v>3346</v>
      </c>
      <c r="C157" s="721" t="s">
        <v>878</v>
      </c>
      <c r="D157" s="721"/>
      <c r="E157" s="729">
        <v>1376.3200000000002</v>
      </c>
      <c r="F157" s="730" t="s">
        <v>1081</v>
      </c>
      <c r="G157" s="730" t="s">
        <v>1114</v>
      </c>
      <c r="H157" s="721"/>
      <c r="I157" s="721"/>
      <c r="J157" s="721"/>
      <c r="K157" s="721"/>
      <c r="L157" s="721"/>
      <c r="M157" s="721"/>
      <c r="N157" s="721"/>
      <c r="O157" s="721"/>
      <c r="P157" s="721"/>
      <c r="Q157" s="721"/>
      <c r="R157" s="721"/>
      <c r="S157" s="741"/>
      <c r="T157" s="721"/>
      <c r="U157" s="741"/>
      <c r="V157" s="721"/>
      <c r="W157" s="741">
        <v>58893.2</v>
      </c>
      <c r="X157" s="741" t="s">
        <v>1088</v>
      </c>
      <c r="Y157" s="721"/>
      <c r="Z157" s="721"/>
    </row>
    <row r="158" spans="1:26" hidden="1">
      <c r="A158" s="721" t="s">
        <v>801</v>
      </c>
      <c r="B158" s="722">
        <v>4606</v>
      </c>
      <c r="C158" s="721" t="s">
        <v>812</v>
      </c>
      <c r="D158" s="721"/>
      <c r="E158" s="729">
        <v>0</v>
      </c>
      <c r="F158" s="730"/>
      <c r="G158" s="730"/>
      <c r="H158" s="721"/>
      <c r="I158" s="721"/>
      <c r="J158" s="721"/>
      <c r="K158" s="721"/>
      <c r="L158" s="721"/>
      <c r="M158" s="721"/>
      <c r="N158" s="721"/>
      <c r="O158" s="721"/>
      <c r="P158" s="721"/>
      <c r="Q158" s="721"/>
      <c r="R158" s="721"/>
      <c r="S158" s="741"/>
      <c r="T158" s="721"/>
      <c r="U158" s="741"/>
      <c r="V158" s="721"/>
      <c r="W158" s="741">
        <v>0</v>
      </c>
      <c r="X158" s="741">
        <v>0</v>
      </c>
      <c r="Y158" s="721"/>
      <c r="Z158" s="721"/>
    </row>
    <row r="159" spans="1:26" hidden="1">
      <c r="A159" s="721" t="s">
        <v>803</v>
      </c>
      <c r="B159" s="722">
        <v>3428</v>
      </c>
      <c r="C159" s="721" t="s">
        <v>816</v>
      </c>
      <c r="D159" s="721"/>
      <c r="E159" s="729">
        <v>0</v>
      </c>
      <c r="F159" s="730"/>
      <c r="G159" s="730"/>
      <c r="H159" s="721"/>
      <c r="I159" s="721"/>
      <c r="J159" s="721"/>
      <c r="K159" s="721"/>
      <c r="L159" s="721"/>
      <c r="M159" s="721"/>
      <c r="N159" s="721"/>
      <c r="O159" s="721"/>
      <c r="P159" s="721"/>
      <c r="Q159" s="721"/>
      <c r="R159" s="721"/>
      <c r="S159" s="741"/>
      <c r="T159" s="721"/>
      <c r="U159" s="741"/>
      <c r="V159" s="721"/>
      <c r="W159" s="741">
        <v>0</v>
      </c>
      <c r="X159" s="741">
        <v>0</v>
      </c>
      <c r="Y159" s="721"/>
      <c r="Z159" s="721"/>
    </row>
    <row r="160" spans="1:26" hidden="1">
      <c r="A160" s="721" t="s">
        <v>805</v>
      </c>
      <c r="B160" s="722">
        <v>3019</v>
      </c>
      <c r="C160" s="721" t="s">
        <v>818</v>
      </c>
      <c r="D160" s="721"/>
      <c r="E160" s="729">
        <v>3440.8</v>
      </c>
      <c r="F160" s="730" t="s">
        <v>1081</v>
      </c>
      <c r="G160" s="730" t="s">
        <v>1117</v>
      </c>
      <c r="H160" s="721"/>
      <c r="I160" s="721"/>
      <c r="J160" s="721"/>
      <c r="K160" s="721"/>
      <c r="L160" s="721"/>
      <c r="M160" s="721"/>
      <c r="N160" s="721"/>
      <c r="O160" s="721"/>
      <c r="P160" s="721"/>
      <c r="Q160" s="721"/>
      <c r="R160" s="721"/>
      <c r="S160" s="741"/>
      <c r="T160" s="721"/>
      <c r="U160" s="741"/>
      <c r="V160" s="721"/>
      <c r="W160" s="741">
        <v>55789.5</v>
      </c>
      <c r="X160" s="741" t="s">
        <v>1088</v>
      </c>
      <c r="Y160" s="721"/>
      <c r="Z160" s="721"/>
    </row>
    <row r="161" spans="1:26" hidden="1">
      <c r="A161" s="721" t="s">
        <v>931</v>
      </c>
      <c r="B161" s="722">
        <v>1009</v>
      </c>
      <c r="C161" s="721" t="s">
        <v>886</v>
      </c>
      <c r="D161" s="721"/>
      <c r="E161" s="729">
        <v>0</v>
      </c>
      <c r="F161" s="730"/>
      <c r="G161" s="730"/>
      <c r="H161" s="721"/>
      <c r="I161" s="721"/>
      <c r="J161" s="721"/>
      <c r="K161" s="721"/>
      <c r="L161" s="721"/>
      <c r="M161" s="721"/>
      <c r="N161" s="721"/>
      <c r="O161" s="721"/>
      <c r="P161" s="721"/>
      <c r="Q161" s="721"/>
      <c r="R161" s="721"/>
      <c r="S161" s="741"/>
      <c r="T161" s="721"/>
      <c r="U161" s="741"/>
      <c r="V161" s="721"/>
      <c r="W161" s="741">
        <v>0</v>
      </c>
      <c r="X161" s="741">
        <v>0</v>
      </c>
      <c r="Y161" s="721"/>
      <c r="Z161" s="721"/>
    </row>
    <row r="162" spans="1:26" hidden="1">
      <c r="A162" s="721" t="s">
        <v>807</v>
      </c>
      <c r="B162" s="722">
        <v>2178</v>
      </c>
      <c r="C162" s="721" t="s">
        <v>820</v>
      </c>
      <c r="D162" s="721"/>
      <c r="E162" s="729">
        <v>0</v>
      </c>
      <c r="F162" s="730"/>
      <c r="G162" s="730"/>
      <c r="H162" s="721"/>
      <c r="I162" s="721"/>
      <c r="J162" s="721"/>
      <c r="K162" s="721"/>
      <c r="L162" s="721"/>
      <c r="M162" s="721"/>
      <c r="N162" s="721"/>
      <c r="O162" s="721"/>
      <c r="P162" s="721"/>
      <c r="Q162" s="721"/>
      <c r="R162" s="721"/>
      <c r="S162" s="741"/>
      <c r="T162" s="721"/>
      <c r="U162" s="741"/>
      <c r="V162" s="721"/>
      <c r="W162" s="741">
        <v>0</v>
      </c>
      <c r="X162" s="741">
        <v>0</v>
      </c>
      <c r="Y162" s="721"/>
      <c r="Z162" s="721"/>
    </row>
    <row r="163" spans="1:26" hidden="1">
      <c r="A163" s="721" t="s">
        <v>809</v>
      </c>
      <c r="B163" s="722">
        <v>2184</v>
      </c>
      <c r="C163" s="721" t="s">
        <v>822</v>
      </c>
      <c r="D163" s="721"/>
      <c r="E163" s="729">
        <v>2752.6400000000003</v>
      </c>
      <c r="F163" s="730" t="s">
        <v>1081</v>
      </c>
      <c r="G163" s="730" t="s">
        <v>1103</v>
      </c>
      <c r="H163" s="721"/>
      <c r="I163" s="721"/>
      <c r="J163" s="721"/>
      <c r="K163" s="721"/>
      <c r="L163" s="721"/>
      <c r="M163" s="721"/>
      <c r="N163" s="721"/>
      <c r="O163" s="721"/>
      <c r="P163" s="721"/>
      <c r="Q163" s="721"/>
      <c r="R163" s="721"/>
      <c r="S163" s="741"/>
      <c r="T163" s="721"/>
      <c r="U163" s="741"/>
      <c r="V163" s="721"/>
      <c r="W163" s="741">
        <v>38916.160000000003</v>
      </c>
      <c r="X163" s="741" t="s">
        <v>1088</v>
      </c>
      <c r="Y163" s="721"/>
      <c r="Z163" s="721"/>
    </row>
    <row r="164" spans="1:26" hidden="1">
      <c r="A164" s="721" t="s">
        <v>811</v>
      </c>
      <c r="B164" s="722">
        <v>2190</v>
      </c>
      <c r="C164" s="721" t="s">
        <v>824</v>
      </c>
      <c r="D164" s="721"/>
      <c r="E164" s="729">
        <v>0</v>
      </c>
      <c r="F164" s="730"/>
      <c r="G164" s="730"/>
      <c r="H164" s="721"/>
      <c r="I164" s="721"/>
      <c r="J164" s="721"/>
      <c r="K164" s="721"/>
      <c r="L164" s="721"/>
      <c r="M164" s="721"/>
      <c r="N164" s="721"/>
      <c r="O164" s="721"/>
      <c r="P164" s="721"/>
      <c r="Q164" s="721"/>
      <c r="R164" s="721"/>
      <c r="S164" s="741"/>
      <c r="T164" s="721"/>
      <c r="U164" s="741"/>
      <c r="V164" s="721"/>
      <c r="W164" s="741">
        <v>0</v>
      </c>
      <c r="X164" s="741">
        <v>0</v>
      </c>
      <c r="Y164" s="721"/>
      <c r="Z164" s="721"/>
    </row>
    <row r="165" spans="1:26" hidden="1">
      <c r="A165" s="721" t="s">
        <v>813</v>
      </c>
      <c r="B165" s="722">
        <v>7035</v>
      </c>
      <c r="C165" s="721" t="s">
        <v>826</v>
      </c>
      <c r="D165" s="721"/>
      <c r="E165" s="729"/>
      <c r="F165" s="730" t="s">
        <v>1081</v>
      </c>
      <c r="G165" s="730" t="s">
        <v>1126</v>
      </c>
      <c r="H165" s="721"/>
      <c r="I165" s="721"/>
      <c r="J165" s="721"/>
      <c r="K165" s="721"/>
      <c r="L165" s="721"/>
      <c r="M165" s="721"/>
      <c r="N165" s="721"/>
      <c r="O165" s="721"/>
      <c r="P165" s="721"/>
      <c r="Q165" s="721"/>
      <c r="R165" s="721"/>
      <c r="S165" s="741"/>
      <c r="T165" s="721"/>
      <c r="U165" s="741"/>
      <c r="V165" s="721"/>
      <c r="W165" s="741">
        <v>27462.13</v>
      </c>
      <c r="X165" s="741" t="s">
        <v>1088</v>
      </c>
      <c r="Y165" s="721"/>
      <c r="Z165" s="721"/>
    </row>
    <row r="166" spans="1:26" hidden="1">
      <c r="A166" s="721" t="s">
        <v>817</v>
      </c>
      <c r="B166" s="722">
        <v>7045</v>
      </c>
      <c r="C166" s="721" t="s">
        <v>828</v>
      </c>
      <c r="D166" s="721"/>
      <c r="E166" s="729">
        <v>3500.6400000000003</v>
      </c>
      <c r="F166" s="730" t="s">
        <v>1081</v>
      </c>
      <c r="G166" s="730" t="s">
        <v>1098</v>
      </c>
      <c r="H166" s="721"/>
      <c r="I166" s="721"/>
      <c r="J166" s="721"/>
      <c r="K166" s="721"/>
      <c r="L166" s="721"/>
      <c r="M166" s="721"/>
      <c r="N166" s="721"/>
      <c r="O166" s="721"/>
      <c r="P166" s="741">
        <v>1846.07</v>
      </c>
      <c r="Q166" s="721" t="s">
        <v>1124</v>
      </c>
      <c r="R166" s="721"/>
      <c r="S166" s="741"/>
      <c r="T166" s="721"/>
      <c r="U166" s="741"/>
      <c r="V166" s="721"/>
      <c r="W166" s="741">
        <v>58740.959999999999</v>
      </c>
      <c r="X166" s="741" t="s">
        <v>1088</v>
      </c>
      <c r="Y166" s="721"/>
      <c r="Z166" s="721"/>
    </row>
    <row r="167" spans="1:26" hidden="1">
      <c r="A167" s="721" t="s">
        <v>819</v>
      </c>
      <c r="B167" s="722">
        <v>2192</v>
      </c>
      <c r="C167" s="721" t="s">
        <v>830</v>
      </c>
      <c r="D167" s="721"/>
      <c r="E167" s="729"/>
      <c r="F167" s="730"/>
      <c r="G167" s="730"/>
      <c r="H167" s="721"/>
      <c r="I167" s="721"/>
      <c r="J167" s="721"/>
      <c r="K167" s="721"/>
      <c r="L167" s="721"/>
      <c r="M167" s="721"/>
      <c r="N167" s="721"/>
      <c r="O167" s="721"/>
      <c r="P167" s="721"/>
      <c r="Q167" s="721"/>
      <c r="R167" s="721"/>
      <c r="S167" s="741"/>
      <c r="T167" s="721"/>
      <c r="U167" s="741"/>
      <c r="V167" s="721"/>
      <c r="W167" s="741">
        <v>0</v>
      </c>
      <c r="X167" s="741">
        <v>0</v>
      </c>
      <c r="Y167" s="721"/>
      <c r="Z167" s="721"/>
    </row>
    <row r="168" spans="1:26" hidden="1">
      <c r="A168" s="721" t="s">
        <v>821</v>
      </c>
      <c r="B168" s="722">
        <v>7014</v>
      </c>
      <c r="C168" s="721" t="s">
        <v>832</v>
      </c>
      <c r="D168" s="721"/>
      <c r="E168" s="729">
        <v>0</v>
      </c>
      <c r="F168" s="730"/>
      <c r="G168" s="730"/>
      <c r="H168" s="721"/>
      <c r="I168" s="721"/>
      <c r="J168" s="721"/>
      <c r="K168" s="721"/>
      <c r="L168" s="721"/>
      <c r="M168" s="721"/>
      <c r="N168" s="721"/>
      <c r="O168" s="721"/>
      <c r="P168" s="721"/>
      <c r="Q168" s="721"/>
      <c r="R168" s="721"/>
      <c r="S168" s="741"/>
      <c r="T168" s="721"/>
      <c r="U168" s="741"/>
      <c r="V168" s="721"/>
      <c r="W168" s="741">
        <v>0</v>
      </c>
      <c r="X168" s="741">
        <v>0</v>
      </c>
      <c r="Y168" s="721"/>
      <c r="Z168" s="721"/>
    </row>
    <row r="169" spans="1:26" hidden="1">
      <c r="A169" s="721" t="s">
        <v>823</v>
      </c>
      <c r="B169" s="722">
        <v>7009</v>
      </c>
      <c r="C169" s="721" t="s">
        <v>834</v>
      </c>
      <c r="D169" s="721"/>
      <c r="E169" s="729">
        <v>0</v>
      </c>
      <c r="F169" s="730"/>
      <c r="G169" s="730"/>
      <c r="H169" s="721"/>
      <c r="I169" s="721"/>
      <c r="J169" s="721"/>
      <c r="K169" s="721"/>
      <c r="L169" s="721"/>
      <c r="M169" s="721"/>
      <c r="N169" s="721"/>
      <c r="O169" s="721"/>
      <c r="P169" s="721"/>
      <c r="Q169" s="721"/>
      <c r="R169" s="721"/>
      <c r="S169" s="741"/>
      <c r="T169" s="721"/>
      <c r="U169" s="741"/>
      <c r="V169" s="721"/>
      <c r="W169" s="741">
        <v>45887.77</v>
      </c>
      <c r="X169" s="741" t="s">
        <v>1088</v>
      </c>
      <c r="Y169" s="721"/>
      <c r="Z169" s="721"/>
    </row>
    <row r="170" spans="1:26" hidden="1">
      <c r="A170" s="721" t="s">
        <v>825</v>
      </c>
      <c r="B170" s="722">
        <v>5203</v>
      </c>
      <c r="C170" s="721" t="s">
        <v>836</v>
      </c>
      <c r="D170" s="721"/>
      <c r="E170" s="729">
        <v>0</v>
      </c>
      <c r="F170" s="730"/>
      <c r="G170" s="730"/>
      <c r="H170" s="721"/>
      <c r="I170" s="721"/>
      <c r="J170" s="721"/>
      <c r="K170" s="721"/>
      <c r="L170" s="721"/>
      <c r="M170" s="721"/>
      <c r="N170" s="721"/>
      <c r="O170" s="721"/>
      <c r="P170" s="721"/>
      <c r="Q170" s="721"/>
      <c r="R170" s="721"/>
      <c r="S170" s="741"/>
      <c r="T170" s="721"/>
      <c r="U170" s="741"/>
      <c r="V170" s="721"/>
      <c r="W170" s="741">
        <v>0</v>
      </c>
      <c r="X170" s="741">
        <v>0</v>
      </c>
      <c r="Y170" s="721"/>
      <c r="Z170" s="721"/>
    </row>
    <row r="171" spans="1:26" hidden="1">
      <c r="A171" s="721" t="s">
        <v>827</v>
      </c>
      <c r="B171" s="722">
        <v>5202</v>
      </c>
      <c r="C171" s="721" t="s">
        <v>838</v>
      </c>
      <c r="D171" s="721"/>
      <c r="E171" s="729">
        <v>0</v>
      </c>
      <c r="F171" s="730"/>
      <c r="G171" s="730"/>
      <c r="H171" s="721"/>
      <c r="I171" s="721"/>
      <c r="J171" s="721"/>
      <c r="K171" s="721"/>
      <c r="L171" s="721"/>
      <c r="M171" s="721"/>
      <c r="N171" s="721"/>
      <c r="O171" s="721"/>
      <c r="P171" s="721"/>
      <c r="Q171" s="721"/>
      <c r="R171" s="721"/>
      <c r="S171" s="741"/>
      <c r="T171" s="721"/>
      <c r="U171" s="741"/>
      <c r="V171" s="721"/>
      <c r="W171" s="741">
        <v>0</v>
      </c>
      <c r="X171" s="741">
        <v>0</v>
      </c>
      <c r="Y171" s="721"/>
      <c r="Z171" s="721"/>
    </row>
    <row r="172" spans="1:26" hidden="1">
      <c r="A172" s="721" t="s">
        <v>829</v>
      </c>
      <c r="B172" s="722">
        <v>2108</v>
      </c>
      <c r="C172" s="721" t="s">
        <v>840</v>
      </c>
      <c r="D172" s="721"/>
      <c r="E172" s="729">
        <v>7031.2000000000007</v>
      </c>
      <c r="F172" s="730" t="s">
        <v>1081</v>
      </c>
      <c r="G172" s="730" t="s">
        <v>1128</v>
      </c>
      <c r="H172" s="721"/>
      <c r="I172" s="721"/>
      <c r="J172" s="721"/>
      <c r="K172" s="721"/>
      <c r="L172" s="721"/>
      <c r="M172" s="721"/>
      <c r="N172" s="721"/>
      <c r="O172" s="721"/>
      <c r="P172" s="721"/>
      <c r="Q172" s="721"/>
      <c r="R172" s="721"/>
      <c r="S172" s="741"/>
      <c r="T172" s="721"/>
      <c r="U172" s="741"/>
      <c r="V172" s="721"/>
      <c r="W172" s="741">
        <v>111429.86</v>
      </c>
      <c r="X172" s="741" t="s">
        <v>1088</v>
      </c>
      <c r="Y172" s="721"/>
      <c r="Z172" s="721"/>
    </row>
    <row r="173" spans="1:26" hidden="1">
      <c r="A173" s="721" t="s">
        <v>873</v>
      </c>
      <c r="B173" s="722">
        <v>1019</v>
      </c>
      <c r="C173" s="721" t="s">
        <v>914</v>
      </c>
      <c r="D173" s="721"/>
      <c r="E173" s="729">
        <v>2064.48</v>
      </c>
      <c r="F173" s="730" t="s">
        <v>1081</v>
      </c>
      <c r="G173" s="730" t="s">
        <v>1115</v>
      </c>
      <c r="H173" s="721"/>
      <c r="I173" s="721"/>
      <c r="J173" s="721"/>
      <c r="K173" s="721"/>
      <c r="L173" s="721"/>
      <c r="M173" s="721"/>
      <c r="N173" s="721"/>
      <c r="O173" s="721"/>
      <c r="P173" s="721"/>
      <c r="Q173" s="721"/>
      <c r="R173" s="721"/>
      <c r="S173" s="741"/>
      <c r="T173" s="721"/>
      <c r="U173" s="741"/>
      <c r="V173" s="721"/>
      <c r="W173" s="741">
        <v>0</v>
      </c>
      <c r="X173" s="741">
        <v>0</v>
      </c>
      <c r="Y173" s="721"/>
      <c r="Z173" s="721"/>
    </row>
    <row r="174" spans="1:26" hidden="1">
      <c r="A174" s="721" t="s">
        <v>831</v>
      </c>
      <c r="B174" s="722">
        <v>2306</v>
      </c>
      <c r="C174" s="721" t="s">
        <v>842</v>
      </c>
      <c r="D174" s="721"/>
      <c r="E174" s="729">
        <v>0</v>
      </c>
      <c r="F174" s="730"/>
      <c r="G174" s="730"/>
      <c r="H174" s="721"/>
      <c r="I174" s="721"/>
      <c r="J174" s="721"/>
      <c r="K174" s="721"/>
      <c r="L174" s="721"/>
      <c r="M174" s="721"/>
      <c r="N174" s="721"/>
      <c r="O174" s="721"/>
      <c r="P174" s="721"/>
      <c r="Q174" s="721"/>
      <c r="R174" s="721"/>
      <c r="S174" s="741"/>
      <c r="T174" s="721"/>
      <c r="U174" s="741"/>
      <c r="V174" s="721"/>
      <c r="W174" s="741">
        <v>0</v>
      </c>
      <c r="X174" s="741">
        <v>0</v>
      </c>
      <c r="Y174" s="721"/>
      <c r="Z174" s="721"/>
    </row>
    <row r="175" spans="1:26" hidden="1">
      <c r="A175" s="721" t="s">
        <v>833</v>
      </c>
      <c r="B175" s="722">
        <v>2308</v>
      </c>
      <c r="C175" s="721" t="s">
        <v>844</v>
      </c>
      <c r="D175" s="721"/>
      <c r="E175" s="729">
        <v>0</v>
      </c>
      <c r="F175" s="730"/>
      <c r="G175" s="730"/>
      <c r="H175" s="721"/>
      <c r="I175" s="721"/>
      <c r="J175" s="721"/>
      <c r="K175" s="721"/>
      <c r="L175" s="721"/>
      <c r="M175" s="721"/>
      <c r="N175" s="721"/>
      <c r="O175" s="721"/>
      <c r="P175" s="721"/>
      <c r="Q175" s="721"/>
      <c r="R175" s="721"/>
      <c r="S175" s="741">
        <v>2277</v>
      </c>
      <c r="T175" s="721" t="s">
        <v>1090</v>
      </c>
      <c r="U175" s="741" t="s">
        <v>1129</v>
      </c>
      <c r="V175" s="721"/>
      <c r="W175" s="741">
        <v>12077.68</v>
      </c>
      <c r="X175" s="741" t="s">
        <v>1130</v>
      </c>
      <c r="Y175" s="721"/>
      <c r="Z175" s="721"/>
    </row>
    <row r="176" spans="1:26" hidden="1">
      <c r="A176" s="721" t="s">
        <v>835</v>
      </c>
      <c r="B176" s="722">
        <v>2245</v>
      </c>
      <c r="C176" s="721" t="s">
        <v>846</v>
      </c>
      <c r="D176" s="721"/>
      <c r="E176" s="729">
        <v>2752.6400000000003</v>
      </c>
      <c r="F176" s="730" t="s">
        <v>1081</v>
      </c>
      <c r="G176" s="730" t="s">
        <v>1103</v>
      </c>
      <c r="H176" s="721"/>
      <c r="I176" s="721"/>
      <c r="J176" s="721"/>
      <c r="K176" s="721"/>
      <c r="L176" s="721"/>
      <c r="M176" s="721"/>
      <c r="N176" s="721"/>
      <c r="O176" s="721"/>
      <c r="P176" s="721"/>
      <c r="Q176" s="721"/>
      <c r="R176" s="721"/>
      <c r="S176" s="741">
        <v>1003</v>
      </c>
      <c r="T176" s="721" t="s">
        <v>1090</v>
      </c>
      <c r="U176" s="741" t="s">
        <v>1095</v>
      </c>
      <c r="V176" s="721"/>
      <c r="W176" s="741">
        <v>33576</v>
      </c>
      <c r="X176" s="741" t="s">
        <v>1088</v>
      </c>
      <c r="Y176" s="721"/>
      <c r="Z176" s="721"/>
    </row>
    <row r="177" spans="1:26" hidden="1">
      <c r="A177" s="721" t="s">
        <v>937</v>
      </c>
      <c r="B177" s="722">
        <v>1020</v>
      </c>
      <c r="C177" s="721" t="s">
        <v>814</v>
      </c>
      <c r="D177" s="721"/>
      <c r="E177" s="729">
        <v>583.44000000000005</v>
      </c>
      <c r="F177" s="730" t="s">
        <v>1081</v>
      </c>
      <c r="G177" s="730" t="s">
        <v>1131</v>
      </c>
      <c r="H177" s="721"/>
      <c r="I177" s="721"/>
      <c r="J177" s="721"/>
      <c r="K177" s="721"/>
      <c r="L177" s="721"/>
      <c r="M177" s="721"/>
      <c r="N177" s="721"/>
      <c r="O177" s="721"/>
      <c r="P177" s="721"/>
      <c r="Q177" s="721"/>
      <c r="R177" s="721"/>
      <c r="S177" s="741"/>
      <c r="T177" s="721"/>
      <c r="U177" s="741"/>
      <c r="V177" s="721"/>
      <c r="W177" s="741">
        <v>0</v>
      </c>
      <c r="X177" s="741">
        <v>0</v>
      </c>
      <c r="Y177" s="721"/>
      <c r="Z177" s="721"/>
    </row>
    <row r="178" spans="1:26" hidden="1">
      <c r="A178" s="721" t="s">
        <v>837</v>
      </c>
      <c r="B178" s="722">
        <v>1014</v>
      </c>
      <c r="C178" s="721" t="s">
        <v>850</v>
      </c>
      <c r="D178" s="721"/>
      <c r="E178" s="729">
        <v>0</v>
      </c>
      <c r="F178" s="730"/>
      <c r="G178" s="730"/>
      <c r="H178" s="721"/>
      <c r="I178" s="721"/>
      <c r="J178" s="721"/>
      <c r="K178" s="721"/>
      <c r="L178" s="721"/>
      <c r="M178" s="721"/>
      <c r="N178" s="721"/>
      <c r="O178" s="721"/>
      <c r="P178" s="721"/>
      <c r="Q178" s="721"/>
      <c r="R178" s="721"/>
      <c r="S178" s="741"/>
      <c r="T178" s="721"/>
      <c r="U178" s="741"/>
      <c r="V178" s="721"/>
      <c r="W178" s="741">
        <v>0</v>
      </c>
      <c r="X178" s="741">
        <v>0</v>
      </c>
      <c r="Y178" s="721"/>
      <c r="Z178" s="721"/>
    </row>
    <row r="179" spans="1:26" hidden="1">
      <c r="A179" s="721" t="s">
        <v>939</v>
      </c>
      <c r="B179" s="722">
        <v>2019</v>
      </c>
      <c r="C179" s="721" t="s">
        <v>816</v>
      </c>
      <c r="D179" s="721"/>
      <c r="E179" s="729">
        <v>4817.12</v>
      </c>
      <c r="F179" s="730" t="s">
        <v>1081</v>
      </c>
      <c r="G179" s="730" t="s">
        <v>1123</v>
      </c>
      <c r="H179" s="721"/>
      <c r="I179" s="721"/>
      <c r="J179" s="721"/>
      <c r="K179" s="721"/>
      <c r="L179" s="721"/>
      <c r="M179" s="721"/>
      <c r="N179" s="721"/>
      <c r="O179" s="721"/>
      <c r="P179" s="721"/>
      <c r="Q179" s="721"/>
      <c r="R179" s="721"/>
      <c r="S179" s="741">
        <v>1504.5</v>
      </c>
      <c r="T179" s="721" t="s">
        <v>1090</v>
      </c>
      <c r="U179" s="741" t="s">
        <v>1132</v>
      </c>
      <c r="V179" s="721"/>
      <c r="W179" s="741">
        <v>0</v>
      </c>
      <c r="X179" s="741">
        <v>0</v>
      </c>
      <c r="Y179" s="721"/>
      <c r="Z179" s="721"/>
    </row>
    <row r="180" spans="1:26" hidden="1">
      <c r="A180" s="721" t="s">
        <v>839</v>
      </c>
      <c r="B180" s="722">
        <v>2011</v>
      </c>
      <c r="C180" s="721" t="s">
        <v>852</v>
      </c>
      <c r="D180" s="721"/>
      <c r="E180" s="729">
        <v>0</v>
      </c>
      <c r="F180" s="730"/>
      <c r="G180" s="730"/>
      <c r="H180" s="721"/>
      <c r="I180" s="721"/>
      <c r="J180" s="721"/>
      <c r="K180" s="721"/>
      <c r="L180" s="721"/>
      <c r="M180" s="721"/>
      <c r="N180" s="721"/>
      <c r="O180" s="721"/>
      <c r="P180" s="721"/>
      <c r="Q180" s="721"/>
      <c r="R180" s="721"/>
      <c r="S180" s="741"/>
      <c r="T180" s="721"/>
      <c r="U180" s="741"/>
      <c r="V180" s="721"/>
      <c r="W180" s="741">
        <v>0</v>
      </c>
      <c r="X180" s="741">
        <v>0</v>
      </c>
      <c r="Y180" s="721"/>
      <c r="Z180" s="721"/>
    </row>
    <row r="181" spans="1:26" hidden="1">
      <c r="A181" s="721" t="s">
        <v>841</v>
      </c>
      <c r="B181" s="722">
        <v>4193</v>
      </c>
      <c r="C181" s="721" t="s">
        <v>854</v>
      </c>
      <c r="D181" s="721"/>
      <c r="E181" s="729">
        <v>0</v>
      </c>
      <c r="F181" s="730"/>
      <c r="G181" s="730"/>
      <c r="H181" s="721"/>
      <c r="I181" s="721"/>
      <c r="J181" s="721"/>
      <c r="K181" s="721"/>
      <c r="L181" s="721"/>
      <c r="M181" s="721"/>
      <c r="N181" s="721"/>
      <c r="O181" s="721"/>
      <c r="P181" s="721"/>
      <c r="Q181" s="721"/>
      <c r="R181" s="721"/>
      <c r="S181" s="741"/>
      <c r="T181" s="721"/>
      <c r="U181" s="741"/>
      <c r="V181" s="721"/>
      <c r="W181" s="741">
        <v>0</v>
      </c>
      <c r="X181" s="741">
        <v>0</v>
      </c>
      <c r="Y181" s="721"/>
      <c r="Z181" s="721"/>
    </row>
    <row r="182" spans="1:26" hidden="1">
      <c r="A182" s="721" t="s">
        <v>843</v>
      </c>
      <c r="B182" s="722">
        <v>2478</v>
      </c>
      <c r="C182" s="721" t="s">
        <v>856</v>
      </c>
      <c r="D182" s="721"/>
      <c r="E182" s="729"/>
      <c r="F182" s="730"/>
      <c r="G182" s="730"/>
      <c r="H182" s="721"/>
      <c r="I182" s="721"/>
      <c r="J182" s="721"/>
      <c r="K182" s="721"/>
      <c r="L182" s="721"/>
      <c r="M182" s="721"/>
      <c r="N182" s="721"/>
      <c r="O182" s="721"/>
      <c r="P182" s="721"/>
      <c r="Q182" s="721"/>
      <c r="R182" s="721"/>
      <c r="S182" s="741"/>
      <c r="T182" s="721"/>
      <c r="U182" s="741"/>
      <c r="V182" s="721"/>
      <c r="W182" s="741">
        <v>0</v>
      </c>
      <c r="X182" s="741">
        <v>0</v>
      </c>
      <c r="Y182" s="721"/>
      <c r="Z182" s="721"/>
    </row>
    <row r="183" spans="1:26" hidden="1">
      <c r="A183" s="721" t="s">
        <v>845</v>
      </c>
      <c r="B183" s="722">
        <v>2293</v>
      </c>
      <c r="C183" s="721" t="s">
        <v>858</v>
      </c>
      <c r="D183" s="721"/>
      <c r="E183" s="729">
        <v>0</v>
      </c>
      <c r="F183" s="730"/>
      <c r="G183" s="730"/>
      <c r="H183" s="721"/>
      <c r="I183" s="721"/>
      <c r="J183" s="721"/>
      <c r="K183" s="721"/>
      <c r="L183" s="721"/>
      <c r="M183" s="721"/>
      <c r="N183" s="721"/>
      <c r="O183" s="721"/>
      <c r="P183" s="721"/>
      <c r="Q183" s="721"/>
      <c r="R183" s="721"/>
      <c r="S183" s="741"/>
      <c r="T183" s="721"/>
      <c r="U183" s="741"/>
      <c r="V183" s="721"/>
      <c r="W183" s="741">
        <v>17264.29</v>
      </c>
      <c r="X183" s="741" t="s">
        <v>1130</v>
      </c>
      <c r="Y183" s="721"/>
      <c r="Z183" s="721"/>
    </row>
    <row r="184" spans="1:26" hidden="1">
      <c r="A184" s="721" t="s">
        <v>875</v>
      </c>
      <c r="B184" s="722">
        <v>2445</v>
      </c>
      <c r="C184" s="721" t="s">
        <v>818</v>
      </c>
      <c r="D184" s="721"/>
      <c r="E184" s="729">
        <v>0</v>
      </c>
      <c r="F184" s="730"/>
      <c r="G184" s="730"/>
      <c r="H184" s="721"/>
      <c r="I184" s="721"/>
      <c r="J184" s="721"/>
      <c r="K184" s="721"/>
      <c r="L184" s="721"/>
      <c r="M184" s="721"/>
      <c r="N184" s="721"/>
      <c r="O184" s="721"/>
      <c r="P184" s="721"/>
      <c r="Q184" s="721"/>
      <c r="R184" s="721"/>
      <c r="S184" s="741"/>
      <c r="T184" s="721"/>
      <c r="U184" s="741"/>
      <c r="V184" s="721"/>
      <c r="W184" s="741">
        <v>23544.68</v>
      </c>
      <c r="X184" s="741" t="s">
        <v>1088</v>
      </c>
      <c r="Y184" s="721"/>
      <c r="Z184" s="721"/>
    </row>
    <row r="185" spans="1:26" hidden="1">
      <c r="A185" s="721" t="s">
        <v>847</v>
      </c>
      <c r="B185" s="722">
        <v>2278</v>
      </c>
      <c r="C185" s="721" t="s">
        <v>860</v>
      </c>
      <c r="D185" s="721"/>
      <c r="E185" s="729">
        <v>0</v>
      </c>
      <c r="F185" s="730"/>
      <c r="G185" s="730"/>
      <c r="H185" s="721"/>
      <c r="I185" s="721"/>
      <c r="J185" s="721"/>
      <c r="K185" s="721"/>
      <c r="L185" s="721"/>
      <c r="M185" s="721"/>
      <c r="N185" s="721"/>
      <c r="O185" s="721"/>
      <c r="P185" s="721"/>
      <c r="Q185" s="721"/>
      <c r="R185" s="721"/>
      <c r="S185" s="741"/>
      <c r="T185" s="721"/>
      <c r="U185" s="741"/>
      <c r="V185" s="721"/>
      <c r="W185" s="741">
        <v>46004.88</v>
      </c>
      <c r="X185" s="741" t="s">
        <v>1088</v>
      </c>
      <c r="Y185" s="721"/>
      <c r="Z185" s="721"/>
    </row>
    <row r="186" spans="1:26" hidden="1">
      <c r="A186" s="721" t="s">
        <v>851</v>
      </c>
      <c r="B186" s="722">
        <v>2317</v>
      </c>
      <c r="C186" s="721" t="s">
        <v>876</v>
      </c>
      <c r="D186" s="721"/>
      <c r="E186" s="729">
        <v>0</v>
      </c>
      <c r="F186" s="730"/>
      <c r="G186" s="730"/>
      <c r="H186" s="721"/>
      <c r="I186" s="721"/>
      <c r="J186" s="721"/>
      <c r="K186" s="721"/>
      <c r="L186" s="721"/>
      <c r="M186" s="721"/>
      <c r="N186" s="721"/>
      <c r="O186" s="721"/>
      <c r="P186" s="721"/>
      <c r="Q186" s="721"/>
      <c r="R186" s="721"/>
      <c r="S186" s="741"/>
      <c r="T186" s="721"/>
      <c r="U186" s="741"/>
      <c r="V186" s="721"/>
      <c r="W186" s="741">
        <v>34111.39</v>
      </c>
      <c r="X186" s="741" t="s">
        <v>1088</v>
      </c>
      <c r="Y186" s="721"/>
      <c r="Z186" s="721"/>
    </row>
    <row r="187" spans="1:26" hidden="1">
      <c r="A187" s="721" t="s">
        <v>853</v>
      </c>
      <c r="B187" s="722">
        <v>2225</v>
      </c>
      <c r="C187" s="721" t="s">
        <v>880</v>
      </c>
      <c r="D187" s="721"/>
      <c r="E187" s="729">
        <v>0</v>
      </c>
      <c r="F187" s="730"/>
      <c r="G187" s="730"/>
      <c r="H187" s="721"/>
      <c r="I187" s="721"/>
      <c r="J187" s="721"/>
      <c r="K187" s="721"/>
      <c r="L187" s="721"/>
      <c r="M187" s="721"/>
      <c r="N187" s="721"/>
      <c r="O187" s="721"/>
      <c r="P187" s="721"/>
      <c r="Q187" s="721"/>
      <c r="R187" s="721"/>
      <c r="S187" s="741"/>
      <c r="T187" s="721"/>
      <c r="U187" s="741"/>
      <c r="V187" s="721"/>
      <c r="W187" s="741">
        <v>38501.480000000003</v>
      </c>
      <c r="X187" s="741" t="s">
        <v>1088</v>
      </c>
      <c r="Y187" s="721"/>
      <c r="Z187" s="721"/>
    </row>
    <row r="188" spans="1:26" hidden="1">
      <c r="A188" s="721" t="s">
        <v>855</v>
      </c>
      <c r="B188" s="722">
        <v>2412</v>
      </c>
      <c r="C188" s="721" t="s">
        <v>882</v>
      </c>
      <c r="D188" s="721"/>
      <c r="E188" s="729">
        <v>0</v>
      </c>
      <c r="F188" s="730"/>
      <c r="G188" s="730"/>
      <c r="H188" s="721"/>
      <c r="I188" s="721"/>
      <c r="J188" s="721"/>
      <c r="K188" s="721"/>
      <c r="L188" s="721"/>
      <c r="M188" s="721"/>
      <c r="N188" s="721"/>
      <c r="O188" s="721"/>
      <c r="P188" s="721"/>
      <c r="Q188" s="721"/>
      <c r="R188" s="721"/>
      <c r="S188" s="741"/>
      <c r="T188" s="721"/>
      <c r="U188" s="741"/>
      <c r="V188" s="721"/>
      <c r="W188" s="741">
        <v>0</v>
      </c>
      <c r="X188" s="741">
        <v>0</v>
      </c>
      <c r="Y188" s="721"/>
      <c r="Z188" s="721"/>
    </row>
    <row r="189" spans="1:26" hidden="1">
      <c r="A189" s="721" t="s">
        <v>857</v>
      </c>
      <c r="B189" s="722">
        <v>3421</v>
      </c>
      <c r="C189" s="721" t="s">
        <v>862</v>
      </c>
      <c r="D189" s="721"/>
      <c r="E189" s="729">
        <v>4712.4000000000005</v>
      </c>
      <c r="F189" s="730" t="s">
        <v>1081</v>
      </c>
      <c r="G189" s="730" t="s">
        <v>1133</v>
      </c>
      <c r="H189" s="721"/>
      <c r="I189" s="721"/>
      <c r="J189" s="721"/>
      <c r="K189" s="721"/>
      <c r="L189" s="721"/>
      <c r="M189" s="721"/>
      <c r="N189" s="721"/>
      <c r="O189" s="721"/>
      <c r="P189" s="721"/>
      <c r="Q189" s="721"/>
      <c r="R189" s="721"/>
      <c r="S189" s="741"/>
      <c r="T189" s="721"/>
      <c r="U189" s="741"/>
      <c r="V189" s="721"/>
      <c r="W189" s="741">
        <v>0</v>
      </c>
      <c r="X189" s="741">
        <v>0</v>
      </c>
      <c r="Y189" s="721"/>
      <c r="Z189" s="721"/>
    </row>
    <row r="190" spans="1:26" hidden="1">
      <c r="A190" s="721" t="s">
        <v>859</v>
      </c>
      <c r="B190" s="722">
        <v>2227</v>
      </c>
      <c r="C190" s="721" t="s">
        <v>864</v>
      </c>
      <c r="D190" s="721"/>
      <c r="E190" s="729">
        <v>0</v>
      </c>
      <c r="F190" s="730"/>
      <c r="G190" s="730"/>
      <c r="H190" s="721"/>
      <c r="I190" s="721"/>
      <c r="J190" s="721"/>
      <c r="K190" s="721"/>
      <c r="L190" s="721"/>
      <c r="M190" s="721"/>
      <c r="N190" s="721"/>
      <c r="O190" s="721"/>
      <c r="P190" s="721"/>
      <c r="Q190" s="721"/>
      <c r="R190" s="721"/>
      <c r="S190" s="741"/>
      <c r="T190" s="721"/>
      <c r="U190" s="741"/>
      <c r="V190" s="721"/>
      <c r="W190" s="741">
        <v>52267.98</v>
      </c>
      <c r="X190" s="741" t="s">
        <v>1088</v>
      </c>
      <c r="Y190" s="721"/>
      <c r="Z190" s="721"/>
    </row>
    <row r="191" spans="1:26" hidden="1">
      <c r="A191" s="721" t="s">
        <v>861</v>
      </c>
      <c r="B191" s="722">
        <v>2231</v>
      </c>
      <c r="C191" s="721" t="s">
        <v>884</v>
      </c>
      <c r="D191" s="721"/>
      <c r="E191" s="729">
        <v>2632.96</v>
      </c>
      <c r="F191" s="730" t="s">
        <v>1081</v>
      </c>
      <c r="G191" s="730" t="s">
        <v>1134</v>
      </c>
      <c r="H191" s="721"/>
      <c r="I191" s="721"/>
      <c r="J191" s="721"/>
      <c r="K191" s="721"/>
      <c r="L191" s="721"/>
      <c r="M191" s="721"/>
      <c r="N191" s="721"/>
      <c r="O191" s="721"/>
      <c r="P191" s="721"/>
      <c r="Q191" s="721"/>
      <c r="R191" s="721"/>
      <c r="S191" s="741"/>
      <c r="T191" s="721"/>
      <c r="U191" s="741"/>
      <c r="V191" s="721"/>
      <c r="W191" s="741">
        <v>49029.17</v>
      </c>
      <c r="X191" s="741" t="s">
        <v>1088</v>
      </c>
      <c r="Y191" s="721"/>
      <c r="Z191" s="721"/>
    </row>
    <row r="192" spans="1:26">
      <c r="A192" s="721"/>
      <c r="B192" s="722"/>
      <c r="C192" s="721"/>
      <c r="D192" s="721"/>
      <c r="E192" s="721"/>
      <c r="F192" s="721"/>
      <c r="G192" s="721"/>
      <c r="H192" s="721"/>
      <c r="I192" s="721"/>
      <c r="J192" s="721"/>
      <c r="K192" s="721"/>
      <c r="L192" s="721"/>
      <c r="M192" s="721"/>
      <c r="N192" s="721"/>
      <c r="O192" s="721"/>
      <c r="P192" s="721"/>
      <c r="Q192" s="721"/>
      <c r="R192" s="721"/>
      <c r="S192" s="744"/>
      <c r="T192" s="721"/>
      <c r="U192" s="741"/>
      <c r="V192" s="721"/>
      <c r="W192" s="721"/>
      <c r="X192" s="721"/>
      <c r="Y192" s="721"/>
      <c r="Z192" s="721"/>
    </row>
    <row r="193" spans="1:26" ht="15.6">
      <c r="A193" s="745" t="s">
        <v>530</v>
      </c>
      <c r="B193" s="745"/>
      <c r="C193" s="745"/>
      <c r="D193" s="721"/>
      <c r="E193" s="744">
        <f>SUM(E5:E192)</f>
        <v>152864.74000000005</v>
      </c>
      <c r="F193" s="721"/>
      <c r="G193" s="721"/>
      <c r="H193" s="721"/>
      <c r="I193" s="744">
        <f>SUM(I5:I192)</f>
        <v>12995.29</v>
      </c>
      <c r="J193" s="721"/>
      <c r="K193" s="744">
        <f>SUM(K5:K192)</f>
        <v>15196.330000000002</v>
      </c>
      <c r="L193" s="721"/>
      <c r="M193" s="744">
        <f>SUM(M5:M192)</f>
        <v>11188.250000000002</v>
      </c>
      <c r="N193" s="721"/>
      <c r="O193" s="721"/>
      <c r="P193" s="744">
        <f>SUM(P5:P192)</f>
        <v>4690.66</v>
      </c>
      <c r="Q193" s="721"/>
      <c r="R193" s="721"/>
      <c r="S193" s="744">
        <f>SUM(S5:S192)</f>
        <v>31098.5</v>
      </c>
      <c r="T193" s="721"/>
      <c r="U193" s="741"/>
      <c r="V193" s="721"/>
      <c r="W193" s="744">
        <f>SUM(W5:W192)</f>
        <v>2797285.7700000005</v>
      </c>
      <c r="X193" s="721"/>
      <c r="Y193" s="721"/>
      <c r="Z193" s="721"/>
    </row>
    <row r="194" spans="1:26">
      <c r="A194" s="721"/>
      <c r="B194" s="722"/>
      <c r="C194" s="721"/>
      <c r="D194" s="721"/>
      <c r="E194" s="721"/>
      <c r="F194" s="721"/>
      <c r="G194" s="721"/>
      <c r="H194" s="721"/>
      <c r="I194" s="721"/>
      <c r="J194" s="721"/>
      <c r="K194" s="721"/>
      <c r="L194" s="721"/>
      <c r="M194" s="721"/>
      <c r="N194" s="721"/>
      <c r="O194" s="721"/>
      <c r="P194" s="721"/>
      <c r="Q194" s="721"/>
      <c r="R194" s="721"/>
      <c r="S194" s="741"/>
      <c r="T194" s="721"/>
      <c r="U194" s="741"/>
      <c r="V194" s="721"/>
      <c r="W194" s="721"/>
      <c r="X194" s="721"/>
      <c r="Y194" s="721"/>
      <c r="Z194" s="721"/>
    </row>
    <row r="195" spans="1:26">
      <c r="A195" s="721"/>
      <c r="B195" s="722"/>
      <c r="C195" s="721"/>
      <c r="D195" s="721"/>
      <c r="E195" s="721"/>
      <c r="F195" s="721"/>
      <c r="G195" s="721"/>
      <c r="H195" s="721"/>
      <c r="I195" s="721"/>
      <c r="J195" s="721"/>
      <c r="K195" s="721"/>
      <c r="L195" s="721"/>
      <c r="M195" s="721"/>
      <c r="N195" s="721"/>
      <c r="O195" s="721"/>
      <c r="P195" s="721"/>
      <c r="Q195" s="721"/>
      <c r="R195" s="721"/>
      <c r="S195" s="741"/>
      <c r="T195" s="721"/>
      <c r="U195" s="741"/>
      <c r="V195" s="721"/>
      <c r="W195" s="721"/>
      <c r="X195" s="721"/>
      <c r="Y195" s="721"/>
      <c r="Z195" s="721"/>
    </row>
    <row r="196" spans="1:26">
      <c r="A196" s="721"/>
      <c r="B196" s="722"/>
      <c r="C196" s="721"/>
      <c r="D196" s="721"/>
      <c r="E196" s="721"/>
      <c r="F196" s="721"/>
      <c r="G196" s="721"/>
      <c r="H196" s="721"/>
      <c r="I196" s="721"/>
      <c r="J196" s="721"/>
      <c r="K196" s="721"/>
      <c r="L196" s="721"/>
      <c r="M196" s="721"/>
      <c r="N196" s="721"/>
      <c r="O196" s="721"/>
      <c r="P196" s="721"/>
      <c r="Q196" s="721"/>
      <c r="R196" s="721"/>
      <c r="S196" s="741"/>
      <c r="T196" s="721"/>
      <c r="U196" s="741"/>
      <c r="V196" s="721"/>
      <c r="W196" s="721"/>
      <c r="X196" s="721"/>
      <c r="Y196" s="721"/>
      <c r="Z196" s="721"/>
    </row>
    <row r="197" spans="1:26">
      <c r="A197" s="721"/>
      <c r="B197" s="722"/>
      <c r="C197" s="721"/>
      <c r="D197" s="721"/>
      <c r="E197" s="721"/>
      <c r="F197" s="721"/>
      <c r="G197" s="721"/>
      <c r="H197" s="721"/>
      <c r="I197" s="721"/>
      <c r="J197" s="721"/>
      <c r="K197" s="721"/>
      <c r="L197" s="721"/>
      <c r="M197" s="721"/>
      <c r="N197" s="721"/>
      <c r="O197" s="721"/>
      <c r="P197" s="721"/>
      <c r="Q197" s="721"/>
      <c r="R197" s="721"/>
      <c r="S197" s="741"/>
      <c r="T197" s="721"/>
      <c r="U197" s="741"/>
      <c r="V197" s="721"/>
      <c r="W197" s="721"/>
      <c r="X197" s="721"/>
      <c r="Y197" s="721"/>
      <c r="Z197" s="721"/>
    </row>
    <row r="198" spans="1:26">
      <c r="A198" s="721"/>
      <c r="B198" s="722"/>
      <c r="C198" s="721"/>
      <c r="D198" s="721"/>
      <c r="E198" s="721"/>
      <c r="F198" s="721"/>
      <c r="G198" s="721"/>
      <c r="H198" s="721"/>
      <c r="I198" s="721"/>
      <c r="J198" s="721"/>
      <c r="K198" s="721"/>
      <c r="L198" s="721"/>
      <c r="M198" s="721"/>
      <c r="N198" s="721"/>
      <c r="O198" s="721"/>
      <c r="P198" s="721"/>
      <c r="Q198" s="721"/>
      <c r="R198" s="721"/>
      <c r="S198" s="741"/>
      <c r="T198" s="721"/>
      <c r="U198" s="741"/>
      <c r="V198" s="721"/>
      <c r="W198" s="721"/>
      <c r="X198" s="721"/>
      <c r="Y198" s="721"/>
      <c r="Z198" s="721"/>
    </row>
    <row r="199" spans="1:26">
      <c r="A199" s="721"/>
      <c r="B199" s="722"/>
      <c r="C199" s="721"/>
      <c r="D199" s="721"/>
      <c r="E199" s="721"/>
      <c r="F199" s="721"/>
      <c r="G199" s="721"/>
      <c r="H199" s="721"/>
      <c r="I199" s="721"/>
      <c r="J199" s="721"/>
      <c r="K199" s="721"/>
      <c r="L199" s="721"/>
      <c r="M199" s="721"/>
      <c r="N199" s="721"/>
      <c r="O199" s="721"/>
      <c r="P199" s="721"/>
      <c r="Q199" s="721"/>
      <c r="R199" s="721"/>
      <c r="S199" s="741"/>
      <c r="T199" s="721"/>
      <c r="U199" s="741"/>
      <c r="V199" s="721"/>
      <c r="W199" s="721"/>
      <c r="X199" s="721"/>
      <c r="Y199" s="721"/>
      <c r="Z199" s="721"/>
    </row>
    <row r="200" spans="1:26">
      <c r="A200" s="721"/>
      <c r="B200" s="722"/>
      <c r="C200" s="721"/>
      <c r="D200" s="721"/>
      <c r="E200" s="721"/>
      <c r="F200" s="721"/>
      <c r="G200" s="721"/>
      <c r="H200" s="721"/>
      <c r="I200" s="721"/>
      <c r="J200" s="721"/>
      <c r="K200" s="721"/>
      <c r="L200" s="721"/>
      <c r="M200" s="721"/>
      <c r="N200" s="721"/>
      <c r="O200" s="721"/>
      <c r="P200" s="721"/>
      <c r="Q200" s="721"/>
      <c r="R200" s="721"/>
      <c r="S200" s="741"/>
      <c r="T200" s="721"/>
      <c r="U200" s="741"/>
      <c r="V200" s="721"/>
      <c r="W200" s="721"/>
      <c r="X200" s="721"/>
      <c r="Y200" s="721"/>
      <c r="Z200" s="721"/>
    </row>
    <row r="201" spans="1:26">
      <c r="A201" s="721"/>
      <c r="B201" s="722"/>
      <c r="C201" s="721"/>
      <c r="D201" s="721"/>
      <c r="E201" s="721"/>
      <c r="F201" s="721"/>
      <c r="G201" s="721"/>
      <c r="H201" s="721"/>
      <c r="I201" s="721"/>
      <c r="J201" s="721"/>
      <c r="K201" s="721"/>
      <c r="L201" s="721"/>
      <c r="M201" s="721"/>
      <c r="N201" s="721"/>
      <c r="O201" s="721"/>
      <c r="P201" s="721"/>
      <c r="Q201" s="721"/>
      <c r="R201" s="721"/>
      <c r="S201" s="741"/>
      <c r="T201" s="721"/>
      <c r="U201" s="741"/>
      <c r="V201" s="721"/>
      <c r="W201" s="721"/>
      <c r="X201" s="721"/>
      <c r="Y201" s="721"/>
      <c r="Z201" s="721"/>
    </row>
    <row r="202" spans="1:26">
      <c r="A202" s="721"/>
      <c r="B202" s="722"/>
      <c r="C202" s="721"/>
      <c r="D202" s="721"/>
      <c r="E202" s="721"/>
      <c r="F202" s="721"/>
      <c r="G202" s="721"/>
      <c r="H202" s="721"/>
      <c r="I202" s="721"/>
      <c r="J202" s="721"/>
      <c r="K202" s="721"/>
      <c r="L202" s="721"/>
      <c r="M202" s="721"/>
      <c r="N202" s="721"/>
      <c r="O202" s="721"/>
      <c r="P202" s="721"/>
      <c r="Q202" s="721"/>
      <c r="R202" s="721"/>
      <c r="S202" s="741"/>
      <c r="T202" s="721"/>
      <c r="U202" s="741"/>
      <c r="V202" s="721"/>
      <c r="W202" s="721"/>
      <c r="X202" s="721"/>
      <c r="Y202" s="721"/>
      <c r="Z202" s="721"/>
    </row>
    <row r="203" spans="1:26">
      <c r="A203" s="721"/>
      <c r="B203" s="722"/>
      <c r="C203" s="721"/>
      <c r="D203" s="721"/>
      <c r="E203" s="721"/>
      <c r="F203" s="721"/>
      <c r="G203" s="721"/>
      <c r="H203" s="721"/>
      <c r="I203" s="721"/>
      <c r="J203" s="721"/>
      <c r="K203" s="721"/>
      <c r="L203" s="721"/>
      <c r="M203" s="721"/>
      <c r="N203" s="721"/>
      <c r="O203" s="721"/>
      <c r="P203" s="721"/>
      <c r="Q203" s="721"/>
      <c r="R203" s="721"/>
      <c r="S203" s="741"/>
      <c r="T203" s="721"/>
      <c r="U203" s="741"/>
      <c r="V203" s="721"/>
      <c r="W203" s="721"/>
      <c r="X203" s="721"/>
      <c r="Y203" s="721"/>
      <c r="Z203" s="721"/>
    </row>
    <row r="204" spans="1:26">
      <c r="A204" s="721"/>
      <c r="B204" s="722"/>
      <c r="C204" s="721"/>
      <c r="D204" s="721"/>
      <c r="E204" s="721"/>
      <c r="F204" s="721"/>
      <c r="G204" s="721"/>
      <c r="H204" s="721"/>
      <c r="I204" s="721"/>
      <c r="J204" s="721"/>
      <c r="K204" s="721"/>
      <c r="L204" s="721"/>
      <c r="M204" s="721"/>
      <c r="N204" s="721"/>
      <c r="O204" s="721"/>
      <c r="P204" s="721"/>
      <c r="Q204" s="721"/>
      <c r="R204" s="721"/>
      <c r="S204" s="741"/>
      <c r="T204" s="721"/>
      <c r="U204" s="741"/>
      <c r="V204" s="721"/>
      <c r="W204" s="721"/>
      <c r="X204" s="721"/>
      <c r="Y204" s="721"/>
      <c r="Z204" s="721"/>
    </row>
    <row r="205" spans="1:26">
      <c r="A205" s="721"/>
      <c r="B205" s="722"/>
      <c r="C205" s="721"/>
      <c r="D205" s="721"/>
      <c r="E205" s="721"/>
      <c r="F205" s="721"/>
      <c r="G205" s="721"/>
      <c r="H205" s="721"/>
      <c r="I205" s="721"/>
      <c r="J205" s="721"/>
      <c r="K205" s="721"/>
      <c r="L205" s="721"/>
      <c r="M205" s="721"/>
      <c r="N205" s="721"/>
      <c r="O205" s="721"/>
      <c r="P205" s="721"/>
      <c r="Q205" s="721"/>
      <c r="R205" s="721"/>
      <c r="S205" s="741"/>
      <c r="T205" s="721"/>
      <c r="U205" s="741"/>
      <c r="V205" s="721"/>
      <c r="W205" s="721"/>
      <c r="X205" s="721"/>
      <c r="Y205" s="721"/>
      <c r="Z205" s="721"/>
    </row>
    <row r="206" spans="1:26">
      <c r="A206" s="721"/>
      <c r="B206" s="722"/>
      <c r="C206" s="721"/>
      <c r="D206" s="721"/>
      <c r="E206" s="721"/>
      <c r="F206" s="721"/>
      <c r="G206" s="721"/>
      <c r="H206" s="721"/>
      <c r="I206" s="721"/>
      <c r="J206" s="721"/>
      <c r="K206" s="721"/>
      <c r="L206" s="721"/>
      <c r="M206" s="721"/>
      <c r="N206" s="721"/>
      <c r="O206" s="721"/>
      <c r="P206" s="721"/>
      <c r="Q206" s="721"/>
      <c r="R206" s="721"/>
      <c r="S206" s="741"/>
      <c r="T206" s="721"/>
      <c r="U206" s="741"/>
      <c r="V206" s="721"/>
      <c r="W206" s="721"/>
      <c r="X206" s="721"/>
      <c r="Y206" s="721"/>
      <c r="Z206" s="721"/>
    </row>
    <row r="207" spans="1:26">
      <c r="A207" s="721"/>
      <c r="B207" s="722"/>
      <c r="C207" s="721"/>
      <c r="D207" s="721"/>
      <c r="E207" s="721"/>
      <c r="F207" s="721"/>
      <c r="G207" s="721"/>
      <c r="H207" s="721"/>
      <c r="I207" s="721"/>
      <c r="J207" s="721"/>
      <c r="K207" s="721"/>
      <c r="L207" s="721"/>
      <c r="M207" s="721"/>
      <c r="N207" s="721"/>
      <c r="O207" s="721"/>
      <c r="P207" s="721"/>
      <c r="Q207" s="721"/>
      <c r="R207" s="721"/>
      <c r="S207" s="741"/>
      <c r="T207" s="721"/>
      <c r="U207" s="741"/>
      <c r="V207" s="721"/>
      <c r="W207" s="721"/>
      <c r="X207" s="721"/>
      <c r="Y207" s="721"/>
      <c r="Z207" s="721"/>
    </row>
    <row r="208" spans="1:26">
      <c r="A208" s="721"/>
      <c r="B208" s="722"/>
      <c r="C208" s="721"/>
      <c r="D208" s="721"/>
      <c r="E208" s="721"/>
      <c r="F208" s="721"/>
      <c r="G208" s="721"/>
      <c r="H208" s="721"/>
      <c r="I208" s="721"/>
      <c r="J208" s="721"/>
      <c r="K208" s="721"/>
      <c r="L208" s="721"/>
      <c r="M208" s="721"/>
      <c r="N208" s="721"/>
      <c r="O208" s="721"/>
      <c r="P208" s="721"/>
      <c r="Q208" s="721"/>
      <c r="R208" s="721"/>
      <c r="S208" s="741"/>
      <c r="T208" s="721"/>
      <c r="U208" s="741"/>
      <c r="V208" s="721"/>
      <c r="W208" s="721"/>
      <c r="X208" s="721"/>
      <c r="Y208" s="721"/>
      <c r="Z208" s="721"/>
    </row>
    <row r="209" spans="1:41">
      <c r="A209" s="721"/>
      <c r="B209" s="722"/>
      <c r="C209" s="721"/>
      <c r="D209" s="721"/>
      <c r="E209" s="721"/>
      <c r="F209" s="721"/>
      <c r="G209" s="721"/>
      <c r="H209" s="721"/>
      <c r="I209" s="721"/>
      <c r="J209" s="721"/>
      <c r="K209" s="721"/>
      <c r="L209" s="721"/>
      <c r="M209" s="721"/>
      <c r="N209" s="721"/>
      <c r="O209" s="721"/>
      <c r="P209" s="721"/>
      <c r="Q209" s="721"/>
      <c r="R209" s="721"/>
      <c r="S209" s="741"/>
      <c r="T209" s="721"/>
      <c r="U209" s="741"/>
      <c r="V209" s="721"/>
      <c r="W209" s="721"/>
      <c r="X209" s="721"/>
      <c r="Y209" s="721"/>
      <c r="Z209" s="721"/>
    </row>
    <row r="210" spans="1:41" ht="15.6">
      <c r="A210" s="860"/>
      <c r="B210" s="860"/>
      <c r="C210" s="860"/>
      <c r="D210" s="723"/>
      <c r="E210" s="723"/>
      <c r="F210" s="723"/>
      <c r="G210" s="723"/>
      <c r="H210" s="723"/>
      <c r="I210" s="723"/>
      <c r="J210" s="723"/>
      <c r="K210" s="723"/>
      <c r="L210" s="723"/>
      <c r="M210" s="723"/>
      <c r="N210" s="723"/>
      <c r="O210" s="723"/>
      <c r="P210" s="723"/>
      <c r="Q210" s="723"/>
      <c r="R210" s="723"/>
      <c r="S210" s="741"/>
      <c r="T210" s="723"/>
      <c r="U210" s="741"/>
      <c r="V210" s="723"/>
      <c r="W210" s="723"/>
      <c r="X210" s="723"/>
      <c r="Y210" s="723"/>
      <c r="Z210" s="723"/>
      <c r="AA210" s="724">
        <f>SUM(AA6:AA209)</f>
        <v>0</v>
      </c>
      <c r="AB210" s="76"/>
      <c r="AC210" s="724">
        <f t="shared" ref="AC210:AO210" si="0">SUM(AC6:AC209)</f>
        <v>0</v>
      </c>
      <c r="AD210" s="76"/>
      <c r="AE210" s="724">
        <f t="shared" si="0"/>
        <v>0</v>
      </c>
      <c r="AF210" s="76"/>
      <c r="AG210" s="724">
        <f t="shared" si="0"/>
        <v>0</v>
      </c>
      <c r="AH210" s="76"/>
      <c r="AI210" s="724">
        <f t="shared" si="0"/>
        <v>0</v>
      </c>
      <c r="AJ210" s="724">
        <f t="shared" si="0"/>
        <v>0</v>
      </c>
      <c r="AK210" s="724">
        <f t="shared" si="0"/>
        <v>0</v>
      </c>
      <c r="AL210" s="76"/>
      <c r="AM210" s="724">
        <f t="shared" si="0"/>
        <v>0</v>
      </c>
      <c r="AN210" s="724">
        <f t="shared" si="0"/>
        <v>0</v>
      </c>
      <c r="AO210" s="724">
        <f t="shared" si="0"/>
        <v>0</v>
      </c>
    </row>
  </sheetData>
  <autoFilter ref="A4:AU191" xr:uid="{F208FB15-B754-46C5-98FD-AC3889B0B3DE}">
    <filterColumn colId="0">
      <filters>
        <filter val="Four Oaks Primary School"/>
      </filters>
    </filterColumn>
  </autoFilter>
  <mergeCells count="2">
    <mergeCell ref="A210:C210"/>
    <mergeCell ref="AM2:AO2"/>
  </mergeCells>
  <pageMargins left="0.7" right="0.7" top="0.75" bottom="0.75" header="0.3" footer="0.3"/>
  <pageSetup paperSize="9" orientation="portrait" r:id="rId1"/>
  <headerFooter>
    <oddFooter>&amp;C_x000D_&amp;1#&amp;"Calibri"&amp;10&amp;K000000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EB7"/>
  <sheetViews>
    <sheetView topLeftCell="AN3" workbookViewId="0">
      <selection activeCell="BC13" sqref="BC13"/>
    </sheetView>
  </sheetViews>
  <sheetFormatPr defaultRowHeight="14.4"/>
  <cols>
    <col min="2" max="2" width="26.88671875" customWidth="1"/>
    <col min="7" max="7" width="10.6640625" bestFit="1" customWidth="1"/>
    <col min="132" max="132" width="13.6640625" bestFit="1" customWidth="1"/>
  </cols>
  <sheetData>
    <row r="1" spans="1:132" s="97" customFormat="1" ht="15.6">
      <c r="A1" s="95" t="str">
        <f>'Revised Outturn - to copy'!A1</f>
        <v>Schools Finance Budget Monitoring - Quarter 4 2024-25</v>
      </c>
      <c r="B1" s="96"/>
    </row>
    <row r="2" spans="1:132" s="97" customFormat="1" ht="15.6">
      <c r="A2" s="95" t="str">
        <f>'Revised Outturn - to copy'!A2</f>
        <v>LA Data Sheet - 2024-25 Outturn</v>
      </c>
      <c r="B2" s="96"/>
    </row>
    <row r="3" spans="1:132" s="97" customFormat="1" ht="15.6">
      <c r="A3" s="118"/>
      <c r="B3" s="118"/>
    </row>
    <row r="4" spans="1:132" s="103" customFormat="1" ht="12.75" customHeight="1">
      <c r="A4" s="842" t="s">
        <v>460</v>
      </c>
      <c r="B4" s="843"/>
      <c r="C4" s="843"/>
      <c r="D4" s="843"/>
      <c r="E4" s="843"/>
      <c r="F4" s="844"/>
      <c r="G4" s="845" t="s">
        <v>461</v>
      </c>
      <c r="H4" s="846"/>
      <c r="I4" s="846"/>
      <c r="J4" s="846"/>
      <c r="K4" s="846"/>
      <c r="L4" s="846"/>
      <c r="M4" s="846"/>
      <c r="N4" s="846"/>
      <c r="O4" s="846"/>
      <c r="P4" s="846"/>
      <c r="Q4" s="846"/>
      <c r="R4" s="846"/>
      <c r="S4" s="846"/>
      <c r="T4" s="846"/>
      <c r="U4" s="846"/>
      <c r="V4" s="846"/>
      <c r="W4" s="846"/>
      <c r="X4" s="846"/>
      <c r="Y4" s="846"/>
      <c r="Z4" s="846"/>
      <c r="AA4" s="846"/>
      <c r="AB4" s="846"/>
      <c r="AC4" s="846"/>
      <c r="AD4" s="846"/>
      <c r="AE4" s="846"/>
      <c r="AF4" s="846"/>
      <c r="AG4" s="846"/>
      <c r="AH4" s="846"/>
      <c r="AI4" s="846"/>
      <c r="AJ4" s="846"/>
      <c r="AK4" s="846"/>
      <c r="AL4" s="846"/>
      <c r="AM4" s="846"/>
      <c r="AN4" s="846"/>
      <c r="AO4" s="846"/>
      <c r="AP4" s="846"/>
      <c r="AQ4" s="846"/>
      <c r="AR4" s="846"/>
      <c r="AS4" s="846"/>
      <c r="AT4" s="846"/>
      <c r="AU4" s="846"/>
      <c r="AV4" s="846"/>
      <c r="AW4" s="846"/>
      <c r="AX4" s="846"/>
      <c r="AY4" s="846"/>
      <c r="AZ4" s="846"/>
      <c r="BA4" s="846"/>
      <c r="BB4" s="846"/>
      <c r="BC4" s="846"/>
      <c r="BD4" s="846"/>
      <c r="BE4" s="846"/>
      <c r="BF4" s="846"/>
      <c r="BG4" s="846"/>
      <c r="BH4" s="846"/>
      <c r="BI4" s="846"/>
      <c r="BJ4" s="846"/>
      <c r="BK4" s="846"/>
      <c r="BL4" s="846"/>
      <c r="BM4" s="847"/>
      <c r="BN4" s="848" t="s">
        <v>462</v>
      </c>
      <c r="BO4" s="849"/>
      <c r="BP4" s="849"/>
      <c r="BQ4" s="849"/>
      <c r="BR4" s="849"/>
      <c r="BS4" s="849"/>
      <c r="BT4" s="849"/>
      <c r="BU4" s="849"/>
      <c r="BV4" s="849"/>
      <c r="BW4" s="849"/>
      <c r="BX4" s="849"/>
      <c r="BY4" s="849"/>
      <c r="BZ4" s="849"/>
      <c r="CA4" s="849"/>
      <c r="CB4" s="849"/>
      <c r="CC4" s="850"/>
      <c r="CD4" s="851" t="s">
        <v>463</v>
      </c>
      <c r="CE4" s="852"/>
      <c r="CF4" s="852"/>
      <c r="CG4" s="852"/>
      <c r="CH4" s="852"/>
      <c r="CI4" s="852"/>
      <c r="CJ4" s="852"/>
      <c r="CK4" s="852"/>
      <c r="CL4" s="853"/>
      <c r="CM4" s="854" t="s">
        <v>464</v>
      </c>
      <c r="CN4" s="854"/>
      <c r="CO4" s="854"/>
      <c r="CP4" s="854"/>
      <c r="CQ4" s="854"/>
      <c r="CR4" s="854"/>
      <c r="CS4" s="855" t="s">
        <v>465</v>
      </c>
      <c r="CT4" s="856"/>
      <c r="CU4" s="856"/>
      <c r="CV4" s="856"/>
      <c r="CW4" s="856"/>
      <c r="CX4" s="856"/>
      <c r="CY4" s="856"/>
      <c r="CZ4" s="856"/>
      <c r="DA4" s="856"/>
      <c r="DB4" s="857"/>
      <c r="DC4" s="836" t="s">
        <v>1135</v>
      </c>
      <c r="DD4" s="837"/>
      <c r="DE4" s="837"/>
      <c r="DF4" s="837"/>
      <c r="DG4" s="837"/>
      <c r="DH4" s="837"/>
      <c r="DI4" s="837"/>
      <c r="DJ4" s="837"/>
      <c r="DK4" s="838"/>
      <c r="DL4" s="839" t="s">
        <v>467</v>
      </c>
      <c r="DM4" s="839"/>
      <c r="DN4" s="839"/>
      <c r="DO4" s="839"/>
      <c r="DP4" s="839"/>
      <c r="DQ4" s="839"/>
      <c r="DR4" s="839"/>
      <c r="DS4" s="839"/>
      <c r="DT4" s="839"/>
      <c r="DU4" s="840" t="s">
        <v>468</v>
      </c>
      <c r="DV4" s="840"/>
      <c r="DW4" s="841" t="s">
        <v>469</v>
      </c>
      <c r="DX4" s="841"/>
      <c r="DY4" s="102"/>
      <c r="DZ4" s="102"/>
    </row>
    <row r="5" spans="1:132" s="114" customFormat="1" ht="140.4">
      <c r="A5" s="104" t="s">
        <v>470</v>
      </c>
      <c r="B5" s="104" t="s">
        <v>4</v>
      </c>
      <c r="C5" s="104" t="s">
        <v>471</v>
      </c>
      <c r="D5" s="104" t="s">
        <v>1136</v>
      </c>
      <c r="E5" s="104" t="s">
        <v>473</v>
      </c>
      <c r="F5" s="104" t="s">
        <v>474</v>
      </c>
      <c r="G5" s="105" t="s">
        <v>475</v>
      </c>
      <c r="H5" s="105" t="s">
        <v>80</v>
      </c>
      <c r="I5" s="105" t="s">
        <v>476</v>
      </c>
      <c r="J5" s="105" t="s">
        <v>84</v>
      </c>
      <c r="K5" s="105" t="s">
        <v>86</v>
      </c>
      <c r="L5" s="105" t="s">
        <v>88</v>
      </c>
      <c r="M5" s="105" t="s">
        <v>477</v>
      </c>
      <c r="N5" s="105" t="s">
        <v>93</v>
      </c>
      <c r="O5" s="105" t="s">
        <v>95</v>
      </c>
      <c r="P5" s="105" t="s">
        <v>97</v>
      </c>
      <c r="Q5" s="105" t="s">
        <v>99</v>
      </c>
      <c r="R5" s="105" t="s">
        <v>101</v>
      </c>
      <c r="S5" s="105" t="s">
        <v>478</v>
      </c>
      <c r="T5" s="105" t="s">
        <v>105</v>
      </c>
      <c r="U5" s="105" t="s">
        <v>479</v>
      </c>
      <c r="V5" s="105" t="s">
        <v>1137</v>
      </c>
      <c r="W5" s="105" t="s">
        <v>1138</v>
      </c>
      <c r="X5" s="105" t="s">
        <v>480</v>
      </c>
      <c r="Y5" s="105" t="s">
        <v>111</v>
      </c>
      <c r="Z5" s="105" t="s">
        <v>481</v>
      </c>
      <c r="AA5" s="105" t="s">
        <v>115</v>
      </c>
      <c r="AB5" s="105" t="s">
        <v>117</v>
      </c>
      <c r="AC5" s="105" t="s">
        <v>119</v>
      </c>
      <c r="AD5" s="105" t="s">
        <v>121</v>
      </c>
      <c r="AE5" s="105" t="s">
        <v>123</v>
      </c>
      <c r="AF5" s="105" t="s">
        <v>125</v>
      </c>
      <c r="AG5" s="105" t="s">
        <v>482</v>
      </c>
      <c r="AH5" s="105" t="s">
        <v>129</v>
      </c>
      <c r="AI5" s="105" t="s">
        <v>131</v>
      </c>
      <c r="AJ5" s="105" t="s">
        <v>133</v>
      </c>
      <c r="AK5" s="105" t="s">
        <v>135</v>
      </c>
      <c r="AL5" s="105" t="s">
        <v>137</v>
      </c>
      <c r="AM5" s="105" t="s">
        <v>139</v>
      </c>
      <c r="AN5" s="105" t="s">
        <v>141</v>
      </c>
      <c r="AO5" s="105" t="s">
        <v>143</v>
      </c>
      <c r="AP5" s="105" t="s">
        <v>145</v>
      </c>
      <c r="AQ5" s="105" t="s">
        <v>483</v>
      </c>
      <c r="AR5" s="105" t="s">
        <v>150</v>
      </c>
      <c r="AS5" s="105" t="s">
        <v>152</v>
      </c>
      <c r="AT5" s="105" t="s">
        <v>154</v>
      </c>
      <c r="AU5" s="105" t="s">
        <v>156</v>
      </c>
      <c r="AV5" s="105" t="s">
        <v>158</v>
      </c>
      <c r="AW5" s="105" t="s">
        <v>160</v>
      </c>
      <c r="AX5" s="105" t="s">
        <v>162</v>
      </c>
      <c r="AY5" s="105" t="s">
        <v>484</v>
      </c>
      <c r="AZ5" s="105" t="s">
        <v>166</v>
      </c>
      <c r="BA5" s="105" t="s">
        <v>168</v>
      </c>
      <c r="BB5" s="105" t="s">
        <v>170</v>
      </c>
      <c r="BC5" s="105" t="s">
        <v>172</v>
      </c>
      <c r="BD5" s="105" t="s">
        <v>174</v>
      </c>
      <c r="BE5" s="105" t="s">
        <v>176</v>
      </c>
      <c r="BF5" s="105" t="s">
        <v>179</v>
      </c>
      <c r="BG5" s="105" t="s">
        <v>181</v>
      </c>
      <c r="BH5" s="105" t="s">
        <v>183</v>
      </c>
      <c r="BI5" s="105" t="s">
        <v>185</v>
      </c>
      <c r="BJ5" s="105" t="s">
        <v>485</v>
      </c>
      <c r="BK5" s="105" t="s">
        <v>486</v>
      </c>
      <c r="BL5" s="105" t="s">
        <v>487</v>
      </c>
      <c r="BM5" s="105" t="s">
        <v>488</v>
      </c>
      <c r="BN5" s="106" t="s">
        <v>489</v>
      </c>
      <c r="BO5" s="106" t="s">
        <v>195</v>
      </c>
      <c r="BP5" s="106" t="s">
        <v>197</v>
      </c>
      <c r="BQ5" s="106" t="s">
        <v>490</v>
      </c>
      <c r="BR5" s="106" t="s">
        <v>201</v>
      </c>
      <c r="BS5" s="106" t="s">
        <v>491</v>
      </c>
      <c r="BT5" s="106" t="s">
        <v>205</v>
      </c>
      <c r="BU5" s="106" t="s">
        <v>150</v>
      </c>
      <c r="BV5" s="106" t="s">
        <v>152</v>
      </c>
      <c r="BW5" s="106" t="s">
        <v>156</v>
      </c>
      <c r="BX5" s="106" t="s">
        <v>210</v>
      </c>
      <c r="BY5" s="106" t="s">
        <v>160</v>
      </c>
      <c r="BZ5" s="106" t="s">
        <v>492</v>
      </c>
      <c r="CA5" s="106" t="s">
        <v>493</v>
      </c>
      <c r="CB5" s="106" t="s">
        <v>494</v>
      </c>
      <c r="CC5" s="106" t="s">
        <v>495</v>
      </c>
      <c r="CD5" s="107" t="s">
        <v>496</v>
      </c>
      <c r="CE5" s="107" t="s">
        <v>222</v>
      </c>
      <c r="CF5" s="107" t="s">
        <v>497</v>
      </c>
      <c r="CG5" s="107" t="s">
        <v>226</v>
      </c>
      <c r="CH5" s="107" t="s">
        <v>228</v>
      </c>
      <c r="CI5" s="107" t="s">
        <v>498</v>
      </c>
      <c r="CJ5" s="107" t="s">
        <v>499</v>
      </c>
      <c r="CK5" s="107" t="s">
        <v>500</v>
      </c>
      <c r="CL5" s="107" t="s">
        <v>501</v>
      </c>
      <c r="CM5" s="98" t="s">
        <v>235</v>
      </c>
      <c r="CN5" s="98" t="s">
        <v>237</v>
      </c>
      <c r="CO5" s="98" t="s">
        <v>502</v>
      </c>
      <c r="CP5" s="98" t="s">
        <v>241</v>
      </c>
      <c r="CQ5" s="98" t="s">
        <v>243</v>
      </c>
      <c r="CR5" s="98" t="s">
        <v>503</v>
      </c>
      <c r="CS5" s="108" t="s">
        <v>504</v>
      </c>
      <c r="CT5" s="108" t="s">
        <v>505</v>
      </c>
      <c r="CU5" s="108" t="s">
        <v>506</v>
      </c>
      <c r="CV5" s="108" t="s">
        <v>257</v>
      </c>
      <c r="CW5" s="108" t="s">
        <v>258</v>
      </c>
      <c r="CX5" s="108" t="s">
        <v>1139</v>
      </c>
      <c r="CY5" s="108" t="s">
        <v>512</v>
      </c>
      <c r="CZ5" s="108" t="s">
        <v>509</v>
      </c>
      <c r="DA5" s="108" t="s">
        <v>510</v>
      </c>
      <c r="DB5" s="108" t="s">
        <v>511</v>
      </c>
      <c r="DC5" s="109" t="s">
        <v>504</v>
      </c>
      <c r="DD5" s="109" t="s">
        <v>505</v>
      </c>
      <c r="DE5" s="109" t="s">
        <v>506</v>
      </c>
      <c r="DF5" s="109" t="s">
        <v>257</v>
      </c>
      <c r="DG5" s="109" t="s">
        <v>258</v>
      </c>
      <c r="DH5" s="109" t="s">
        <v>512</v>
      </c>
      <c r="DI5" s="109" t="s">
        <v>509</v>
      </c>
      <c r="DJ5" s="109" t="s">
        <v>510</v>
      </c>
      <c r="DK5" s="109" t="s">
        <v>511</v>
      </c>
      <c r="DL5" s="99" t="s">
        <v>1140</v>
      </c>
      <c r="DM5" s="99" t="s">
        <v>1141</v>
      </c>
      <c r="DN5" s="99" t="s">
        <v>1142</v>
      </c>
      <c r="DO5" s="99" t="s">
        <v>1143</v>
      </c>
      <c r="DP5" s="99" t="s">
        <v>1144</v>
      </c>
      <c r="DQ5" s="99" t="s">
        <v>1145</v>
      </c>
      <c r="DR5" s="99" t="s">
        <v>1146</v>
      </c>
      <c r="DS5" s="99" t="s">
        <v>1147</v>
      </c>
      <c r="DT5" s="99" t="s">
        <v>517</v>
      </c>
      <c r="DU5" s="110" t="s">
        <v>1140</v>
      </c>
      <c r="DV5" s="110" t="s">
        <v>1141</v>
      </c>
      <c r="DW5" s="111" t="s">
        <v>1144</v>
      </c>
      <c r="DX5" s="111" t="s">
        <v>1145</v>
      </c>
      <c r="DY5" s="112" t="s">
        <v>1148</v>
      </c>
      <c r="DZ5" s="112" t="s">
        <v>1149</v>
      </c>
      <c r="EA5" s="113" t="s">
        <v>520</v>
      </c>
    </row>
    <row r="6" spans="1:132" s="103" customFormat="1" ht="15.6">
      <c r="A6" s="119"/>
      <c r="B6" s="119"/>
      <c r="C6" s="119"/>
      <c r="D6" s="119"/>
      <c r="E6" s="119"/>
      <c r="F6" s="119"/>
      <c r="G6" s="120" t="s">
        <v>77</v>
      </c>
      <c r="H6" s="120" t="s">
        <v>79</v>
      </c>
      <c r="I6" s="120" t="s">
        <v>81</v>
      </c>
      <c r="J6" s="120" t="s">
        <v>83</v>
      </c>
      <c r="K6" s="120" t="s">
        <v>85</v>
      </c>
      <c r="L6" s="120" t="s">
        <v>87</v>
      </c>
      <c r="M6" s="120" t="s">
        <v>89</v>
      </c>
      <c r="N6" s="120" t="s">
        <v>92</v>
      </c>
      <c r="O6" s="120" t="s">
        <v>94</v>
      </c>
      <c r="P6" s="120" t="s">
        <v>96</v>
      </c>
      <c r="Q6" s="120" t="s">
        <v>98</v>
      </c>
      <c r="R6" s="120" t="s">
        <v>100</v>
      </c>
      <c r="S6" s="120" t="s">
        <v>102</v>
      </c>
      <c r="T6" s="120" t="s">
        <v>104</v>
      </c>
      <c r="U6" s="120" t="s">
        <v>106</v>
      </c>
      <c r="V6" s="120" t="s">
        <v>1150</v>
      </c>
      <c r="W6" s="120" t="s">
        <v>1151</v>
      </c>
      <c r="X6" s="121"/>
      <c r="Y6" s="120" t="s">
        <v>110</v>
      </c>
      <c r="Z6" s="120" t="s">
        <v>112</v>
      </c>
      <c r="AA6" s="120" t="s">
        <v>114</v>
      </c>
      <c r="AB6" s="120" t="s">
        <v>116</v>
      </c>
      <c r="AC6" s="120" t="s">
        <v>118</v>
      </c>
      <c r="AD6" s="120" t="s">
        <v>120</v>
      </c>
      <c r="AE6" s="120" t="s">
        <v>122</v>
      </c>
      <c r="AF6" s="120" t="s">
        <v>124</v>
      </c>
      <c r="AG6" s="120" t="s">
        <v>126</v>
      </c>
      <c r="AH6" s="120" t="s">
        <v>128</v>
      </c>
      <c r="AI6" s="120" t="s">
        <v>130</v>
      </c>
      <c r="AJ6" s="120" t="s">
        <v>132</v>
      </c>
      <c r="AK6" s="120" t="s">
        <v>134</v>
      </c>
      <c r="AL6" s="120" t="s">
        <v>136</v>
      </c>
      <c r="AM6" s="120" t="s">
        <v>138</v>
      </c>
      <c r="AN6" s="120" t="s">
        <v>140</v>
      </c>
      <c r="AO6" s="120" t="s">
        <v>142</v>
      </c>
      <c r="AP6" s="120" t="s">
        <v>144</v>
      </c>
      <c r="AQ6" s="120" t="s">
        <v>146</v>
      </c>
      <c r="AR6" s="120" t="s">
        <v>149</v>
      </c>
      <c r="AS6" s="120" t="s">
        <v>151</v>
      </c>
      <c r="AT6" s="120" t="s">
        <v>153</v>
      </c>
      <c r="AU6" s="120" t="s">
        <v>155</v>
      </c>
      <c r="AV6" s="120" t="s">
        <v>157</v>
      </c>
      <c r="AW6" s="120" t="s">
        <v>159</v>
      </c>
      <c r="AX6" s="120" t="s">
        <v>161</v>
      </c>
      <c r="AY6" s="120" t="s">
        <v>163</v>
      </c>
      <c r="AZ6" s="120" t="s">
        <v>165</v>
      </c>
      <c r="BA6" s="120" t="s">
        <v>167</v>
      </c>
      <c r="BB6" s="120" t="s">
        <v>169</v>
      </c>
      <c r="BC6" s="120" t="s">
        <v>171</v>
      </c>
      <c r="BD6" s="120" t="s">
        <v>173</v>
      </c>
      <c r="BE6" s="120" t="s">
        <v>175</v>
      </c>
      <c r="BF6" s="120" t="s">
        <v>178</v>
      </c>
      <c r="BG6" s="120" t="s">
        <v>180</v>
      </c>
      <c r="BH6" s="120" t="s">
        <v>182</v>
      </c>
      <c r="BI6" s="120" t="s">
        <v>184</v>
      </c>
      <c r="BJ6" s="120"/>
      <c r="BK6" s="120"/>
      <c r="BL6" s="120"/>
      <c r="BM6" s="120"/>
      <c r="BN6" s="122" t="s">
        <v>192</v>
      </c>
      <c r="BO6" s="122" t="s">
        <v>194</v>
      </c>
      <c r="BP6" s="122" t="s">
        <v>196</v>
      </c>
      <c r="BQ6" s="122"/>
      <c r="BR6" s="122" t="s">
        <v>200</v>
      </c>
      <c r="BS6" s="122" t="s">
        <v>202</v>
      </c>
      <c r="BT6" s="122" t="s">
        <v>204</v>
      </c>
      <c r="BU6" s="714" t="s">
        <v>206</v>
      </c>
      <c r="BV6" s="714" t="s">
        <v>207</v>
      </c>
      <c r="BW6" s="714" t="s">
        <v>208</v>
      </c>
      <c r="BX6" s="714" t="s">
        <v>209</v>
      </c>
      <c r="BY6" s="714" t="s">
        <v>212</v>
      </c>
      <c r="BZ6" s="122"/>
      <c r="CA6" s="122"/>
      <c r="CB6" s="122"/>
      <c r="CC6" s="122"/>
      <c r="CD6" s="123" t="s">
        <v>219</v>
      </c>
      <c r="CE6" s="123" t="s">
        <v>221</v>
      </c>
      <c r="CF6" s="123"/>
      <c r="CG6" s="123" t="s">
        <v>225</v>
      </c>
      <c r="CH6" s="123" t="s">
        <v>227</v>
      </c>
      <c r="CI6" s="123"/>
      <c r="CJ6" s="123"/>
      <c r="CK6" s="123"/>
      <c r="CL6" s="123"/>
      <c r="CM6" s="124" t="s">
        <v>234</v>
      </c>
      <c r="CN6" s="124" t="s">
        <v>236</v>
      </c>
      <c r="CO6" s="124" t="s">
        <v>238</v>
      </c>
      <c r="CP6" s="124" t="s">
        <v>240</v>
      </c>
      <c r="CQ6" s="124" t="s">
        <v>242</v>
      </c>
      <c r="CR6" s="124"/>
      <c r="CS6" s="125"/>
      <c r="CT6" s="125"/>
      <c r="CU6" s="125"/>
      <c r="CV6" s="125"/>
      <c r="CW6" s="125"/>
      <c r="CX6" s="125"/>
      <c r="CY6" s="125"/>
      <c r="CZ6" s="125"/>
      <c r="DA6" s="125"/>
      <c r="DB6" s="125"/>
      <c r="DC6" s="126"/>
      <c r="DD6" s="126"/>
      <c r="DE6" s="126"/>
      <c r="DF6" s="126"/>
      <c r="DG6" s="126"/>
      <c r="DH6" s="126"/>
      <c r="DI6" s="126"/>
      <c r="DJ6" s="126"/>
      <c r="DK6" s="126"/>
      <c r="DL6" s="127"/>
      <c r="DM6" s="127"/>
      <c r="DN6" s="127"/>
      <c r="DO6" s="127"/>
      <c r="DP6" s="127"/>
      <c r="DQ6" s="127"/>
      <c r="DR6" s="127"/>
      <c r="DS6" s="127"/>
      <c r="DT6" s="127"/>
      <c r="DU6" s="100"/>
      <c r="DV6" s="100"/>
      <c r="DW6" s="101"/>
      <c r="DX6" s="101"/>
      <c r="DY6" s="128"/>
      <c r="DZ6" s="128"/>
      <c r="EA6" s="129"/>
    </row>
    <row r="7" spans="1:132" s="103" customFormat="1" ht="46.8">
      <c r="A7" s="116" t="str">
        <f>'CFR Return'!C3</f>
        <v>0000</v>
      </c>
      <c r="B7" s="116" t="str">
        <f>'CFR Return'!C2</f>
        <v>Select School</v>
      </c>
      <c r="C7" s="116" t="s">
        <v>1152</v>
      </c>
      <c r="D7" s="116"/>
      <c r="E7" s="116" t="str">
        <f>'CFR Return'!C4</f>
        <v>Final Accounts</v>
      </c>
      <c r="F7" s="116"/>
      <c r="G7" s="117">
        <f>IFERROR(INDEX('CFR Return'!$P:$P,MATCH(Outturn!G6,'CFR Return'!$B:$B,0)),0)</f>
        <v>0</v>
      </c>
      <c r="H7" s="117">
        <f>IFERROR(INDEX('CFR Return'!$P:$P,MATCH(Outturn!H6,'CFR Return'!$B:$B,0)),0)</f>
        <v>0</v>
      </c>
      <c r="I7" s="117">
        <f>IFERROR(INDEX('CFR Return'!$P:$P,MATCH(Outturn!I6,'CFR Return'!$B:$B,0)),0)</f>
        <v>0</v>
      </c>
      <c r="J7" s="117">
        <f>IFERROR(INDEX('CFR Return'!$P:$P,MATCH(Outturn!J6,'CFR Return'!$B:$B,0)),0)</f>
        <v>0</v>
      </c>
      <c r="K7" s="117">
        <f>IFERROR(INDEX('CFR Return'!$P:$P,MATCH(Outturn!K6,'CFR Return'!$B:$B,0)),0)</f>
        <v>0</v>
      </c>
      <c r="L7" s="117">
        <f>IFERROR(INDEX('CFR Return'!$P:$P,MATCH(Outturn!L6,'CFR Return'!$B:$B,0)),0)</f>
        <v>0</v>
      </c>
      <c r="M7" s="117">
        <f>IFERROR(INDEX('CFR Return'!$P:$P,MATCH(Outturn!M6,'CFR Return'!$B:$B,0)),0)</f>
        <v>0</v>
      </c>
      <c r="N7" s="117">
        <f>IFERROR(INDEX('CFR Return'!$P:$P,MATCH(Outturn!N6,'CFR Return'!$B:$B,0)),0)</f>
        <v>0</v>
      </c>
      <c r="O7" s="117">
        <f>IFERROR(INDEX('CFR Return'!$P:$P,MATCH(Outturn!O6,'CFR Return'!$B:$B,0)),0)</f>
        <v>0</v>
      </c>
      <c r="P7" s="117">
        <f>IFERROR(INDEX('CFR Return'!$P:$P,MATCH(Outturn!P6,'CFR Return'!$B:$B,0)),0)</f>
        <v>0</v>
      </c>
      <c r="Q7" s="117">
        <f>IFERROR(INDEX('CFR Return'!$P:$P,MATCH(Outturn!Q6,'CFR Return'!$B:$B,0)),0)</f>
        <v>0</v>
      </c>
      <c r="R7" s="117">
        <f>IFERROR(INDEX('CFR Return'!$P:$P,MATCH(Outturn!R6,'CFR Return'!$B:$B,0)),0)</f>
        <v>0</v>
      </c>
      <c r="S7" s="117">
        <f>IFERROR(INDEX('CFR Return'!$P:$P,MATCH(Outturn!S6,'CFR Return'!$B:$B,0)),0)</f>
        <v>0</v>
      </c>
      <c r="T7" s="117">
        <f>IFERROR(INDEX('CFR Return'!$P:$P,MATCH(Outturn!T6,'CFR Return'!$B:$B,0)),0)</f>
        <v>0</v>
      </c>
      <c r="U7" s="117">
        <f>IFERROR(INDEX('CFR Return'!$P:$P,MATCH(Outturn!U6,'CFR Return'!$B:$B,0)),0)</f>
        <v>0</v>
      </c>
      <c r="V7" s="117">
        <f>IFERROR(INDEX('CFR Return'!$P:$P,MATCH(Outturn!V6,'CFR Return'!$B:$B,0)),0)</f>
        <v>0</v>
      </c>
      <c r="W7" s="117">
        <f>IFERROR(INDEX('CFR Return'!$P:$P,MATCH(Outturn!W6,'CFR Return'!$B:$B,0)),0)</f>
        <v>0</v>
      </c>
      <c r="X7" s="117">
        <f>SUM(G7:W7)</f>
        <v>0</v>
      </c>
      <c r="Y7" s="117">
        <f>IFERROR(INDEX('CFR Return'!$P:$P,MATCH(Outturn!Y6,'CFR Return'!$B:$B,0)),0)</f>
        <v>0</v>
      </c>
      <c r="Z7" s="117">
        <f>IFERROR(INDEX('CFR Return'!$P:$P,MATCH(Outturn!Z6,'CFR Return'!$B:$B,0)),0)</f>
        <v>0</v>
      </c>
      <c r="AA7" s="117">
        <f>IFERROR(INDEX('CFR Return'!$P:$P,MATCH(Outturn!AA6,'CFR Return'!$B:$B,0)),0)</f>
        <v>0</v>
      </c>
      <c r="AB7" s="117">
        <f>IFERROR(INDEX('CFR Return'!$P:$P,MATCH(Outturn!AB6,'CFR Return'!$B:$B,0)),0)</f>
        <v>0</v>
      </c>
      <c r="AC7" s="117">
        <f>IFERROR(INDEX('CFR Return'!$P:$P,MATCH(Outturn!AC6,'CFR Return'!$B:$B,0)),0)</f>
        <v>0</v>
      </c>
      <c r="AD7" s="117">
        <f>IFERROR(INDEX('CFR Return'!$P:$P,MATCH(Outturn!AD6,'CFR Return'!$B:$B,0)),0)</f>
        <v>0</v>
      </c>
      <c r="AE7" s="117">
        <f>IFERROR(INDEX('CFR Return'!$P:$P,MATCH(Outturn!AE6,'CFR Return'!$B:$B,0)),0)</f>
        <v>0</v>
      </c>
      <c r="AF7" s="117">
        <f>IFERROR(INDEX('CFR Return'!$P:$P,MATCH(Outturn!AF6,'CFR Return'!$B:$B,0)),0)</f>
        <v>0</v>
      </c>
      <c r="AG7" s="117">
        <f>IFERROR(INDEX('CFR Return'!$P:$P,MATCH(Outturn!AG6,'CFR Return'!$B:$B,0)),0)</f>
        <v>0</v>
      </c>
      <c r="AH7" s="117">
        <f>IFERROR(INDEX('CFR Return'!$P:$P,MATCH(Outturn!AH6,'CFR Return'!$B:$B,0)),0)</f>
        <v>0</v>
      </c>
      <c r="AI7" s="117">
        <f>IFERROR(INDEX('CFR Return'!$P:$P,MATCH(Outturn!AI6,'CFR Return'!$B:$B,0)),0)</f>
        <v>0</v>
      </c>
      <c r="AJ7" s="117">
        <f>IFERROR(INDEX('CFR Return'!$P:$P,MATCH(Outturn!AJ6,'CFR Return'!$B:$B,0)),0)</f>
        <v>0</v>
      </c>
      <c r="AK7" s="117">
        <f>IFERROR(INDEX('CFR Return'!$P:$P,MATCH(Outturn!AK6,'CFR Return'!$B:$B,0)),0)</f>
        <v>0</v>
      </c>
      <c r="AL7" s="117">
        <f>IFERROR(INDEX('CFR Return'!$P:$P,MATCH(Outturn!AL6,'CFR Return'!$B:$B,0)),0)</f>
        <v>0</v>
      </c>
      <c r="AM7" s="117">
        <f>IFERROR(INDEX('CFR Return'!$P:$P,MATCH(Outturn!AM6,'CFR Return'!$B:$B,0)),0)</f>
        <v>0</v>
      </c>
      <c r="AN7" s="117">
        <f>IFERROR(INDEX('CFR Return'!$P:$P,MATCH(Outturn!AN6,'CFR Return'!$B:$B,0)),0)</f>
        <v>0</v>
      </c>
      <c r="AO7" s="117">
        <f>IFERROR(INDEX('CFR Return'!$P:$P,MATCH(Outturn!AO6,'CFR Return'!$B:$B,0)),0)</f>
        <v>0</v>
      </c>
      <c r="AP7" s="117">
        <f>IFERROR(INDEX('CFR Return'!$P:$P,MATCH(Outturn!AP6,'CFR Return'!$B:$B,0)),0)</f>
        <v>0</v>
      </c>
      <c r="AQ7" s="117">
        <f>IFERROR(INDEX('CFR Return'!$P:$P,MATCH(Outturn!AQ6,'CFR Return'!$B:$B,0)),0)</f>
        <v>0</v>
      </c>
      <c r="AR7" s="117">
        <f>IFERROR(INDEX('CFR Return'!$P:$P,MATCH(Outturn!AR6,'CFR Return'!$B:$B,0)),0)</f>
        <v>0</v>
      </c>
      <c r="AS7" s="117">
        <f>IFERROR(INDEX('CFR Return'!$P:$P,MATCH(Outturn!AS6,'CFR Return'!$B:$B,0)),0)</f>
        <v>0</v>
      </c>
      <c r="AT7" s="117">
        <f>IFERROR(INDEX('CFR Return'!$P:$P,MATCH(Outturn!AT6,'CFR Return'!$B:$B,0)),0)</f>
        <v>0</v>
      </c>
      <c r="AU7" s="117">
        <f>IFERROR(INDEX('CFR Return'!$P:$P,MATCH(Outturn!AU6,'CFR Return'!$B:$B,0)),0)</f>
        <v>0</v>
      </c>
      <c r="AV7" s="117">
        <f>IFERROR(INDEX('CFR Return'!$P:$P,MATCH(Outturn!AV6,'CFR Return'!$B:$B,0)),0)</f>
        <v>0</v>
      </c>
      <c r="AW7" s="117">
        <f>IFERROR(INDEX('CFR Return'!$P:$P,MATCH(Outturn!AW6,'CFR Return'!$B:$B,0)),0)</f>
        <v>0</v>
      </c>
      <c r="AX7" s="117">
        <f>IFERROR(INDEX('CFR Return'!$P:$P,MATCH(Outturn!AX6,'CFR Return'!$B:$B,0)),0)</f>
        <v>0</v>
      </c>
      <c r="AY7" s="117">
        <f>IFERROR(INDEX('CFR Return'!$P:$P,MATCH(Outturn!AY6,'CFR Return'!$B:$B,0)),0)</f>
        <v>0</v>
      </c>
      <c r="AZ7" s="117">
        <f>IFERROR(INDEX('CFR Return'!$P:$P,MATCH(Outturn!AZ6,'CFR Return'!$B:$B,0)),0)</f>
        <v>0</v>
      </c>
      <c r="BA7" s="117">
        <f>IFERROR(INDEX('CFR Return'!$P:$P,MATCH(Outturn!BA6,'CFR Return'!$B:$B,0)),0)</f>
        <v>0</v>
      </c>
      <c r="BB7" s="117">
        <f>IFERROR(INDEX('CFR Return'!$P:$P,MATCH(Outturn!BB6,'CFR Return'!$B:$B,0)),0)</f>
        <v>0</v>
      </c>
      <c r="BC7" s="117">
        <f>IFERROR(INDEX('CFR Return'!$P:$P,MATCH(Outturn!BC6,'CFR Return'!$B:$B,0)),0)</f>
        <v>0</v>
      </c>
      <c r="BD7" s="117">
        <f>IFERROR(INDEX('CFR Return'!$P:$P,MATCH(Outturn!BD6,'CFR Return'!$B:$B,0)),0)</f>
        <v>0</v>
      </c>
      <c r="BE7" s="117">
        <f>IFERROR(INDEX('CFR Return'!$P:$P,MATCH(Outturn!BE6,'CFR Return'!$B:$B,0)),0)</f>
        <v>0</v>
      </c>
      <c r="BF7" s="117">
        <f>IFERROR(INDEX('CFR Return'!$P:$P,MATCH(Outturn!BF6,'CFR Return'!$B:$B,0)),0)</f>
        <v>0</v>
      </c>
      <c r="BG7" s="117">
        <f>IFERROR(INDEX('CFR Return'!$P:$P,MATCH(Outturn!BG6,'CFR Return'!$B:$B,0)),0)</f>
        <v>0</v>
      </c>
      <c r="BH7" s="117">
        <f>IFERROR(INDEX('CFR Return'!$P:$P,MATCH(Outturn!BH6,'CFR Return'!$B:$B,0)),0)</f>
        <v>0</v>
      </c>
      <c r="BI7" s="117">
        <f>IFERROR(INDEX('CFR Return'!$P:$P,MATCH(Outturn!BI6,'CFR Return'!$B:$B,0)),0)</f>
        <v>0</v>
      </c>
      <c r="BJ7" s="117">
        <f>SUM(Y7:BI7)</f>
        <v>0</v>
      </c>
      <c r="BK7" s="117">
        <f>'CFR Return'!$P10</f>
        <v>0</v>
      </c>
      <c r="BL7" s="117">
        <f>X7-BJ7</f>
        <v>0</v>
      </c>
      <c r="BM7" s="117">
        <f>BK7+BL7</f>
        <v>0</v>
      </c>
      <c r="BN7" s="117">
        <f>IFERROR(INDEX('CFR Return'!$P:$P,MATCH(Outturn!BN6,'CFR Return'!$B:$B,0)),0)</f>
        <v>0</v>
      </c>
      <c r="BO7" s="117">
        <f>IFERROR(INDEX('CFR Return'!$P:$P,MATCH(Outturn!BO6,'CFR Return'!$B:$B,0)),0)</f>
        <v>0</v>
      </c>
      <c r="BP7" s="117">
        <f>IFERROR(INDEX('CFR Return'!$P:$P,MATCH(Outturn!BP6,'CFR Return'!$B:$B,0)),0)</f>
        <v>0</v>
      </c>
      <c r="BQ7" s="117">
        <f>SUM(BN7:BP7)</f>
        <v>0</v>
      </c>
      <c r="BR7" s="117">
        <f>IFERROR(INDEX('CFR Return'!$P:$P,MATCH(Outturn!BR6,'CFR Return'!$B:$B,0)),0)</f>
        <v>0</v>
      </c>
      <c r="BS7" s="117">
        <f>IFERROR(INDEX('CFR Return'!$P:$P,MATCH(Outturn!BS6,'CFR Return'!$B:$B,0)),0)</f>
        <v>0</v>
      </c>
      <c r="BT7" s="117">
        <f>IFERROR(INDEX('CFR Return'!$P:$P,MATCH(Outturn!BT6,'CFR Return'!$B:$B,0)),0)</f>
        <v>0</v>
      </c>
      <c r="BU7" s="117">
        <f>IFERROR(INDEX('CFR Return'!$P:$P,MATCH(Outturn!BU6,'CFR Return'!$B:$B,0)),0)</f>
        <v>0</v>
      </c>
      <c r="BV7" s="117">
        <f>IFERROR(INDEX('CFR Return'!$P:$P,MATCH(Outturn!BV6,'CFR Return'!$B:$B,0)),0)</f>
        <v>0</v>
      </c>
      <c r="BW7" s="117">
        <f>IFERROR(INDEX('CFR Return'!$P:$P,MATCH(Outturn!BW6,'CFR Return'!$B:$B,0)),0)</f>
        <v>0</v>
      </c>
      <c r="BX7" s="117">
        <f>IFERROR(INDEX('CFR Return'!$P:$P,MATCH(Outturn!BX6,'CFR Return'!$B:$B,0)),0)</f>
        <v>0</v>
      </c>
      <c r="BY7" s="117">
        <f>IFERROR(INDEX('CFR Return'!$P:$P,MATCH(Outturn!BY6,'CFR Return'!$B:$B,0)),0)</f>
        <v>0</v>
      </c>
      <c r="BZ7" s="117">
        <f>SUM(BR7:BY7)</f>
        <v>0</v>
      </c>
      <c r="CA7" s="117">
        <f>'CFR Return'!$P77</f>
        <v>0</v>
      </c>
      <c r="CB7" s="117">
        <f>BQ7-BZ7</f>
        <v>0</v>
      </c>
      <c r="CC7" s="117">
        <f>CA7+CB7</f>
        <v>0</v>
      </c>
      <c r="CD7" s="117">
        <f>IFERROR(INDEX('CFR Return'!$P:$P,MATCH(Outturn!CD6,'CFR Return'!$B:$B,0)),0)</f>
        <v>0</v>
      </c>
      <c r="CE7" s="117">
        <f>IFERROR(INDEX('CFR Return'!$P:$P,MATCH(Outturn!CE6,'CFR Return'!$B:$B,0)),0)</f>
        <v>0</v>
      </c>
      <c r="CF7" s="117">
        <f>CD7+CE7</f>
        <v>0</v>
      </c>
      <c r="CG7" s="117">
        <f>IFERROR(INDEX('CFR Return'!$P:$P,MATCH(Outturn!CG6,'CFR Return'!$B:$B,0)),0)</f>
        <v>0</v>
      </c>
      <c r="CH7" s="117">
        <f>IFERROR(INDEX('CFR Return'!$P:$P,MATCH(Outturn!CH6,'CFR Return'!$B:$B,0)),0)</f>
        <v>0</v>
      </c>
      <c r="CI7" s="117">
        <f>CG7+CH7</f>
        <v>0</v>
      </c>
      <c r="CJ7" s="117">
        <f>'CFR Return'!$P104</f>
        <v>0</v>
      </c>
      <c r="CK7" s="117">
        <f>CF7-CI7</f>
        <v>0</v>
      </c>
      <c r="CL7" s="117">
        <f>CJ7+CK7</f>
        <v>0</v>
      </c>
      <c r="CM7" s="117">
        <f>IFERROR(INDEX('CFR Return'!$P:$P,MATCH(Outturn!CM6,'CFR Return'!$B:$B,0)),0)</f>
        <v>0</v>
      </c>
      <c r="CN7" s="117">
        <f>IFERROR(INDEX('CFR Return'!$P:$P,MATCH(Outturn!CN6,'CFR Return'!$B:$B,0)),0)</f>
        <v>0</v>
      </c>
      <c r="CO7" s="117">
        <f>IFERROR(INDEX('CFR Return'!$P:$P,MATCH(Outturn!CO6,'CFR Return'!$B:$B,0)),0)</f>
        <v>0</v>
      </c>
      <c r="CP7" s="117">
        <f>IFERROR(INDEX('CFR Return'!$P:$P,MATCH(Outturn!CP6,'CFR Return'!$B:$B,0)),0)</f>
        <v>0</v>
      </c>
      <c r="CQ7" s="117">
        <f>IFERROR(INDEX('CFR Return'!$P:$P,MATCH(Outturn!CQ6,'CFR Return'!$B:$B,0)),0)</f>
        <v>0</v>
      </c>
      <c r="CR7" s="117">
        <f>SUM(CM7:CQ7)</f>
        <v>0</v>
      </c>
      <c r="CS7" s="117">
        <f>+'CFR Return'!H139</f>
        <v>0</v>
      </c>
      <c r="CT7" s="117">
        <f>+'CFR Return'!H142</f>
        <v>0</v>
      </c>
      <c r="CU7" s="117">
        <f>+'CFR Return'!H143</f>
        <v>0</v>
      </c>
      <c r="CV7" s="117">
        <f>CS7-CT7+CU7</f>
        <v>0</v>
      </c>
      <c r="CW7" s="117">
        <f>+'CFR Return'!H147</f>
        <v>0</v>
      </c>
      <c r="CX7" s="117">
        <f>'CFR Return'!H148</f>
        <v>0</v>
      </c>
      <c r="CY7" s="117">
        <f>'CFR Return'!H149</f>
        <v>0</v>
      </c>
      <c r="CZ7" s="117">
        <f>+'CFR Return'!H150</f>
        <v>0</v>
      </c>
      <c r="DA7" s="117">
        <f>+'CFR Return'!H151</f>
        <v>0</v>
      </c>
      <c r="DB7" s="117">
        <f>SUM(CV7:DA7)</f>
        <v>0</v>
      </c>
      <c r="DC7" s="117">
        <f>+'CFR Return'!P139</f>
        <v>0</v>
      </c>
      <c r="DD7" s="117">
        <f>+'CFR Return'!P142</f>
        <v>0</v>
      </c>
      <c r="DE7" s="117">
        <f>+'CFR Return'!P143</f>
        <v>0</v>
      </c>
      <c r="DF7" s="117">
        <f>DC7-DD7+DE7</f>
        <v>0</v>
      </c>
      <c r="DG7" s="117"/>
      <c r="DH7" s="117"/>
      <c r="DI7" s="117"/>
      <c r="DJ7" s="117">
        <f>+'CFR Return'!P151</f>
        <v>0</v>
      </c>
      <c r="DK7" s="117">
        <f>SUM(DF7:DJ7)</f>
        <v>0</v>
      </c>
      <c r="DL7" s="117">
        <f>+'CFR Return'!$P157</f>
        <v>0</v>
      </c>
      <c r="DM7" s="117">
        <f>+'CFR Return'!$P158</f>
        <v>0</v>
      </c>
      <c r="DN7" s="117">
        <f>+'CFR Return'!$P159</f>
        <v>0</v>
      </c>
      <c r="DO7" s="117">
        <f>+'CFR Return'!$P160</f>
        <v>0</v>
      </c>
      <c r="DP7" s="117">
        <f>+'CFR Return'!$P161</f>
        <v>0</v>
      </c>
      <c r="DQ7" s="117">
        <f>+'CFR Return'!$P162</f>
        <v>0</v>
      </c>
      <c r="DR7" s="117">
        <f>+'CFR Return'!$P163</f>
        <v>0</v>
      </c>
      <c r="DS7" s="117">
        <f>+'CFR Return'!$P164</f>
        <v>0</v>
      </c>
      <c r="DT7" s="117">
        <f>SUM(DL7:DS7)</f>
        <v>0</v>
      </c>
      <c r="DU7" s="117">
        <f>+'CFR Return'!P170</f>
        <v>0</v>
      </c>
      <c r="DV7" s="117">
        <f>+'CFR Return'!P171</f>
        <v>0</v>
      </c>
      <c r="DW7" s="117">
        <f>+'CFR Return'!P174</f>
        <v>0</v>
      </c>
      <c r="DX7" s="117">
        <f>+'CFR Return'!P175</f>
        <v>0</v>
      </c>
      <c r="DY7" s="117">
        <f>+'CFR Return'!P177</f>
        <v>0</v>
      </c>
      <c r="DZ7" s="117">
        <f>+'CFR Return'!P178</f>
        <v>0</v>
      </c>
      <c r="EA7" s="115">
        <f>+'CFR Return'!P182</f>
        <v>0</v>
      </c>
      <c r="EB7" s="130">
        <f>+CR7-DB7-DK7-DT7-DU7-DV7-DW7-DX7-DY7-DZ7</f>
        <v>0</v>
      </c>
    </row>
  </sheetData>
  <mergeCells count="10">
    <mergeCell ref="DC4:DK4"/>
    <mergeCell ref="DL4:DT4"/>
    <mergeCell ref="DU4:DV4"/>
    <mergeCell ref="DW4:DX4"/>
    <mergeCell ref="A4:F4"/>
    <mergeCell ref="G4:BM4"/>
    <mergeCell ref="BN4:CC4"/>
    <mergeCell ref="CD4:CL4"/>
    <mergeCell ref="CM4:CR4"/>
    <mergeCell ref="CS4:DB4"/>
  </mergeCells>
  <pageMargins left="0.7" right="0.7" top="0.75" bottom="0.75" header="0.3" footer="0.3"/>
  <headerFooter>
    <oddFooter>&amp;C_x000D_&amp;1#&amp;"Calibri"&amp;10&amp;K000000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CJ7"/>
  <sheetViews>
    <sheetView workbookViewId="0">
      <selection activeCell="A3" sqref="A3"/>
    </sheetView>
  </sheetViews>
  <sheetFormatPr defaultRowHeight="14.4"/>
  <cols>
    <col min="2" max="2" width="29.44140625" customWidth="1"/>
  </cols>
  <sheetData>
    <row r="1" spans="1:88" s="97" customFormat="1" ht="15.6">
      <c r="A1" s="95" t="str">
        <f>'Revised Outturn - to copy'!A1</f>
        <v>Schools Finance Budget Monitoring - Quarter 4 2024-25</v>
      </c>
      <c r="B1" s="96"/>
    </row>
    <row r="2" spans="1:88" s="97" customFormat="1" ht="15.6">
      <c r="A2" s="95" t="str">
        <f>'Revised Outturn - to copy'!A2</f>
        <v>LA Data Sheet - 2024-25 Outturn</v>
      </c>
      <c r="B2" s="96"/>
    </row>
    <row r="3" spans="1:88" s="97" customFormat="1" ht="15.6">
      <c r="A3" s="118"/>
      <c r="B3" s="118"/>
    </row>
    <row r="4" spans="1:88" s="103" customFormat="1" ht="12.75" customHeight="1">
      <c r="A4" s="842" t="s">
        <v>460</v>
      </c>
      <c r="B4" s="843"/>
      <c r="C4" s="843"/>
      <c r="D4" s="843"/>
      <c r="E4" s="843"/>
      <c r="F4" s="844"/>
      <c r="G4" s="845" t="s">
        <v>461</v>
      </c>
      <c r="H4" s="846"/>
      <c r="I4" s="846"/>
      <c r="J4" s="846"/>
      <c r="K4" s="846"/>
      <c r="L4" s="846"/>
      <c r="M4" s="846"/>
      <c r="N4" s="846"/>
      <c r="O4" s="846"/>
      <c r="P4" s="846"/>
      <c r="Q4" s="846"/>
      <c r="R4" s="846"/>
      <c r="S4" s="846"/>
      <c r="T4" s="846"/>
      <c r="U4" s="846"/>
      <c r="V4" s="846"/>
      <c r="W4" s="846"/>
      <c r="X4" s="846"/>
      <c r="Y4" s="846"/>
      <c r="Z4" s="846"/>
      <c r="AA4" s="846"/>
      <c r="AB4" s="846"/>
      <c r="AC4" s="846"/>
      <c r="AD4" s="846"/>
      <c r="AE4" s="846"/>
      <c r="AF4" s="846"/>
      <c r="AG4" s="846"/>
      <c r="AH4" s="846"/>
      <c r="AI4" s="846"/>
      <c r="AJ4" s="846"/>
      <c r="AK4" s="846"/>
      <c r="AL4" s="846"/>
      <c r="AM4" s="846"/>
      <c r="AN4" s="846"/>
      <c r="AO4" s="846"/>
      <c r="AP4" s="846"/>
      <c r="AQ4" s="846"/>
      <c r="AR4" s="846"/>
      <c r="AS4" s="846"/>
      <c r="AT4" s="846"/>
      <c r="AU4" s="846"/>
      <c r="AV4" s="846"/>
      <c r="AW4" s="846"/>
      <c r="AX4" s="846"/>
      <c r="AY4" s="846"/>
      <c r="AZ4" s="846"/>
      <c r="BA4" s="846"/>
      <c r="BB4" s="846"/>
      <c r="BC4" s="846"/>
      <c r="BD4" s="846"/>
      <c r="BE4" s="846"/>
      <c r="BF4" s="846"/>
      <c r="BG4" s="846"/>
      <c r="BH4" s="846"/>
      <c r="BI4" s="847"/>
      <c r="BJ4" s="848" t="s">
        <v>462</v>
      </c>
      <c r="BK4" s="849"/>
      <c r="BL4" s="849"/>
      <c r="BM4" s="849"/>
      <c r="BN4" s="849"/>
      <c r="BO4" s="849"/>
      <c r="BP4" s="849"/>
      <c r="BQ4" s="849"/>
      <c r="BR4" s="849"/>
      <c r="BS4" s="849"/>
      <c r="BT4" s="849"/>
      <c r="BU4" s="850"/>
      <c r="BV4" s="851" t="s">
        <v>463</v>
      </c>
      <c r="BW4" s="852"/>
      <c r="BX4" s="852"/>
      <c r="BY4" s="852"/>
      <c r="BZ4" s="852"/>
      <c r="CA4" s="852"/>
      <c r="CB4" s="852"/>
      <c r="CC4" s="852"/>
      <c r="CD4" s="853"/>
      <c r="CE4" s="854" t="s">
        <v>464</v>
      </c>
      <c r="CF4" s="854"/>
      <c r="CG4" s="854"/>
      <c r="CH4" s="854"/>
      <c r="CI4" s="854"/>
      <c r="CJ4" s="854"/>
    </row>
    <row r="5" spans="1:88" s="114" customFormat="1" ht="171.6">
      <c r="A5" s="104" t="s">
        <v>470</v>
      </c>
      <c r="B5" s="104" t="s">
        <v>4</v>
      </c>
      <c r="C5" s="104" t="s">
        <v>471</v>
      </c>
      <c r="D5" s="104" t="s">
        <v>1136</v>
      </c>
      <c r="E5" s="104" t="s">
        <v>473</v>
      </c>
      <c r="F5" s="104" t="s">
        <v>474</v>
      </c>
      <c r="G5" s="105" t="s">
        <v>475</v>
      </c>
      <c r="H5" s="105" t="s">
        <v>80</v>
      </c>
      <c r="I5" s="105" t="s">
        <v>476</v>
      </c>
      <c r="J5" s="105" t="s">
        <v>84</v>
      </c>
      <c r="K5" s="105" t="s">
        <v>86</v>
      </c>
      <c r="L5" s="105" t="s">
        <v>88</v>
      </c>
      <c r="M5" s="105" t="s">
        <v>477</v>
      </c>
      <c r="N5" s="105" t="s">
        <v>93</v>
      </c>
      <c r="O5" s="105" t="s">
        <v>95</v>
      </c>
      <c r="P5" s="105" t="s">
        <v>97</v>
      </c>
      <c r="Q5" s="105" t="s">
        <v>99</v>
      </c>
      <c r="R5" s="105" t="s">
        <v>101</v>
      </c>
      <c r="S5" s="105" t="s">
        <v>478</v>
      </c>
      <c r="T5" s="105" t="s">
        <v>105</v>
      </c>
      <c r="U5" s="105" t="s">
        <v>479</v>
      </c>
      <c r="V5" s="105" t="s">
        <v>1153</v>
      </c>
      <c r="W5" s="105" t="s">
        <v>1154</v>
      </c>
      <c r="X5" s="105" t="s">
        <v>1137</v>
      </c>
      <c r="Y5" s="105" t="s">
        <v>1138</v>
      </c>
      <c r="Z5" s="105" t="s">
        <v>480</v>
      </c>
      <c r="AA5" s="105" t="s">
        <v>111</v>
      </c>
      <c r="AB5" s="105" t="s">
        <v>481</v>
      </c>
      <c r="AC5" s="105" t="s">
        <v>115</v>
      </c>
      <c r="AD5" s="105" t="s">
        <v>117</v>
      </c>
      <c r="AE5" s="105" t="s">
        <v>119</v>
      </c>
      <c r="AF5" s="105" t="s">
        <v>121</v>
      </c>
      <c r="AG5" s="105" t="s">
        <v>123</v>
      </c>
      <c r="AH5" s="105" t="s">
        <v>125</v>
      </c>
      <c r="AI5" s="105" t="s">
        <v>482</v>
      </c>
      <c r="AJ5" s="105" t="s">
        <v>129</v>
      </c>
      <c r="AK5" s="105" t="s">
        <v>131</v>
      </c>
      <c r="AL5" s="105" t="s">
        <v>133</v>
      </c>
      <c r="AM5" s="105" t="s">
        <v>135</v>
      </c>
      <c r="AN5" s="105" t="s">
        <v>137</v>
      </c>
      <c r="AO5" s="105" t="s">
        <v>139</v>
      </c>
      <c r="AP5" s="105" t="s">
        <v>141</v>
      </c>
      <c r="AQ5" s="105" t="s">
        <v>143</v>
      </c>
      <c r="AR5" s="105" t="s">
        <v>145</v>
      </c>
      <c r="AS5" s="105" t="s">
        <v>483</v>
      </c>
      <c r="AT5" s="105" t="s">
        <v>1155</v>
      </c>
      <c r="AU5" s="105" t="s">
        <v>484</v>
      </c>
      <c r="AV5" s="105" t="s">
        <v>166</v>
      </c>
      <c r="AW5" s="105" t="s">
        <v>168</v>
      </c>
      <c r="AX5" s="105" t="s">
        <v>170</v>
      </c>
      <c r="AY5" s="105" t="s">
        <v>172</v>
      </c>
      <c r="AZ5" s="105" t="s">
        <v>174</v>
      </c>
      <c r="BA5" s="105" t="s">
        <v>176</v>
      </c>
      <c r="BB5" s="105" t="s">
        <v>179</v>
      </c>
      <c r="BC5" s="105" t="s">
        <v>181</v>
      </c>
      <c r="BD5" s="105" t="s">
        <v>183</v>
      </c>
      <c r="BE5" s="105" t="s">
        <v>185</v>
      </c>
      <c r="BF5" s="105" t="s">
        <v>485</v>
      </c>
      <c r="BG5" s="105" t="s">
        <v>486</v>
      </c>
      <c r="BH5" s="105" t="s">
        <v>487</v>
      </c>
      <c r="BI5" s="105" t="s">
        <v>488</v>
      </c>
      <c r="BJ5" s="106" t="s">
        <v>489</v>
      </c>
      <c r="BK5" s="106" t="s">
        <v>195</v>
      </c>
      <c r="BL5" s="106" t="s">
        <v>197</v>
      </c>
      <c r="BM5" s="106" t="s">
        <v>490</v>
      </c>
      <c r="BN5" s="106" t="s">
        <v>201</v>
      </c>
      <c r="BO5" s="106" t="s">
        <v>491</v>
      </c>
      <c r="BP5" s="106" t="s">
        <v>205</v>
      </c>
      <c r="BQ5" s="106" t="s">
        <v>1156</v>
      </c>
      <c r="BR5" s="106" t="s">
        <v>492</v>
      </c>
      <c r="BS5" s="106" t="s">
        <v>493</v>
      </c>
      <c r="BT5" s="106" t="s">
        <v>494</v>
      </c>
      <c r="BU5" s="106" t="s">
        <v>495</v>
      </c>
      <c r="BV5" s="107" t="s">
        <v>496</v>
      </c>
      <c r="BW5" s="107" t="s">
        <v>222</v>
      </c>
      <c r="BX5" s="107" t="s">
        <v>497</v>
      </c>
      <c r="BY5" s="107" t="s">
        <v>226</v>
      </c>
      <c r="BZ5" s="107" t="s">
        <v>228</v>
      </c>
      <c r="CA5" s="107" t="s">
        <v>498</v>
      </c>
      <c r="CB5" s="107" t="s">
        <v>499</v>
      </c>
      <c r="CC5" s="107" t="s">
        <v>500</v>
      </c>
      <c r="CD5" s="107" t="s">
        <v>501</v>
      </c>
      <c r="CE5" s="98" t="s">
        <v>235</v>
      </c>
      <c r="CF5" s="98" t="s">
        <v>237</v>
      </c>
      <c r="CG5" s="98" t="s">
        <v>502</v>
      </c>
      <c r="CH5" s="98" t="s">
        <v>241</v>
      </c>
      <c r="CI5" s="98" t="s">
        <v>243</v>
      </c>
      <c r="CJ5" s="98" t="s">
        <v>503</v>
      </c>
    </row>
    <row r="6" spans="1:88" s="103" customFormat="1" ht="15.6">
      <c r="A6" s="119"/>
      <c r="B6" s="119"/>
      <c r="C6" s="119"/>
      <c r="D6" s="119"/>
      <c r="E6" s="119"/>
      <c r="F6" s="119"/>
      <c r="G6" s="120" t="s">
        <v>77</v>
      </c>
      <c r="H6" s="120" t="s">
        <v>79</v>
      </c>
      <c r="I6" s="120" t="s">
        <v>81</v>
      </c>
      <c r="J6" s="120" t="s">
        <v>83</v>
      </c>
      <c r="K6" s="120" t="s">
        <v>85</v>
      </c>
      <c r="L6" s="120" t="s">
        <v>87</v>
      </c>
      <c r="M6" s="120" t="s">
        <v>89</v>
      </c>
      <c r="N6" s="120" t="s">
        <v>92</v>
      </c>
      <c r="O6" s="120" t="s">
        <v>94</v>
      </c>
      <c r="P6" s="120" t="s">
        <v>96</v>
      </c>
      <c r="Q6" s="120" t="s">
        <v>98</v>
      </c>
      <c r="R6" s="120" t="s">
        <v>100</v>
      </c>
      <c r="S6" s="120" t="s">
        <v>102</v>
      </c>
      <c r="T6" s="120" t="s">
        <v>104</v>
      </c>
      <c r="U6" s="120" t="s">
        <v>106</v>
      </c>
      <c r="V6" s="120" t="s">
        <v>1157</v>
      </c>
      <c r="W6" s="120" t="s">
        <v>1158</v>
      </c>
      <c r="X6" s="120" t="s">
        <v>1150</v>
      </c>
      <c r="Y6" s="120" t="s">
        <v>1151</v>
      </c>
      <c r="Z6" s="121"/>
      <c r="AA6" s="120" t="s">
        <v>110</v>
      </c>
      <c r="AB6" s="120" t="s">
        <v>112</v>
      </c>
      <c r="AC6" s="120" t="s">
        <v>114</v>
      </c>
      <c r="AD6" s="120" t="s">
        <v>116</v>
      </c>
      <c r="AE6" s="120" t="s">
        <v>118</v>
      </c>
      <c r="AF6" s="120" t="s">
        <v>120</v>
      </c>
      <c r="AG6" s="120" t="s">
        <v>122</v>
      </c>
      <c r="AH6" s="120" t="s">
        <v>124</v>
      </c>
      <c r="AI6" s="120" t="s">
        <v>126</v>
      </c>
      <c r="AJ6" s="120" t="s">
        <v>128</v>
      </c>
      <c r="AK6" s="120" t="s">
        <v>130</v>
      </c>
      <c r="AL6" s="120" t="s">
        <v>132</v>
      </c>
      <c r="AM6" s="120" t="s">
        <v>134</v>
      </c>
      <c r="AN6" s="120" t="s">
        <v>136</v>
      </c>
      <c r="AO6" s="120" t="s">
        <v>138</v>
      </c>
      <c r="AP6" s="120" t="s">
        <v>140</v>
      </c>
      <c r="AQ6" s="120" t="s">
        <v>142</v>
      </c>
      <c r="AR6" s="120" t="s">
        <v>144</v>
      </c>
      <c r="AS6" s="120" t="s">
        <v>146</v>
      </c>
      <c r="AT6" s="120" t="s">
        <v>148</v>
      </c>
      <c r="AU6" s="120" t="s">
        <v>163</v>
      </c>
      <c r="AV6" s="120" t="s">
        <v>165</v>
      </c>
      <c r="AW6" s="120" t="s">
        <v>167</v>
      </c>
      <c r="AX6" s="120" t="s">
        <v>169</v>
      </c>
      <c r="AY6" s="120" t="s">
        <v>171</v>
      </c>
      <c r="AZ6" s="120" t="s">
        <v>173</v>
      </c>
      <c r="BA6" s="120" t="s">
        <v>175</v>
      </c>
      <c r="BB6" s="120" t="s">
        <v>178</v>
      </c>
      <c r="BC6" s="120" t="s">
        <v>180</v>
      </c>
      <c r="BD6" s="120" t="s">
        <v>182</v>
      </c>
      <c r="BE6" s="120" t="s">
        <v>184</v>
      </c>
      <c r="BF6" s="120"/>
      <c r="BG6" s="120"/>
      <c r="BH6" s="120"/>
      <c r="BI6" s="120"/>
      <c r="BJ6" s="122" t="s">
        <v>192</v>
      </c>
      <c r="BK6" s="122" t="s">
        <v>194</v>
      </c>
      <c r="BL6" s="122" t="s">
        <v>196</v>
      </c>
      <c r="BM6" s="122"/>
      <c r="BN6" s="122" t="s">
        <v>200</v>
      </c>
      <c r="BO6" s="122" t="s">
        <v>202</v>
      </c>
      <c r="BP6" s="122" t="s">
        <v>204</v>
      </c>
      <c r="BQ6" s="122" t="s">
        <v>211</v>
      </c>
      <c r="BR6" s="122"/>
      <c r="BS6" s="122"/>
      <c r="BT6" s="122"/>
      <c r="BU6" s="122"/>
      <c r="BV6" s="123" t="s">
        <v>219</v>
      </c>
      <c r="BW6" s="123" t="s">
        <v>221</v>
      </c>
      <c r="BX6" s="123"/>
      <c r="BY6" s="123" t="s">
        <v>225</v>
      </c>
      <c r="BZ6" s="123" t="s">
        <v>227</v>
      </c>
      <c r="CA6" s="123"/>
      <c r="CB6" s="123"/>
      <c r="CC6" s="123"/>
      <c r="CD6" s="123"/>
      <c r="CE6" s="124" t="s">
        <v>234</v>
      </c>
      <c r="CF6" s="124" t="s">
        <v>236</v>
      </c>
      <c r="CG6" s="124" t="s">
        <v>238</v>
      </c>
      <c r="CH6" s="124" t="s">
        <v>240</v>
      </c>
      <c r="CI6" s="124" t="s">
        <v>242</v>
      </c>
      <c r="CJ6" s="124"/>
    </row>
    <row r="7" spans="1:88" s="103" customFormat="1" ht="40.5" customHeight="1">
      <c r="A7" s="116" t="str">
        <f>'CFR Return'!C3</f>
        <v>0000</v>
      </c>
      <c r="B7" s="116" t="str">
        <f>'CFR Return'!C2</f>
        <v>Select School</v>
      </c>
      <c r="C7" s="116" t="s">
        <v>1152</v>
      </c>
      <c r="D7" s="116"/>
      <c r="E7" s="116" t="str">
        <f>'CFR Return'!C4</f>
        <v>Final Accounts</v>
      </c>
      <c r="F7" s="116"/>
      <c r="G7" s="149" t="str">
        <f>IFERROR(INDEX('CFR Return'!$Q:$Q,MATCH('%'!G6,'CFR Return'!$B:$B,0)),"")</f>
        <v/>
      </c>
      <c r="H7" s="149" t="str">
        <f>IFERROR(INDEX('CFR Return'!$Q:$Q,MATCH('%'!H6,'CFR Return'!$B:$B,0)),"")</f>
        <v/>
      </c>
      <c r="I7" s="149" t="str">
        <f>IFERROR(INDEX('CFR Return'!$Q:$Q,MATCH('%'!I6,'CFR Return'!$B:$B,0)),"")</f>
        <v/>
      </c>
      <c r="J7" s="149" t="str">
        <f>IFERROR(INDEX('CFR Return'!$Q:$Q,MATCH('%'!J6,'CFR Return'!$B:$B,0)),"")</f>
        <v/>
      </c>
      <c r="K7" s="149" t="str">
        <f>IFERROR(INDEX('CFR Return'!$Q:$Q,MATCH('%'!K6,'CFR Return'!$B:$B,0)),"")</f>
        <v/>
      </c>
      <c r="L7" s="149" t="str">
        <f>IFERROR(INDEX('CFR Return'!$Q:$Q,MATCH('%'!L6,'CFR Return'!$B:$B,0)),"")</f>
        <v/>
      </c>
      <c r="M7" s="149" t="str">
        <f>IFERROR(INDEX('CFR Return'!$Q:$Q,MATCH('%'!M6,'CFR Return'!$B:$B,0)),"")</f>
        <v/>
      </c>
      <c r="N7" s="149" t="str">
        <f>IFERROR(INDEX('CFR Return'!$Q:$Q,MATCH('%'!N6,'CFR Return'!$B:$B,0)),"")</f>
        <v/>
      </c>
      <c r="O7" s="149" t="str">
        <f>IFERROR(INDEX('CFR Return'!$Q:$Q,MATCH('%'!O6,'CFR Return'!$B:$B,0)),"")</f>
        <v/>
      </c>
      <c r="P7" s="149" t="str">
        <f>IFERROR(INDEX('CFR Return'!$Q:$Q,MATCH('%'!P6,'CFR Return'!$B:$B,0)),"")</f>
        <v/>
      </c>
      <c r="Q7" s="149" t="str">
        <f>IFERROR(INDEX('CFR Return'!$Q:$Q,MATCH('%'!Q6,'CFR Return'!$B:$B,0)),"")</f>
        <v/>
      </c>
      <c r="R7" s="149" t="str">
        <f>IFERROR(INDEX('CFR Return'!$Q:$Q,MATCH('%'!R6,'CFR Return'!$B:$B,0)),"")</f>
        <v/>
      </c>
      <c r="S7" s="149" t="str">
        <f>IFERROR(INDEX('CFR Return'!$Q:$Q,MATCH('%'!S6,'CFR Return'!$B:$B,0)),"")</f>
        <v/>
      </c>
      <c r="T7" s="149" t="str">
        <f>IFERROR(INDEX('CFR Return'!$Q:$Q,MATCH('%'!T6,'CFR Return'!$B:$B,0)),"")</f>
        <v/>
      </c>
      <c r="U7" s="149" t="str">
        <f>IFERROR(INDEX('CFR Return'!$Q:$Q,MATCH('%'!U6,'CFR Return'!$B:$B,0)),"")</f>
        <v/>
      </c>
      <c r="V7" s="149" t="str">
        <f>IFERROR(INDEX('CFR Return'!$Q:$Q,MATCH('%'!V6,'CFR Return'!$B:$B,0)),"")</f>
        <v/>
      </c>
      <c r="W7" s="149" t="str">
        <f>IFERROR(INDEX('CFR Return'!$Q:$Q,MATCH('%'!W6,'CFR Return'!$B:$B,0)),"")</f>
        <v/>
      </c>
      <c r="X7" s="149" t="str">
        <f>IFERROR(INDEX('CFR Return'!$Q:$Q,MATCH('%'!X6,'CFR Return'!$B:$B,0)),"")</f>
        <v/>
      </c>
      <c r="Y7" s="149" t="str">
        <f>IFERROR(INDEX('CFR Return'!$Q:$Q,MATCH('%'!Y6,'CFR Return'!$B:$B,0)),"")</f>
        <v/>
      </c>
      <c r="Z7" s="149">
        <f>SUM(G7:Y7)</f>
        <v>0</v>
      </c>
      <c r="AA7" s="149" t="str">
        <f>IFERROR(INDEX('CFR Return'!$Q:$Q,MATCH('%'!AA6,'CFR Return'!$B:$B,0)),"")</f>
        <v/>
      </c>
      <c r="AB7" s="149" t="str">
        <f>IFERROR(INDEX('CFR Return'!$Q:$Q,MATCH('%'!AB6,'CFR Return'!$B:$B,0)),"")</f>
        <v/>
      </c>
      <c r="AC7" s="149" t="str">
        <f>IFERROR(INDEX('CFR Return'!$Q:$Q,MATCH('%'!AC6,'CFR Return'!$B:$B,0)),"")</f>
        <v/>
      </c>
      <c r="AD7" s="149" t="str">
        <f>IFERROR(INDEX('CFR Return'!$Q:$Q,MATCH('%'!AD6,'CFR Return'!$B:$B,0)),"")</f>
        <v/>
      </c>
      <c r="AE7" s="149" t="str">
        <f>IFERROR(INDEX('CFR Return'!$Q:$Q,MATCH('%'!AE6,'CFR Return'!$B:$B,0)),"")</f>
        <v/>
      </c>
      <c r="AF7" s="149" t="str">
        <f>IFERROR(INDEX('CFR Return'!$Q:$Q,MATCH('%'!AF6,'CFR Return'!$B:$B,0)),"")</f>
        <v/>
      </c>
      <c r="AG7" s="149" t="str">
        <f>IFERROR(INDEX('CFR Return'!$Q:$Q,MATCH('%'!AG6,'CFR Return'!$B:$B,0)),"")</f>
        <v/>
      </c>
      <c r="AH7" s="149" t="str">
        <f>IFERROR(INDEX('CFR Return'!$Q:$Q,MATCH('%'!AH6,'CFR Return'!$B:$B,0)),"")</f>
        <v/>
      </c>
      <c r="AI7" s="149" t="str">
        <f>IFERROR(INDEX('CFR Return'!$Q:$Q,MATCH('%'!AI6,'CFR Return'!$B:$B,0)),"")</f>
        <v/>
      </c>
      <c r="AJ7" s="149" t="str">
        <f>IFERROR(INDEX('CFR Return'!$Q:$Q,MATCH('%'!AJ6,'CFR Return'!$B:$B,0)),"")</f>
        <v/>
      </c>
      <c r="AK7" s="149" t="str">
        <f>IFERROR(INDEX('CFR Return'!$Q:$Q,MATCH('%'!AK6,'CFR Return'!$B:$B,0)),"")</f>
        <v/>
      </c>
      <c r="AL7" s="149" t="str">
        <f>IFERROR(INDEX('CFR Return'!$Q:$Q,MATCH('%'!AL6,'CFR Return'!$B:$B,0)),"")</f>
        <v/>
      </c>
      <c r="AM7" s="149" t="str">
        <f>IFERROR(INDEX('CFR Return'!$Q:$Q,MATCH('%'!AM6,'CFR Return'!$B:$B,0)),"")</f>
        <v/>
      </c>
      <c r="AN7" s="149" t="str">
        <f>IFERROR(INDEX('CFR Return'!$Q:$Q,MATCH('%'!AN6,'CFR Return'!$B:$B,0)),"")</f>
        <v/>
      </c>
      <c r="AO7" s="149" t="str">
        <f>IFERROR(INDEX('CFR Return'!$Q:$Q,MATCH('%'!AO6,'CFR Return'!$B:$B,0)),"")</f>
        <v/>
      </c>
      <c r="AP7" s="149" t="str">
        <f>IFERROR(INDEX('CFR Return'!$Q:$Q,MATCH('%'!AP6,'CFR Return'!$B:$B,0)),"")</f>
        <v/>
      </c>
      <c r="AQ7" s="149" t="str">
        <f>IFERROR(INDEX('CFR Return'!$Q:$Q,MATCH('%'!AQ6,'CFR Return'!$B:$B,0)),"")</f>
        <v/>
      </c>
      <c r="AR7" s="149" t="str">
        <f>IFERROR(INDEX('CFR Return'!$Q:$Q,MATCH('%'!AR6,'CFR Return'!$B:$B,0)),"")</f>
        <v/>
      </c>
      <c r="AS7" s="149" t="str">
        <f>IFERROR(INDEX('CFR Return'!$Q:$Q,MATCH('%'!AS6,'CFR Return'!$B:$B,0)),"")</f>
        <v/>
      </c>
      <c r="AT7" s="149" t="str">
        <f>IFERROR(INDEX('CFR Return'!$Q:$Q,MATCH('%'!AT6,'CFR Return'!$B:$B,0)),"")</f>
        <v/>
      </c>
      <c r="AU7" s="149" t="str">
        <f>IFERROR(INDEX('CFR Return'!$Q:$Q,MATCH('%'!AU6,'CFR Return'!$B:$B,0)),"")</f>
        <v/>
      </c>
      <c r="AV7" s="149" t="str">
        <f>IFERROR(INDEX('CFR Return'!$Q:$Q,MATCH('%'!AV6,'CFR Return'!$B:$B,0)),"")</f>
        <v/>
      </c>
      <c r="AW7" s="149" t="str">
        <f>IFERROR(INDEX('CFR Return'!$Q:$Q,MATCH('%'!AW6,'CFR Return'!$B:$B,0)),"")</f>
        <v/>
      </c>
      <c r="AX7" s="149" t="str">
        <f>IFERROR(INDEX('CFR Return'!$Q:$Q,MATCH('%'!AX6,'CFR Return'!$B:$B,0)),"")</f>
        <v/>
      </c>
      <c r="AY7" s="149" t="str">
        <f>IFERROR(INDEX('CFR Return'!$Q:$Q,MATCH('%'!AY6,'CFR Return'!$B:$B,0)),"")</f>
        <v/>
      </c>
      <c r="AZ7" s="149" t="str">
        <f>IFERROR(INDEX('CFR Return'!$Q:$Q,MATCH('%'!AZ6,'CFR Return'!$B:$B,0)),"")</f>
        <v/>
      </c>
      <c r="BA7" s="149" t="str">
        <f>IFERROR(INDEX('CFR Return'!$Q:$Q,MATCH('%'!BA6,'CFR Return'!$B:$B,0)),"")</f>
        <v/>
      </c>
      <c r="BB7" s="149" t="str">
        <f>IFERROR(INDEX('CFR Return'!$Q:$Q,MATCH('%'!BB6,'CFR Return'!$B:$B,0)),"")</f>
        <v/>
      </c>
      <c r="BC7" s="149" t="str">
        <f>IFERROR(INDEX('CFR Return'!$Q:$Q,MATCH('%'!BC6,'CFR Return'!$B:$B,0)),"")</f>
        <v/>
      </c>
      <c r="BD7" s="149" t="str">
        <f>IFERROR(INDEX('CFR Return'!$Q:$Q,MATCH('%'!BD6,'CFR Return'!$B:$B,0)),"")</f>
        <v/>
      </c>
      <c r="BE7" s="149" t="str">
        <f>IFERROR(INDEX('CFR Return'!$Q:$Q,MATCH('%'!BE6,'CFR Return'!$B:$B,0)),"")</f>
        <v/>
      </c>
      <c r="BF7" s="149">
        <f>SUM(AA7:BE7)</f>
        <v>0</v>
      </c>
      <c r="BG7" s="149"/>
      <c r="BH7" s="149"/>
      <c r="BI7" s="149"/>
      <c r="BJ7" s="149" t="str">
        <f>IFERROR(INDEX('CFR Return'!$Q:$Q,MATCH('%'!BJ6,'CFR Return'!$B:$B,0)),"")</f>
        <v/>
      </c>
      <c r="BK7" s="149" t="str">
        <f>IFERROR(INDEX('CFR Return'!$Q:$Q,MATCH('%'!BK6,'CFR Return'!$B:$B,0)),"")</f>
        <v/>
      </c>
      <c r="BL7" s="149" t="str">
        <f>IFERROR(INDEX('CFR Return'!$Q:$Q,MATCH('%'!BL6,'CFR Return'!$B:$B,0)),"")</f>
        <v/>
      </c>
      <c r="BM7" s="149">
        <f>SUM(BJ7:BL7)</f>
        <v>0</v>
      </c>
      <c r="BN7" s="149" t="str">
        <f>IFERROR(INDEX('CFR Return'!$Q:$Q,MATCH('%'!BN6,'CFR Return'!$B:$B,0)),"")</f>
        <v/>
      </c>
      <c r="BO7" s="149" t="str">
        <f>IFERROR(INDEX('CFR Return'!$Q:$Q,MATCH('%'!BO6,'CFR Return'!$B:$B,0)),"")</f>
        <v/>
      </c>
      <c r="BP7" s="149" t="str">
        <f>IFERROR(INDEX('CFR Return'!$Q:$Q,MATCH('%'!BP6,'CFR Return'!$B:$B,0)),"")</f>
        <v/>
      </c>
      <c r="BQ7" s="149" t="str">
        <f>IFERROR(INDEX('CFR Return'!$Q:$Q,MATCH('%'!BQ6,'CFR Return'!$B:$B,0)),"")</f>
        <v/>
      </c>
      <c r="BR7" s="149">
        <f>SUM(BN7:BQ7)</f>
        <v>0</v>
      </c>
      <c r="BS7" s="149"/>
      <c r="BT7" s="149"/>
      <c r="BU7" s="149"/>
      <c r="BV7" s="149" t="str">
        <f>IFERROR(INDEX('CFR Return'!$Q:$Q,MATCH('%'!BV6,'CFR Return'!$B:$B,0)),"")</f>
        <v/>
      </c>
      <c r="BW7" s="149" t="str">
        <f>IFERROR(INDEX('CFR Return'!$Q:$Q,MATCH('%'!BW6,'CFR Return'!$B:$B,0)),"")</f>
        <v/>
      </c>
      <c r="BX7" s="149">
        <f>IFERROR(BV7+BW7,0)</f>
        <v>0</v>
      </c>
      <c r="BY7" s="149" t="str">
        <f>IFERROR(INDEX('CFR Return'!$Q:$Q,MATCH('%'!BY6,'CFR Return'!$B:$B,0)),"")</f>
        <v/>
      </c>
      <c r="BZ7" s="149" t="str">
        <f>IFERROR(INDEX('CFR Return'!$Q:$Q,MATCH('%'!BZ6,'CFR Return'!$B:$B,0)),"")</f>
        <v/>
      </c>
      <c r="CA7" s="149">
        <f>IFERROR(BY7+BZ7,0)</f>
        <v>0</v>
      </c>
      <c r="CB7" s="149"/>
      <c r="CC7" s="149"/>
      <c r="CD7" s="149"/>
      <c r="CE7" s="149" t="str">
        <f>IFERROR(INDEX('CFR Return'!$Q:$Q,MATCH('%'!CE6,'CFR Return'!$B:$B,0)),"")</f>
        <v/>
      </c>
      <c r="CF7" s="149" t="str">
        <f>IFERROR(INDEX('CFR Return'!$Q:$Q,MATCH('%'!CF6,'CFR Return'!$B:$B,0)),"")</f>
        <v/>
      </c>
      <c r="CG7" s="149" t="str">
        <f>'CFR Return'!$Q130</f>
        <v/>
      </c>
      <c r="CH7" s="149" t="str">
        <f>IFERROR(INDEX('CFR Return'!$Q:$Q,MATCH('%'!CH6,'CFR Return'!$B:$B,0)),"")</f>
        <v/>
      </c>
      <c r="CI7" s="149" t="str">
        <f>IFERROR(INDEX('CFR Return'!$Q:$Q,MATCH('%'!CI6,'CFR Return'!$B:$B,0)),"")</f>
        <v/>
      </c>
      <c r="CJ7" s="149">
        <f>SUM(CE7:CI7)</f>
        <v>0</v>
      </c>
    </row>
  </sheetData>
  <mergeCells count="5">
    <mergeCell ref="A4:F4"/>
    <mergeCell ref="G4:BI4"/>
    <mergeCell ref="BJ4:BU4"/>
    <mergeCell ref="BV4:CD4"/>
    <mergeCell ref="CE4:CJ4"/>
  </mergeCells>
  <pageMargins left="0.7" right="0.7" top="0.75" bottom="0.75" header="0.3" footer="0.3"/>
  <headerFooter>
    <oddFooter>&amp;C_x000D_&amp;1#&amp;"Calibri"&amp;10&amp;K000000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sheetPr>
  <dimension ref="A1:CP7"/>
  <sheetViews>
    <sheetView workbookViewId="0">
      <selection activeCell="E9" sqref="E9"/>
    </sheetView>
  </sheetViews>
  <sheetFormatPr defaultRowHeight="14.4"/>
  <sheetData>
    <row r="1" spans="1:94" s="97" customFormat="1" ht="15.6">
      <c r="A1" s="95" t="s">
        <v>1159</v>
      </c>
      <c r="B1" s="96"/>
    </row>
    <row r="2" spans="1:94" s="97" customFormat="1" ht="15.6">
      <c r="A2" s="95"/>
      <c r="B2" s="96"/>
    </row>
    <row r="3" spans="1:94" s="97" customFormat="1" ht="15.6">
      <c r="A3" s="118"/>
      <c r="B3" s="118"/>
    </row>
    <row r="4" spans="1:94" s="103" customFormat="1" ht="12.75" customHeight="1">
      <c r="A4" s="842" t="s">
        <v>460</v>
      </c>
      <c r="B4" s="843"/>
      <c r="C4" s="843"/>
      <c r="D4" s="843"/>
      <c r="E4" s="844"/>
      <c r="F4" s="845" t="s">
        <v>461</v>
      </c>
      <c r="G4" s="846"/>
      <c r="H4" s="846"/>
      <c r="I4" s="846"/>
      <c r="J4" s="846"/>
      <c r="K4" s="846"/>
      <c r="L4" s="846"/>
      <c r="M4" s="846"/>
      <c r="N4" s="846"/>
      <c r="O4" s="846"/>
      <c r="P4" s="846"/>
      <c r="Q4" s="846"/>
      <c r="R4" s="846"/>
      <c r="S4" s="846"/>
      <c r="T4" s="846"/>
      <c r="U4" s="846"/>
      <c r="V4" s="846"/>
      <c r="W4" s="846"/>
      <c r="X4" s="846"/>
      <c r="Y4" s="846"/>
      <c r="Z4" s="846"/>
      <c r="AA4" s="846"/>
      <c r="AB4" s="846"/>
      <c r="AC4" s="846"/>
      <c r="AD4" s="846"/>
      <c r="AE4" s="846"/>
      <c r="AF4" s="846"/>
      <c r="AG4" s="846"/>
      <c r="AH4" s="846"/>
      <c r="AI4" s="846"/>
      <c r="AJ4" s="846"/>
      <c r="AK4" s="846"/>
      <c r="AL4" s="846"/>
      <c r="AM4" s="846"/>
      <c r="AN4" s="846"/>
      <c r="AO4" s="846"/>
      <c r="AP4" s="846"/>
      <c r="AQ4" s="846"/>
      <c r="AR4" s="846"/>
      <c r="AS4" s="846"/>
      <c r="AT4" s="846"/>
      <c r="AU4" s="846"/>
      <c r="AV4" s="846"/>
      <c r="AW4" s="846"/>
      <c r="AX4" s="846"/>
      <c r="AY4" s="846"/>
      <c r="AZ4" s="846"/>
      <c r="BA4" s="846"/>
      <c r="BB4" s="846"/>
      <c r="BC4" s="846"/>
      <c r="BD4" s="846"/>
      <c r="BE4" s="846"/>
      <c r="BF4" s="846"/>
      <c r="BG4" s="846"/>
      <c r="BH4" s="846"/>
      <c r="BI4" s="846"/>
      <c r="BJ4" s="847"/>
      <c r="BK4" s="848" t="s">
        <v>462</v>
      </c>
      <c r="BL4" s="849"/>
      <c r="BM4" s="849"/>
      <c r="BN4" s="849"/>
      <c r="BO4" s="849"/>
      <c r="BP4" s="849"/>
      <c r="BQ4" s="849"/>
      <c r="BR4" s="849"/>
      <c r="BS4" s="849"/>
      <c r="BT4" s="849"/>
      <c r="BU4" s="849"/>
      <c r="BV4" s="849"/>
      <c r="BW4" s="849"/>
      <c r="BX4" s="849"/>
      <c r="BY4" s="849"/>
      <c r="BZ4" s="850"/>
      <c r="CA4" s="851" t="s">
        <v>463</v>
      </c>
      <c r="CB4" s="852"/>
      <c r="CC4" s="852"/>
      <c r="CD4" s="852"/>
      <c r="CE4" s="852"/>
      <c r="CF4" s="852"/>
      <c r="CG4" s="852"/>
      <c r="CH4" s="852"/>
      <c r="CI4" s="853"/>
      <c r="CJ4" s="854" t="s">
        <v>464</v>
      </c>
      <c r="CK4" s="854"/>
      <c r="CL4" s="854"/>
      <c r="CM4" s="854"/>
      <c r="CN4" s="854"/>
      <c r="CO4" s="854"/>
    </row>
    <row r="5" spans="1:94" s="114" customFormat="1" ht="140.4">
      <c r="A5" s="104" t="s">
        <v>470</v>
      </c>
      <c r="B5" s="104" t="s">
        <v>4</v>
      </c>
      <c r="C5" s="104" t="s">
        <v>471</v>
      </c>
      <c r="D5" s="104" t="s">
        <v>473</v>
      </c>
      <c r="E5" s="104" t="s">
        <v>474</v>
      </c>
      <c r="F5" s="105" t="s">
        <v>475</v>
      </c>
      <c r="G5" s="105" t="s">
        <v>80</v>
      </c>
      <c r="H5" s="105" t="s">
        <v>476</v>
      </c>
      <c r="I5" s="105" t="s">
        <v>84</v>
      </c>
      <c r="J5" s="105" t="s">
        <v>86</v>
      </c>
      <c r="K5" s="105" t="s">
        <v>88</v>
      </c>
      <c r="L5" s="105" t="s">
        <v>477</v>
      </c>
      <c r="M5" s="105" t="s">
        <v>93</v>
      </c>
      <c r="N5" s="105" t="s">
        <v>95</v>
      </c>
      <c r="O5" s="105" t="s">
        <v>97</v>
      </c>
      <c r="P5" s="105" t="s">
        <v>99</v>
      </c>
      <c r="Q5" s="105" t="s">
        <v>101</v>
      </c>
      <c r="R5" s="105" t="s">
        <v>478</v>
      </c>
      <c r="S5" s="105" t="s">
        <v>105</v>
      </c>
      <c r="T5" s="105" t="s">
        <v>479</v>
      </c>
      <c r="U5" s="105" t="s">
        <v>480</v>
      </c>
      <c r="V5" s="105" t="s">
        <v>111</v>
      </c>
      <c r="W5" s="105" t="s">
        <v>481</v>
      </c>
      <c r="X5" s="105" t="s">
        <v>115</v>
      </c>
      <c r="Y5" s="105" t="s">
        <v>117</v>
      </c>
      <c r="Z5" s="105" t="s">
        <v>119</v>
      </c>
      <c r="AA5" s="105" t="s">
        <v>121</v>
      </c>
      <c r="AB5" s="105" t="s">
        <v>123</v>
      </c>
      <c r="AC5" s="105" t="s">
        <v>125</v>
      </c>
      <c r="AD5" s="105" t="s">
        <v>482</v>
      </c>
      <c r="AE5" s="105" t="s">
        <v>129</v>
      </c>
      <c r="AF5" s="105" t="s">
        <v>131</v>
      </c>
      <c r="AG5" s="105" t="s">
        <v>133</v>
      </c>
      <c r="AH5" s="105" t="s">
        <v>135</v>
      </c>
      <c r="AI5" s="105" t="s">
        <v>137</v>
      </c>
      <c r="AJ5" s="105" t="s">
        <v>139</v>
      </c>
      <c r="AK5" s="105" t="s">
        <v>141</v>
      </c>
      <c r="AL5" s="105" t="s">
        <v>143</v>
      </c>
      <c r="AM5" s="105" t="s">
        <v>145</v>
      </c>
      <c r="AN5" s="105" t="s">
        <v>483</v>
      </c>
      <c r="AO5" s="105" t="s">
        <v>150</v>
      </c>
      <c r="AP5" s="105" t="s">
        <v>152</v>
      </c>
      <c r="AQ5" s="105" t="s">
        <v>154</v>
      </c>
      <c r="AR5" s="105" t="s">
        <v>156</v>
      </c>
      <c r="AS5" s="105" t="s">
        <v>158</v>
      </c>
      <c r="AT5" s="105" t="s">
        <v>160</v>
      </c>
      <c r="AU5" s="105" t="s">
        <v>162</v>
      </c>
      <c r="AV5" s="105" t="s">
        <v>484</v>
      </c>
      <c r="AW5" s="105" t="s">
        <v>166</v>
      </c>
      <c r="AX5" s="105" t="s">
        <v>168</v>
      </c>
      <c r="AY5" s="105" t="s">
        <v>170</v>
      </c>
      <c r="AZ5" s="105" t="s">
        <v>172</v>
      </c>
      <c r="BA5" s="105" t="s">
        <v>174</v>
      </c>
      <c r="BB5" s="105" t="s">
        <v>176</v>
      </c>
      <c r="BC5" s="105" t="s">
        <v>179</v>
      </c>
      <c r="BD5" s="105" t="s">
        <v>181</v>
      </c>
      <c r="BE5" s="105" t="s">
        <v>183</v>
      </c>
      <c r="BF5" s="105" t="s">
        <v>185</v>
      </c>
      <c r="BG5" s="105" t="s">
        <v>485</v>
      </c>
      <c r="BH5" s="105" t="s">
        <v>486</v>
      </c>
      <c r="BI5" s="105" t="s">
        <v>487</v>
      </c>
      <c r="BJ5" s="105" t="s">
        <v>488</v>
      </c>
      <c r="BK5" s="106" t="s">
        <v>489</v>
      </c>
      <c r="BL5" s="106" t="s">
        <v>195</v>
      </c>
      <c r="BM5" s="106" t="s">
        <v>197</v>
      </c>
      <c r="BN5" s="106" t="s">
        <v>490</v>
      </c>
      <c r="BO5" s="106" t="s">
        <v>201</v>
      </c>
      <c r="BP5" s="106" t="s">
        <v>491</v>
      </c>
      <c r="BQ5" s="106" t="s">
        <v>205</v>
      </c>
      <c r="BR5" s="106" t="s">
        <v>150</v>
      </c>
      <c r="BS5" s="106" t="s">
        <v>152</v>
      </c>
      <c r="BT5" s="106" t="s">
        <v>156</v>
      </c>
      <c r="BU5" s="106" t="s">
        <v>210</v>
      </c>
      <c r="BV5" s="106" t="s">
        <v>160</v>
      </c>
      <c r="BW5" s="106" t="s">
        <v>492</v>
      </c>
      <c r="BX5" s="106" t="s">
        <v>493</v>
      </c>
      <c r="BY5" s="106" t="s">
        <v>494</v>
      </c>
      <c r="BZ5" s="106" t="s">
        <v>495</v>
      </c>
      <c r="CA5" s="107" t="s">
        <v>496</v>
      </c>
      <c r="CB5" s="107" t="s">
        <v>222</v>
      </c>
      <c r="CC5" s="107" t="s">
        <v>497</v>
      </c>
      <c r="CD5" s="107" t="s">
        <v>226</v>
      </c>
      <c r="CE5" s="107" t="s">
        <v>228</v>
      </c>
      <c r="CF5" s="107" t="s">
        <v>498</v>
      </c>
      <c r="CG5" s="107" t="s">
        <v>499</v>
      </c>
      <c r="CH5" s="107" t="s">
        <v>500</v>
      </c>
      <c r="CI5" s="107" t="s">
        <v>501</v>
      </c>
      <c r="CJ5" s="98" t="s">
        <v>235</v>
      </c>
      <c r="CK5" s="98" t="s">
        <v>237</v>
      </c>
      <c r="CL5" s="98" t="s">
        <v>502</v>
      </c>
      <c r="CM5" s="98" t="s">
        <v>241</v>
      </c>
      <c r="CN5" s="98" t="s">
        <v>243</v>
      </c>
      <c r="CO5" s="98" t="s">
        <v>503</v>
      </c>
    </row>
    <row r="6" spans="1:94" s="103" customFormat="1" ht="15.6">
      <c r="A6" s="119"/>
      <c r="B6" s="119"/>
      <c r="C6" s="119"/>
      <c r="D6" s="119"/>
      <c r="E6" s="119"/>
      <c r="F6" s="120" t="s">
        <v>77</v>
      </c>
      <c r="G6" s="120" t="s">
        <v>79</v>
      </c>
      <c r="H6" s="120" t="s">
        <v>81</v>
      </c>
      <c r="I6" s="120" t="s">
        <v>83</v>
      </c>
      <c r="J6" s="120" t="s">
        <v>85</v>
      </c>
      <c r="K6" s="120" t="s">
        <v>87</v>
      </c>
      <c r="L6" s="120" t="s">
        <v>89</v>
      </c>
      <c r="M6" s="120" t="s">
        <v>92</v>
      </c>
      <c r="N6" s="120" t="s">
        <v>94</v>
      </c>
      <c r="O6" s="120" t="s">
        <v>96</v>
      </c>
      <c r="P6" s="120" t="s">
        <v>98</v>
      </c>
      <c r="Q6" s="120" t="s">
        <v>100</v>
      </c>
      <c r="R6" s="120" t="s">
        <v>102</v>
      </c>
      <c r="S6" s="120" t="s">
        <v>104</v>
      </c>
      <c r="T6" s="120" t="s">
        <v>106</v>
      </c>
      <c r="U6" s="121"/>
      <c r="V6" s="120" t="s">
        <v>110</v>
      </c>
      <c r="W6" s="120" t="s">
        <v>112</v>
      </c>
      <c r="X6" s="120" t="s">
        <v>114</v>
      </c>
      <c r="Y6" s="120" t="s">
        <v>116</v>
      </c>
      <c r="Z6" s="120" t="s">
        <v>118</v>
      </c>
      <c r="AA6" s="120" t="s">
        <v>120</v>
      </c>
      <c r="AB6" s="120" t="s">
        <v>122</v>
      </c>
      <c r="AC6" s="120" t="s">
        <v>124</v>
      </c>
      <c r="AD6" s="120" t="s">
        <v>126</v>
      </c>
      <c r="AE6" s="120" t="s">
        <v>128</v>
      </c>
      <c r="AF6" s="120" t="s">
        <v>130</v>
      </c>
      <c r="AG6" s="120" t="s">
        <v>132</v>
      </c>
      <c r="AH6" s="120" t="s">
        <v>134</v>
      </c>
      <c r="AI6" s="120" t="s">
        <v>136</v>
      </c>
      <c r="AJ6" s="120" t="s">
        <v>138</v>
      </c>
      <c r="AK6" s="120" t="s">
        <v>140</v>
      </c>
      <c r="AL6" s="120" t="s">
        <v>142</v>
      </c>
      <c r="AM6" s="120" t="s">
        <v>144</v>
      </c>
      <c r="AN6" s="120" t="s">
        <v>146</v>
      </c>
      <c r="AO6" s="120" t="s">
        <v>149</v>
      </c>
      <c r="AP6" s="120" t="s">
        <v>151</v>
      </c>
      <c r="AQ6" s="120" t="s">
        <v>153</v>
      </c>
      <c r="AR6" s="120" t="s">
        <v>155</v>
      </c>
      <c r="AS6" s="120" t="s">
        <v>157</v>
      </c>
      <c r="AT6" s="120" t="s">
        <v>159</v>
      </c>
      <c r="AU6" s="120" t="s">
        <v>161</v>
      </c>
      <c r="AV6" s="120" t="s">
        <v>163</v>
      </c>
      <c r="AW6" s="120" t="s">
        <v>165</v>
      </c>
      <c r="AX6" s="120" t="s">
        <v>167</v>
      </c>
      <c r="AY6" s="120" t="s">
        <v>169</v>
      </c>
      <c r="AZ6" s="120" t="s">
        <v>171</v>
      </c>
      <c r="BA6" s="120" t="s">
        <v>173</v>
      </c>
      <c r="BB6" s="120" t="s">
        <v>175</v>
      </c>
      <c r="BC6" s="120" t="s">
        <v>178</v>
      </c>
      <c r="BD6" s="120" t="s">
        <v>180</v>
      </c>
      <c r="BE6" s="120" t="s">
        <v>182</v>
      </c>
      <c r="BF6" s="120" t="s">
        <v>184</v>
      </c>
      <c r="BG6" s="120"/>
      <c r="BH6" s="120"/>
      <c r="BI6" s="120"/>
      <c r="BJ6" s="120"/>
      <c r="BK6" s="122" t="s">
        <v>192</v>
      </c>
      <c r="BL6" s="122" t="s">
        <v>194</v>
      </c>
      <c r="BM6" s="122" t="s">
        <v>196</v>
      </c>
      <c r="BN6" s="122"/>
      <c r="BO6" s="122" t="s">
        <v>200</v>
      </c>
      <c r="BP6" s="122" t="s">
        <v>202</v>
      </c>
      <c r="BQ6" s="122" t="s">
        <v>204</v>
      </c>
      <c r="BR6" s="122" t="s">
        <v>206</v>
      </c>
      <c r="BS6" s="122" t="s">
        <v>207</v>
      </c>
      <c r="BT6" s="122" t="s">
        <v>208</v>
      </c>
      <c r="BU6" s="122" t="s">
        <v>209</v>
      </c>
      <c r="BV6" s="122" t="s">
        <v>212</v>
      </c>
      <c r="BW6" s="122"/>
      <c r="BX6" s="122"/>
      <c r="BY6" s="122"/>
      <c r="BZ6" s="122"/>
      <c r="CA6" s="123" t="s">
        <v>219</v>
      </c>
      <c r="CB6" s="123" t="s">
        <v>221</v>
      </c>
      <c r="CC6" s="123"/>
      <c r="CD6" s="123" t="s">
        <v>225</v>
      </c>
      <c r="CE6" s="123" t="s">
        <v>227</v>
      </c>
      <c r="CF6" s="123"/>
      <c r="CG6" s="123"/>
      <c r="CH6" s="123"/>
      <c r="CI6" s="123"/>
      <c r="CJ6" s="124" t="s">
        <v>234</v>
      </c>
      <c r="CK6" s="124" t="s">
        <v>236</v>
      </c>
      <c r="CL6" s="124" t="s">
        <v>238</v>
      </c>
      <c r="CM6" s="124" t="s">
        <v>240</v>
      </c>
      <c r="CN6" s="124" t="s">
        <v>242</v>
      </c>
      <c r="CO6" s="124"/>
    </row>
    <row r="7" spans="1:94" s="103" customFormat="1" ht="78">
      <c r="A7" s="116" t="str">
        <f>'CFR Return'!C3</f>
        <v>0000</v>
      </c>
      <c r="B7" s="116" t="str">
        <f>'CFR Return'!C2</f>
        <v>Select School</v>
      </c>
      <c r="C7" s="116" t="s">
        <v>1160</v>
      </c>
      <c r="D7" s="116" t="str">
        <f>'CFR Return'!C4</f>
        <v>Final Accounts</v>
      </c>
      <c r="E7" s="116"/>
      <c r="F7" s="117">
        <f>'CFR Return'!G13</f>
        <v>0</v>
      </c>
      <c r="G7" s="117">
        <f>'CFR Return'!$G14</f>
        <v>0</v>
      </c>
      <c r="H7" s="117">
        <f>'CFR Return'!$G15</f>
        <v>0</v>
      </c>
      <c r="I7" s="117">
        <f>'CFR Return'!$G16</f>
        <v>0</v>
      </c>
      <c r="J7" s="117">
        <f>'CFR Return'!$G17</f>
        <v>0</v>
      </c>
      <c r="K7" s="117">
        <f>'CFR Return'!$G18</f>
        <v>0</v>
      </c>
      <c r="L7" s="117">
        <f>'CFR Return'!$G19</f>
        <v>0</v>
      </c>
      <c r="M7" s="117">
        <f>'CFR Return'!$G20</f>
        <v>0</v>
      </c>
      <c r="N7" s="117">
        <f>'CFR Return'!$G21</f>
        <v>0</v>
      </c>
      <c r="O7" s="117">
        <f>'CFR Return'!$G22</f>
        <v>0</v>
      </c>
      <c r="P7" s="117">
        <f>'CFR Return'!$G23</f>
        <v>0</v>
      </c>
      <c r="Q7" s="117">
        <f>'CFR Return'!$G24</f>
        <v>0</v>
      </c>
      <c r="R7" s="117">
        <f>'CFR Return'!$G25</f>
        <v>0</v>
      </c>
      <c r="S7" s="117">
        <f>'CFR Return'!$G26</f>
        <v>0</v>
      </c>
      <c r="T7" s="117">
        <f>'CFR Return'!$G27</f>
        <v>0</v>
      </c>
      <c r="U7" s="117">
        <f>SUM(F7:T7)</f>
        <v>0</v>
      </c>
      <c r="V7" s="117">
        <f>'CFR Return'!$G31</f>
        <v>0</v>
      </c>
      <c r="W7" s="117">
        <f>'CFR Return'!$G32</f>
        <v>0</v>
      </c>
      <c r="X7" s="117">
        <f>'CFR Return'!$G33</f>
        <v>0</v>
      </c>
      <c r="Y7" s="117">
        <f>'CFR Return'!$G34</f>
        <v>0</v>
      </c>
      <c r="Z7" s="117">
        <f>'CFR Return'!$G35</f>
        <v>0</v>
      </c>
      <c r="AA7" s="117">
        <f>'CFR Return'!$G36</f>
        <v>0</v>
      </c>
      <c r="AB7" s="117">
        <f>'CFR Return'!$G37</f>
        <v>0</v>
      </c>
      <c r="AC7" s="117">
        <f>'CFR Return'!$G38</f>
        <v>0</v>
      </c>
      <c r="AD7" s="117">
        <f>'CFR Return'!$G39</f>
        <v>0</v>
      </c>
      <c r="AE7" s="117">
        <f>'CFR Return'!$G40</f>
        <v>0</v>
      </c>
      <c r="AF7" s="117">
        <f>'CFR Return'!$G41</f>
        <v>0</v>
      </c>
      <c r="AG7" s="117">
        <f>'CFR Return'!$G42</f>
        <v>0</v>
      </c>
      <c r="AH7" s="117">
        <f>'CFR Return'!$G43</f>
        <v>0</v>
      </c>
      <c r="AI7" s="117">
        <f>'CFR Return'!$G44</f>
        <v>0</v>
      </c>
      <c r="AJ7" s="117">
        <f>'CFR Return'!$G45</f>
        <v>0</v>
      </c>
      <c r="AK7" s="117">
        <f>'CFR Return'!$G46</f>
        <v>0</v>
      </c>
      <c r="AL7" s="117">
        <f>'CFR Return'!$G47</f>
        <v>0</v>
      </c>
      <c r="AM7" s="117">
        <f>'CFR Return'!$G48</f>
        <v>0</v>
      </c>
      <c r="AN7" s="117">
        <f>'CFR Return'!$G49</f>
        <v>0</v>
      </c>
      <c r="AO7" s="117">
        <f>'CFR Return'!$G50</f>
        <v>0</v>
      </c>
      <c r="AP7" s="117">
        <f>'CFR Return'!$G51</f>
        <v>0</v>
      </c>
      <c r="AQ7" s="117">
        <f>'CFR Return'!$G52</f>
        <v>0</v>
      </c>
      <c r="AR7" s="117">
        <f>'CFR Return'!$G53</f>
        <v>0</v>
      </c>
      <c r="AS7" s="117">
        <f>'CFR Return'!$G54</f>
        <v>0</v>
      </c>
      <c r="AT7" s="117">
        <f>'CFR Return'!$G55</f>
        <v>0</v>
      </c>
      <c r="AU7" s="117">
        <f>'CFR Return'!$G56</f>
        <v>0</v>
      </c>
      <c r="AV7" s="117">
        <f>'CFR Return'!$G57</f>
        <v>0</v>
      </c>
      <c r="AW7" s="117">
        <f>'CFR Return'!$G58</f>
        <v>0</v>
      </c>
      <c r="AX7" s="117">
        <f>'CFR Return'!$G59</f>
        <v>0</v>
      </c>
      <c r="AY7" s="117">
        <f>'CFR Return'!$G60</f>
        <v>0</v>
      </c>
      <c r="AZ7" s="117">
        <f>'CFR Return'!$G61</f>
        <v>0</v>
      </c>
      <c r="BA7" s="117">
        <f>'CFR Return'!$G62</f>
        <v>0</v>
      </c>
      <c r="BB7" s="117">
        <f>'CFR Return'!$G63</f>
        <v>0</v>
      </c>
      <c r="BC7" s="117">
        <f>'CFR Return'!$G64</f>
        <v>0</v>
      </c>
      <c r="BD7" s="117">
        <f>'CFR Return'!$G65</f>
        <v>0</v>
      </c>
      <c r="BE7" s="117">
        <f>'CFR Return'!$G66</f>
        <v>0</v>
      </c>
      <c r="BF7" s="117">
        <f>'CFR Return'!$G67</f>
        <v>0</v>
      </c>
      <c r="BG7" s="117">
        <f>SUM(V7:BF7)</f>
        <v>0</v>
      </c>
      <c r="BH7" s="117">
        <f>'CFR Return'!$G10</f>
        <v>0</v>
      </c>
      <c r="BI7" s="117">
        <f>U7-BG7</f>
        <v>0</v>
      </c>
      <c r="BJ7" s="117">
        <f>BH7+BI7</f>
        <v>0</v>
      </c>
      <c r="BK7" s="117">
        <f>'CFR Return'!$G80</f>
        <v>0</v>
      </c>
      <c r="BL7" s="117">
        <f>'CFR Return'!G81</f>
        <v>0</v>
      </c>
      <c r="BM7" s="117">
        <f>'CFR Return'!$G82</f>
        <v>0</v>
      </c>
      <c r="BN7" s="117">
        <f>SUM(BK7:BM7)</f>
        <v>0</v>
      </c>
      <c r="BO7" s="117">
        <f>'CFR Return'!$G87</f>
        <v>0</v>
      </c>
      <c r="BP7" s="117">
        <f>'CFR Return'!$G88</f>
        <v>0</v>
      </c>
      <c r="BQ7" s="117">
        <f>'CFR Return'!$G89</f>
        <v>0</v>
      </c>
      <c r="BR7" s="117">
        <f>'CFR Return'!$G90</f>
        <v>0</v>
      </c>
      <c r="BS7" s="117">
        <f>'CFR Return'!$G91</f>
        <v>0</v>
      </c>
      <c r="BT7" s="117">
        <f>'CFR Return'!$G92</f>
        <v>0</v>
      </c>
      <c r="BU7" s="117">
        <f>'CFR Return'!$G93</f>
        <v>0</v>
      </c>
      <c r="BV7" s="117">
        <f>'CFR Return'!$G94</f>
        <v>0</v>
      </c>
      <c r="BW7" s="117">
        <f>SUM(BO7:BV7)</f>
        <v>0</v>
      </c>
      <c r="BX7" s="117">
        <f>'CFR Return'!$G77</f>
        <v>0</v>
      </c>
      <c r="BY7" s="117">
        <f>BN7-BW7</f>
        <v>0</v>
      </c>
      <c r="BZ7" s="117">
        <f>BX7+BY7</f>
        <v>0</v>
      </c>
      <c r="CA7" s="117">
        <f>'CFR Return'!$G107</f>
        <v>0</v>
      </c>
      <c r="CB7" s="117">
        <f>'CFR Return'!$G108</f>
        <v>0</v>
      </c>
      <c r="CC7" s="117">
        <f>CA7+CB7</f>
        <v>0</v>
      </c>
      <c r="CD7" s="117">
        <f>'CFR Return'!$G113</f>
        <v>0</v>
      </c>
      <c r="CE7" s="117">
        <f>'CFR Return'!$G114</f>
        <v>0</v>
      </c>
      <c r="CF7" s="117">
        <f>CD7+CE7</f>
        <v>0</v>
      </c>
      <c r="CG7" s="117">
        <f>'CFR Return'!$G104</f>
        <v>0</v>
      </c>
      <c r="CH7" s="117">
        <f>CC7-CF7</f>
        <v>0</v>
      </c>
      <c r="CI7" s="117">
        <f>CG7+CH7</f>
        <v>0</v>
      </c>
      <c r="CJ7" s="117">
        <f>'CFR Return'!$G128</f>
        <v>0</v>
      </c>
      <c r="CK7" s="117">
        <f>'CFR Return'!$G129</f>
        <v>0</v>
      </c>
      <c r="CL7" s="117">
        <f>'CFR Return'!$G130</f>
        <v>0</v>
      </c>
      <c r="CM7" s="117">
        <f>'CFR Return'!$G131</f>
        <v>0</v>
      </c>
      <c r="CN7" s="117">
        <f>'CFR Return'!$G132</f>
        <v>0</v>
      </c>
      <c r="CO7" s="117">
        <f>SUM(CJ7:CN7)</f>
        <v>0</v>
      </c>
      <c r="CP7" s="130"/>
    </row>
  </sheetData>
  <mergeCells count="5">
    <mergeCell ref="A4:E4"/>
    <mergeCell ref="F4:BJ4"/>
    <mergeCell ref="BK4:BZ4"/>
    <mergeCell ref="CA4:CI4"/>
    <mergeCell ref="CJ4:CO4"/>
  </mergeCells>
  <pageMargins left="0.7" right="0.7" top="0.75" bottom="0.75" header="0.3" footer="0.3"/>
  <headerFooter>
    <oddFooter>&amp;C_x000D_&amp;1#&amp;"Calibri"&amp;10&amp;K000000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CFF"/>
  </sheetPr>
  <dimension ref="A1:AX210"/>
  <sheetViews>
    <sheetView topLeftCell="A160" workbookViewId="0">
      <selection activeCell="A3" sqref="A3:C188"/>
    </sheetView>
  </sheetViews>
  <sheetFormatPr defaultRowHeight="14.4"/>
  <cols>
    <col min="1" max="1" width="41.44140625" bestFit="1" customWidth="1"/>
    <col min="2" max="2" width="18.44140625" style="72" customWidth="1"/>
    <col min="3" max="3" width="7.5546875" bestFit="1" customWidth="1"/>
    <col min="4" max="4" width="7.5546875" customWidth="1"/>
    <col min="5" max="5" width="20.33203125" customWidth="1"/>
    <col min="12" max="12" width="20.109375" bestFit="1" customWidth="1"/>
    <col min="13" max="13" width="13" customWidth="1"/>
    <col min="14" max="14" width="10.6640625" customWidth="1"/>
    <col min="15" max="16" width="10.44140625" customWidth="1"/>
    <col min="30" max="30" width="67" bestFit="1" customWidth="1"/>
    <col min="35" max="38" width="9.109375" style="356"/>
    <col min="39" max="39" width="39.33203125" style="356" customWidth="1"/>
    <col min="40" max="40" width="20.33203125" style="356" customWidth="1"/>
    <col min="41" max="41" width="15.6640625" style="356" customWidth="1"/>
    <col min="42" max="42" width="9.109375" style="356"/>
    <col min="43" max="43" width="43.88671875" style="356" customWidth="1"/>
    <col min="44" max="44" width="15.109375" style="356" bestFit="1" customWidth="1"/>
    <col min="45" max="46" width="9.109375" style="356"/>
    <col min="47" max="47" width="44.33203125" style="356" customWidth="1"/>
    <col min="48" max="48" width="15.109375" style="356" bestFit="1" customWidth="1"/>
    <col min="49" max="49" width="45.33203125" style="356" bestFit="1" customWidth="1"/>
    <col min="50" max="50" width="15.109375" style="356" bestFit="1" customWidth="1"/>
  </cols>
  <sheetData>
    <row r="1" spans="1:50" ht="29.4" thickBot="1">
      <c r="A1" s="725" t="s">
        <v>526</v>
      </c>
      <c r="B1" s="725" t="s">
        <v>1161</v>
      </c>
      <c r="C1" s="725" t="s">
        <v>1162</v>
      </c>
      <c r="L1" t="s">
        <v>1163</v>
      </c>
      <c r="M1" t="s">
        <v>62</v>
      </c>
      <c r="N1" t="s">
        <v>61</v>
      </c>
      <c r="O1" t="s">
        <v>1164</v>
      </c>
      <c r="P1" t="s">
        <v>1165</v>
      </c>
      <c r="AA1" s="155" t="s">
        <v>524</v>
      </c>
      <c r="AB1" s="156" t="s">
        <v>525</v>
      </c>
      <c r="AC1" s="157" t="s">
        <v>474</v>
      </c>
      <c r="AD1" s="158" t="s">
        <v>526</v>
      </c>
      <c r="AE1" s="157" t="s">
        <v>527</v>
      </c>
    </row>
    <row r="2" spans="1:50" ht="15">
      <c r="A2" s="91" t="s">
        <v>48</v>
      </c>
      <c r="B2" s="92" t="s">
        <v>531</v>
      </c>
      <c r="C2" s="92" t="s">
        <v>531</v>
      </c>
      <c r="AA2" s="163">
        <v>1027</v>
      </c>
      <c r="AB2" s="165">
        <v>103140</v>
      </c>
      <c r="AC2" s="165" t="s">
        <v>532</v>
      </c>
      <c r="AD2" s="165" t="s">
        <v>533</v>
      </c>
      <c r="AE2" s="159" t="s">
        <v>534</v>
      </c>
      <c r="AU2" s="356" t="s">
        <v>1166</v>
      </c>
      <c r="AV2" s="356" t="s">
        <v>1167</v>
      </c>
      <c r="AW2" s="356" t="s">
        <v>1168</v>
      </c>
      <c r="AX2" s="356" t="s">
        <v>1167</v>
      </c>
    </row>
    <row r="3" spans="1:50" ht="24">
      <c r="A3" s="91" t="s">
        <v>533</v>
      </c>
      <c r="B3" s="92">
        <v>1027</v>
      </c>
      <c r="C3" t="s">
        <v>547</v>
      </c>
      <c r="E3" t="s">
        <v>1169</v>
      </c>
      <c r="L3" t="s">
        <v>1170</v>
      </c>
      <c r="M3" s="143" t="s">
        <v>62</v>
      </c>
      <c r="N3" s="143" t="s">
        <v>61</v>
      </c>
      <c r="O3" s="143" t="s">
        <v>1164</v>
      </c>
      <c r="P3" s="71" t="s">
        <v>1165</v>
      </c>
      <c r="Q3" s="143"/>
      <c r="T3" s="143" t="s">
        <v>976</v>
      </c>
      <c r="U3" s="143"/>
      <c r="AA3" s="160">
        <v>2010</v>
      </c>
      <c r="AB3" s="133">
        <v>103159</v>
      </c>
      <c r="AC3" s="133" t="s">
        <v>536</v>
      </c>
      <c r="AD3" s="133" t="s">
        <v>537</v>
      </c>
      <c r="AE3" s="159" t="s">
        <v>538</v>
      </c>
      <c r="AI3" s="356" t="s">
        <v>1171</v>
      </c>
      <c r="AL3" s="356" t="s">
        <v>1172</v>
      </c>
      <c r="AM3" s="356" t="s">
        <v>1173</v>
      </c>
      <c r="AN3" s="356" t="s">
        <v>1167</v>
      </c>
      <c r="AP3" s="356" t="s">
        <v>1174</v>
      </c>
      <c r="AQ3" s="356" t="s">
        <v>1175</v>
      </c>
      <c r="AR3" s="356" t="s">
        <v>1167</v>
      </c>
      <c r="AU3" s="356" t="s">
        <v>1176</v>
      </c>
      <c r="AV3" s="356" t="s">
        <v>979</v>
      </c>
      <c r="AW3" s="356" t="s">
        <v>1177</v>
      </c>
      <c r="AX3" s="356" t="s">
        <v>1167</v>
      </c>
    </row>
    <row r="4" spans="1:50" ht="15">
      <c r="A4" s="91" t="s">
        <v>537</v>
      </c>
      <c r="B4" s="93">
        <v>2010</v>
      </c>
      <c r="C4" t="s">
        <v>549</v>
      </c>
      <c r="E4" t="s">
        <v>1178</v>
      </c>
      <c r="L4" t="s">
        <v>62</v>
      </c>
      <c r="M4" s="143" t="s">
        <v>110</v>
      </c>
      <c r="N4" s="143" t="s">
        <v>77</v>
      </c>
      <c r="O4" s="143" t="s">
        <v>110</v>
      </c>
      <c r="P4" s="143" t="s">
        <v>77</v>
      </c>
      <c r="T4" s="72" t="s">
        <v>978</v>
      </c>
      <c r="U4" s="72"/>
      <c r="AA4" s="160">
        <v>5949</v>
      </c>
      <c r="AB4" s="133">
        <v>131465</v>
      </c>
      <c r="AC4" s="133" t="s">
        <v>539</v>
      </c>
      <c r="AD4" s="133" t="s">
        <v>540</v>
      </c>
      <c r="AE4" s="159" t="s">
        <v>538</v>
      </c>
      <c r="AI4" s="356" t="s">
        <v>1179</v>
      </c>
      <c r="AL4" s="356" t="s">
        <v>1180</v>
      </c>
      <c r="AM4" s="356" t="s">
        <v>1181</v>
      </c>
      <c r="AN4" s="356" t="s">
        <v>979</v>
      </c>
      <c r="AP4" s="356" t="s">
        <v>1182</v>
      </c>
      <c r="AQ4" s="356" t="s">
        <v>1183</v>
      </c>
      <c r="AR4" s="356" t="s">
        <v>1167</v>
      </c>
      <c r="AU4" s="356" t="s">
        <v>1184</v>
      </c>
      <c r="AV4" s="356" t="s">
        <v>1167</v>
      </c>
      <c r="AW4" s="356" t="s">
        <v>1185</v>
      </c>
      <c r="AX4" s="356" t="s">
        <v>1167</v>
      </c>
    </row>
    <row r="5" spans="1:50" ht="15">
      <c r="A5" s="91" t="s">
        <v>540</v>
      </c>
      <c r="B5" s="93">
        <v>5949</v>
      </c>
      <c r="C5" t="s">
        <v>551</v>
      </c>
      <c r="E5" t="s">
        <v>1186</v>
      </c>
      <c r="L5" t="s">
        <v>61</v>
      </c>
      <c r="M5" s="143" t="s">
        <v>112</v>
      </c>
      <c r="N5" s="143" t="s">
        <v>79</v>
      </c>
      <c r="O5" s="143" t="s">
        <v>112</v>
      </c>
      <c r="P5" s="143" t="s">
        <v>79</v>
      </c>
      <c r="AA5" s="162">
        <v>1017</v>
      </c>
      <c r="AB5" s="164">
        <v>103130</v>
      </c>
      <c r="AC5" s="164" t="s">
        <v>541</v>
      </c>
      <c r="AD5" s="164" t="s">
        <v>542</v>
      </c>
      <c r="AE5" s="159" t="s">
        <v>534</v>
      </c>
      <c r="AL5" s="356" t="s">
        <v>1187</v>
      </c>
      <c r="AM5" s="356" t="s">
        <v>1188</v>
      </c>
      <c r="AN5" s="356" t="s">
        <v>1167</v>
      </c>
      <c r="AP5" s="356" t="s">
        <v>1189</v>
      </c>
      <c r="AQ5" s="356" t="s">
        <v>1190</v>
      </c>
      <c r="AR5" s="356" t="s">
        <v>1167</v>
      </c>
      <c r="AU5" s="356" t="s">
        <v>1191</v>
      </c>
      <c r="AV5" s="356" t="s">
        <v>1167</v>
      </c>
      <c r="AW5" s="356" t="s">
        <v>1192</v>
      </c>
      <c r="AX5" s="356" t="s">
        <v>1167</v>
      </c>
    </row>
    <row r="6" spans="1:50" ht="15">
      <c r="A6" s="91" t="s">
        <v>542</v>
      </c>
      <c r="B6" s="93">
        <v>1017</v>
      </c>
      <c r="C6" t="s">
        <v>554</v>
      </c>
      <c r="E6" t="s">
        <v>5</v>
      </c>
      <c r="L6" t="s">
        <v>1193</v>
      </c>
      <c r="M6" s="143" t="s">
        <v>114</v>
      </c>
      <c r="N6" s="143" t="s">
        <v>81</v>
      </c>
      <c r="O6" s="143" t="s">
        <v>114</v>
      </c>
      <c r="P6" s="143" t="s">
        <v>81</v>
      </c>
      <c r="T6" t="s">
        <v>340</v>
      </c>
      <c r="AA6" s="160">
        <v>2153</v>
      </c>
      <c r="AB6" s="133">
        <v>103243</v>
      </c>
      <c r="AC6" s="133" t="s">
        <v>543</v>
      </c>
      <c r="AD6" s="133" t="s">
        <v>544</v>
      </c>
      <c r="AE6" s="159" t="s">
        <v>538</v>
      </c>
      <c r="AL6" s="356" t="s">
        <v>1194</v>
      </c>
      <c r="AM6" s="356" t="s">
        <v>1195</v>
      </c>
      <c r="AN6" s="356" t="s">
        <v>1167</v>
      </c>
      <c r="AP6" s="356" t="s">
        <v>1196</v>
      </c>
      <c r="AQ6" s="356" t="s">
        <v>1197</v>
      </c>
      <c r="AR6" s="356" t="s">
        <v>1167</v>
      </c>
      <c r="AU6" s="356" t="s">
        <v>1198</v>
      </c>
      <c r="AV6" s="356" t="s">
        <v>1167</v>
      </c>
      <c r="AW6" s="356" t="s">
        <v>1199</v>
      </c>
      <c r="AX6" s="356" t="s">
        <v>979</v>
      </c>
    </row>
    <row r="7" spans="1:50" ht="15">
      <c r="A7" s="91" t="s">
        <v>544</v>
      </c>
      <c r="B7" s="93">
        <v>2153</v>
      </c>
      <c r="C7" t="s">
        <v>556</v>
      </c>
      <c r="L7" t="s">
        <v>1200</v>
      </c>
      <c r="M7" s="143" t="s">
        <v>116</v>
      </c>
      <c r="N7" s="143" t="s">
        <v>83</v>
      </c>
      <c r="O7" s="143" t="s">
        <v>116</v>
      </c>
      <c r="P7" s="143" t="s">
        <v>83</v>
      </c>
      <c r="T7" t="s">
        <v>1201</v>
      </c>
      <c r="AA7" s="160">
        <v>2062</v>
      </c>
      <c r="AB7" s="133">
        <v>103192</v>
      </c>
      <c r="AC7" s="133" t="s">
        <v>545</v>
      </c>
      <c r="AD7" s="133" t="s">
        <v>546</v>
      </c>
      <c r="AE7" s="159" t="s">
        <v>538</v>
      </c>
      <c r="AL7" s="356" t="s">
        <v>1202</v>
      </c>
      <c r="AM7" s="356" t="s">
        <v>1203</v>
      </c>
      <c r="AN7" s="356" t="s">
        <v>1167</v>
      </c>
      <c r="AP7" s="356" t="s">
        <v>964</v>
      </c>
      <c r="AQ7" s="356" t="s">
        <v>1204</v>
      </c>
      <c r="AR7" s="356" t="s">
        <v>1179</v>
      </c>
      <c r="AU7" s="356" t="s">
        <v>1205</v>
      </c>
      <c r="AW7" s="356" t="s">
        <v>1206</v>
      </c>
      <c r="AX7" s="356" t="s">
        <v>979</v>
      </c>
    </row>
    <row r="8" spans="1:50" ht="15">
      <c r="A8" s="91" t="s">
        <v>546</v>
      </c>
      <c r="B8" s="93">
        <v>2062</v>
      </c>
      <c r="C8" t="s">
        <v>558</v>
      </c>
      <c r="M8" s="143" t="s">
        <v>118</v>
      </c>
      <c r="N8" s="143" t="s">
        <v>85</v>
      </c>
      <c r="O8" s="143" t="s">
        <v>118</v>
      </c>
      <c r="P8" s="143" t="s">
        <v>85</v>
      </c>
      <c r="T8" t="s">
        <v>1207</v>
      </c>
      <c r="AA8" s="160">
        <v>2479</v>
      </c>
      <c r="AB8" s="133">
        <v>132074</v>
      </c>
      <c r="AC8" s="133" t="s">
        <v>547</v>
      </c>
      <c r="AD8" s="133" t="s">
        <v>548</v>
      </c>
      <c r="AE8" s="159" t="s">
        <v>538</v>
      </c>
      <c r="AL8" s="356" t="s">
        <v>969</v>
      </c>
      <c r="AM8" s="356" t="s">
        <v>1208</v>
      </c>
      <c r="AN8" s="356" t="s">
        <v>979</v>
      </c>
      <c r="AP8" s="356" t="s">
        <v>1209</v>
      </c>
      <c r="AQ8" s="356" t="s">
        <v>63</v>
      </c>
      <c r="AR8" s="356" t="s">
        <v>1179</v>
      </c>
      <c r="AU8" s="356" t="s">
        <v>1210</v>
      </c>
      <c r="AW8" s="356" t="s">
        <v>1211</v>
      </c>
      <c r="AX8" s="356" t="s">
        <v>979</v>
      </c>
    </row>
    <row r="9" spans="1:50" ht="15">
      <c r="A9" s="91" t="s">
        <v>548</v>
      </c>
      <c r="B9" s="93">
        <v>2479</v>
      </c>
      <c r="C9" t="s">
        <v>560</v>
      </c>
      <c r="M9" s="38" t="s">
        <v>120</v>
      </c>
      <c r="N9" s="143" t="s">
        <v>87</v>
      </c>
      <c r="O9" s="38" t="s">
        <v>120</v>
      </c>
      <c r="P9" s="143" t="s">
        <v>87</v>
      </c>
      <c r="AA9" s="160">
        <v>2300</v>
      </c>
      <c r="AB9" s="133">
        <v>103324</v>
      </c>
      <c r="AC9" s="133" t="s">
        <v>549</v>
      </c>
      <c r="AD9" s="133" t="s">
        <v>550</v>
      </c>
      <c r="AE9" s="159" t="s">
        <v>538</v>
      </c>
      <c r="AL9" s="356" t="s">
        <v>1212</v>
      </c>
      <c r="AM9" s="356" t="s">
        <v>1213</v>
      </c>
      <c r="AN9" s="356" t="s">
        <v>979</v>
      </c>
      <c r="AP9" s="356" t="s">
        <v>967</v>
      </c>
      <c r="AQ9" s="356" t="s">
        <v>1214</v>
      </c>
      <c r="AR9" s="356" t="s">
        <v>1179</v>
      </c>
      <c r="AU9" s="356" t="s">
        <v>1215</v>
      </c>
      <c r="AW9" s="356" t="s">
        <v>1216</v>
      </c>
      <c r="AX9" s="356" t="s">
        <v>979</v>
      </c>
    </row>
    <row r="10" spans="1:50" ht="15">
      <c r="A10" s="91" t="s">
        <v>550</v>
      </c>
      <c r="B10" s="93">
        <v>2300</v>
      </c>
      <c r="C10" t="s">
        <v>562</v>
      </c>
      <c r="M10" s="38" t="s">
        <v>122</v>
      </c>
      <c r="N10" s="143" t="s">
        <v>89</v>
      </c>
      <c r="O10" s="38" t="s">
        <v>122</v>
      </c>
      <c r="P10" s="143" t="s">
        <v>89</v>
      </c>
      <c r="AA10" s="160">
        <v>2014</v>
      </c>
      <c r="AB10" s="133">
        <v>103162</v>
      </c>
      <c r="AC10" s="133" t="s">
        <v>876</v>
      </c>
      <c r="AD10" s="133" t="s">
        <v>877</v>
      </c>
      <c r="AE10" s="159" t="s">
        <v>538</v>
      </c>
      <c r="AL10" s="356" t="s">
        <v>1217</v>
      </c>
      <c r="AM10" s="356" t="s">
        <v>1218</v>
      </c>
      <c r="AN10" s="356" t="s">
        <v>979</v>
      </c>
      <c r="AP10" s="356" t="s">
        <v>1219</v>
      </c>
      <c r="AQ10" s="356" t="s">
        <v>1220</v>
      </c>
      <c r="AR10" s="356" t="s">
        <v>1179</v>
      </c>
      <c r="AU10" s="356" t="s">
        <v>1221</v>
      </c>
      <c r="AW10" s="356" t="s">
        <v>1222</v>
      </c>
      <c r="AX10" s="356" t="s">
        <v>979</v>
      </c>
    </row>
    <row r="11" spans="1:50" ht="15">
      <c r="A11" s="91" t="s">
        <v>877</v>
      </c>
      <c r="B11" s="93">
        <v>2014</v>
      </c>
      <c r="C11" t="s">
        <v>888</v>
      </c>
      <c r="M11" s="38" t="s">
        <v>124</v>
      </c>
      <c r="N11" s="143" t="s">
        <v>92</v>
      </c>
      <c r="O11" s="38" t="s">
        <v>124</v>
      </c>
      <c r="P11" s="143" t="s">
        <v>92</v>
      </c>
      <c r="AA11" s="160">
        <v>7016</v>
      </c>
      <c r="AB11" s="133">
        <v>103606</v>
      </c>
      <c r="AC11" s="133" t="s">
        <v>551</v>
      </c>
      <c r="AD11" s="133" t="s">
        <v>552</v>
      </c>
      <c r="AE11" s="159" t="s">
        <v>553</v>
      </c>
      <c r="AL11" s="356" t="s">
        <v>1223</v>
      </c>
      <c r="AM11" s="356" t="s">
        <v>1224</v>
      </c>
      <c r="AN11" s="356" t="s">
        <v>979</v>
      </c>
      <c r="AP11" s="356" t="s">
        <v>1225</v>
      </c>
      <c r="AQ11" s="356" t="s">
        <v>1226</v>
      </c>
      <c r="AR11" s="356" t="s">
        <v>1179</v>
      </c>
      <c r="AU11" s="356" t="s">
        <v>996</v>
      </c>
      <c r="AW11" s="356" t="s">
        <v>1227</v>
      </c>
      <c r="AX11" s="356" t="s">
        <v>979</v>
      </c>
    </row>
    <row r="12" spans="1:50" ht="15">
      <c r="A12" s="91" t="s">
        <v>552</v>
      </c>
      <c r="B12" s="93">
        <v>7016</v>
      </c>
      <c r="C12" t="s">
        <v>565</v>
      </c>
      <c r="E12" t="s">
        <v>62</v>
      </c>
      <c r="F12" t="s">
        <v>62</v>
      </c>
      <c r="M12" s="38" t="s">
        <v>126</v>
      </c>
      <c r="N12" s="143" t="s">
        <v>94</v>
      </c>
      <c r="O12" s="38" t="s">
        <v>126</v>
      </c>
      <c r="P12" s="143" t="s">
        <v>94</v>
      </c>
      <c r="AA12" s="160">
        <v>7052</v>
      </c>
      <c r="AB12" s="133">
        <v>103627</v>
      </c>
      <c r="AC12" s="133" t="s">
        <v>878</v>
      </c>
      <c r="AD12" s="133" t="s">
        <v>879</v>
      </c>
      <c r="AE12" s="159" t="s">
        <v>553</v>
      </c>
      <c r="AL12" s="356" t="s">
        <v>971</v>
      </c>
      <c r="AM12" s="356" t="s">
        <v>1228</v>
      </c>
      <c r="AN12" s="356" t="s">
        <v>979</v>
      </c>
      <c r="AP12" s="356" t="s">
        <v>1229</v>
      </c>
      <c r="AQ12" s="356" t="s">
        <v>1230</v>
      </c>
      <c r="AR12" s="356" t="s">
        <v>1179</v>
      </c>
      <c r="AU12" s="356" t="s">
        <v>1231</v>
      </c>
      <c r="AW12" s="356" t="s">
        <v>1232</v>
      </c>
      <c r="AX12" s="356" t="s">
        <v>979</v>
      </c>
    </row>
    <row r="13" spans="1:50" ht="15">
      <c r="A13" s="91" t="s">
        <v>879</v>
      </c>
      <c r="B13" s="93">
        <v>7052</v>
      </c>
      <c r="C13" t="s">
        <v>820</v>
      </c>
      <c r="E13" t="s">
        <v>61</v>
      </c>
      <c r="F13" t="s">
        <v>61</v>
      </c>
      <c r="M13" s="38" t="s">
        <v>128</v>
      </c>
      <c r="N13" s="143" t="s">
        <v>96</v>
      </c>
      <c r="O13" s="38" t="s">
        <v>128</v>
      </c>
      <c r="P13" s="143" t="s">
        <v>96</v>
      </c>
      <c r="AA13" s="160">
        <v>2017</v>
      </c>
      <c r="AB13" s="133">
        <v>103164</v>
      </c>
      <c r="AC13" s="133" t="s">
        <v>554</v>
      </c>
      <c r="AD13" s="133" t="s">
        <v>555</v>
      </c>
      <c r="AE13" s="159" t="s">
        <v>538</v>
      </c>
      <c r="AL13" s="356" t="s">
        <v>1233</v>
      </c>
      <c r="AM13" s="356" t="s">
        <v>1234</v>
      </c>
      <c r="AN13" s="356" t="s">
        <v>979</v>
      </c>
      <c r="AP13" s="356" t="s">
        <v>1235</v>
      </c>
      <c r="AQ13" s="356" t="s">
        <v>1236</v>
      </c>
      <c r="AR13" s="356" t="s">
        <v>1179</v>
      </c>
      <c r="AW13" s="356" t="s">
        <v>1237</v>
      </c>
      <c r="AX13" s="356" t="s">
        <v>979</v>
      </c>
    </row>
    <row r="14" spans="1:50" ht="15">
      <c r="A14" s="91" t="s">
        <v>555</v>
      </c>
      <c r="B14" s="93">
        <v>2017</v>
      </c>
      <c r="C14" t="s">
        <v>567</v>
      </c>
      <c r="E14" t="s">
        <v>1193</v>
      </c>
      <c r="F14" t="s">
        <v>1164</v>
      </c>
      <c r="M14" s="38" t="s">
        <v>130</v>
      </c>
      <c r="N14" s="143" t="s">
        <v>98</v>
      </c>
      <c r="O14" s="38" t="s">
        <v>130</v>
      </c>
      <c r="P14" s="143" t="s">
        <v>98</v>
      </c>
      <c r="AA14" s="160">
        <v>2016</v>
      </c>
      <c r="AB14" s="133">
        <v>103163</v>
      </c>
      <c r="AC14" s="133" t="s">
        <v>556</v>
      </c>
      <c r="AD14" s="133" t="s">
        <v>557</v>
      </c>
      <c r="AE14" s="159" t="s">
        <v>538</v>
      </c>
      <c r="AP14" s="356" t="s">
        <v>1238</v>
      </c>
      <c r="AQ14" s="356" t="s">
        <v>1239</v>
      </c>
      <c r="AR14" s="356" t="s">
        <v>1179</v>
      </c>
      <c r="AU14" s="356" t="s">
        <v>979</v>
      </c>
      <c r="AW14" s="356" t="s">
        <v>1240</v>
      </c>
      <c r="AX14" s="356" t="s">
        <v>979</v>
      </c>
    </row>
    <row r="15" spans="1:50" ht="15">
      <c r="A15" s="91" t="s">
        <v>557</v>
      </c>
      <c r="B15" s="93">
        <v>2016</v>
      </c>
      <c r="C15" t="s">
        <v>569</v>
      </c>
      <c r="E15" t="s">
        <v>1200</v>
      </c>
      <c r="F15" t="s">
        <v>1165</v>
      </c>
      <c r="M15" s="38" t="s">
        <v>132</v>
      </c>
      <c r="N15" s="143" t="s">
        <v>100</v>
      </c>
      <c r="O15" s="38" t="s">
        <v>132</v>
      </c>
      <c r="P15" s="143" t="s">
        <v>100</v>
      </c>
      <c r="AA15" s="160">
        <v>2239</v>
      </c>
      <c r="AB15" s="133">
        <v>103289</v>
      </c>
      <c r="AC15" s="133" t="s">
        <v>558</v>
      </c>
      <c r="AD15" s="133" t="s">
        <v>559</v>
      </c>
      <c r="AE15" s="159" t="s">
        <v>538</v>
      </c>
      <c r="AP15" s="356" t="s">
        <v>1241</v>
      </c>
      <c r="AQ15" s="356" t="s">
        <v>1242</v>
      </c>
      <c r="AR15" s="356" t="s">
        <v>1179</v>
      </c>
      <c r="AW15" s="356" t="s">
        <v>1243</v>
      </c>
      <c r="AX15" s="356" t="s">
        <v>979</v>
      </c>
    </row>
    <row r="16" spans="1:50" ht="15">
      <c r="A16" s="91" t="s">
        <v>559</v>
      </c>
      <c r="B16" s="93">
        <v>2239</v>
      </c>
      <c r="C16" t="s">
        <v>571</v>
      </c>
      <c r="M16" s="38" t="s">
        <v>134</v>
      </c>
      <c r="N16" s="143" t="s">
        <v>102</v>
      </c>
      <c r="O16" s="38" t="s">
        <v>134</v>
      </c>
      <c r="P16" s="143" t="s">
        <v>102</v>
      </c>
      <c r="AA16" s="160">
        <v>2241</v>
      </c>
      <c r="AB16" s="133">
        <v>103291</v>
      </c>
      <c r="AC16" s="133" t="s">
        <v>560</v>
      </c>
      <c r="AD16" s="133" t="s">
        <v>561</v>
      </c>
      <c r="AE16" s="159" t="s">
        <v>538</v>
      </c>
      <c r="AP16" s="356" t="s">
        <v>1244</v>
      </c>
      <c r="AQ16" s="356" t="s">
        <v>1245</v>
      </c>
      <c r="AR16" s="356" t="s">
        <v>1179</v>
      </c>
      <c r="AW16" s="356" t="s">
        <v>1246</v>
      </c>
      <c r="AX16" s="356" t="s">
        <v>979</v>
      </c>
    </row>
    <row r="17" spans="1:50" ht="15">
      <c r="A17" s="91" t="s">
        <v>561</v>
      </c>
      <c r="B17" s="93">
        <v>2241</v>
      </c>
      <c r="C17" t="s">
        <v>573</v>
      </c>
      <c r="M17" s="38" t="s">
        <v>136</v>
      </c>
      <c r="N17" s="143" t="s">
        <v>104</v>
      </c>
      <c r="O17" s="38" t="s">
        <v>136</v>
      </c>
      <c r="P17" s="143" t="s">
        <v>104</v>
      </c>
      <c r="AA17" s="160">
        <v>2456</v>
      </c>
      <c r="AB17" s="133">
        <v>103383</v>
      </c>
      <c r="AC17" s="133" t="s">
        <v>880</v>
      </c>
      <c r="AD17" s="133" t="s">
        <v>881</v>
      </c>
      <c r="AE17" s="159" t="s">
        <v>538</v>
      </c>
      <c r="AP17" s="356" t="s">
        <v>1247</v>
      </c>
      <c r="AQ17" s="356" t="s">
        <v>1248</v>
      </c>
      <c r="AR17" s="356" t="s">
        <v>1179</v>
      </c>
      <c r="AW17" s="356" t="s">
        <v>1249</v>
      </c>
      <c r="AX17" s="356" t="s">
        <v>1167</v>
      </c>
    </row>
    <row r="18" spans="1:50" ht="15">
      <c r="A18" s="91" t="s">
        <v>881</v>
      </c>
      <c r="B18" s="93">
        <v>2456</v>
      </c>
      <c r="C18" t="s">
        <v>890</v>
      </c>
      <c r="M18" s="38" t="s">
        <v>138</v>
      </c>
      <c r="N18" s="143" t="s">
        <v>106</v>
      </c>
      <c r="O18" s="38" t="s">
        <v>138</v>
      </c>
      <c r="P18" s="143" t="s">
        <v>106</v>
      </c>
      <c r="AA18" s="160">
        <v>2435</v>
      </c>
      <c r="AB18" s="133">
        <v>103362</v>
      </c>
      <c r="AC18" s="133" t="s">
        <v>1250</v>
      </c>
      <c r="AD18" s="133" t="s">
        <v>1251</v>
      </c>
      <c r="AE18" s="159" t="s">
        <v>538</v>
      </c>
      <c r="AP18" s="356" t="s">
        <v>1252</v>
      </c>
      <c r="AQ18" s="356" t="s">
        <v>1253</v>
      </c>
      <c r="AR18" s="356" t="s">
        <v>1167</v>
      </c>
      <c r="AW18" s="356" t="s">
        <v>1254</v>
      </c>
    </row>
    <row r="19" spans="1:50" ht="43.2">
      <c r="A19" s="91" t="s">
        <v>563</v>
      </c>
      <c r="B19" s="93">
        <v>5413</v>
      </c>
      <c r="C19" t="s">
        <v>575</v>
      </c>
      <c r="M19" s="38" t="s">
        <v>140</v>
      </c>
      <c r="N19" s="143" t="s">
        <v>219</v>
      </c>
      <c r="O19" s="38" t="s">
        <v>140</v>
      </c>
      <c r="P19" s="143" t="s">
        <v>219</v>
      </c>
      <c r="AA19" s="160">
        <v>5413</v>
      </c>
      <c r="AB19" s="133">
        <v>103560</v>
      </c>
      <c r="AC19" s="133" t="s">
        <v>562</v>
      </c>
      <c r="AD19" s="133" t="s">
        <v>563</v>
      </c>
      <c r="AE19" s="159" t="s">
        <v>564</v>
      </c>
      <c r="AP19" s="356" t="s">
        <v>1255</v>
      </c>
      <c r="AQ19" s="356" t="s">
        <v>1256</v>
      </c>
      <c r="AR19" s="356" t="s">
        <v>1179</v>
      </c>
      <c r="AX19" s="356" t="s">
        <v>979</v>
      </c>
    </row>
    <row r="20" spans="1:50" ht="15">
      <c r="A20" s="91" t="s">
        <v>883</v>
      </c>
      <c r="B20" s="93">
        <v>2254</v>
      </c>
      <c r="C20" t="s">
        <v>892</v>
      </c>
      <c r="M20" s="38" t="s">
        <v>142</v>
      </c>
      <c r="N20" s="143" t="s">
        <v>221</v>
      </c>
      <c r="O20" s="38" t="s">
        <v>142</v>
      </c>
      <c r="P20" s="143" t="s">
        <v>221</v>
      </c>
      <c r="AA20" s="160">
        <v>2254</v>
      </c>
      <c r="AB20" s="133">
        <v>103300</v>
      </c>
      <c r="AC20" s="133" t="s">
        <v>882</v>
      </c>
      <c r="AD20" s="133" t="s">
        <v>883</v>
      </c>
      <c r="AE20" s="159" t="s">
        <v>538</v>
      </c>
      <c r="AW20" s="356" t="s">
        <v>979</v>
      </c>
    </row>
    <row r="21" spans="1:50" ht="15">
      <c r="A21" s="91" t="s">
        <v>566</v>
      </c>
      <c r="B21" s="93">
        <v>1025</v>
      </c>
      <c r="C21" t="s">
        <v>577</v>
      </c>
      <c r="M21" s="38" t="s">
        <v>144</v>
      </c>
      <c r="N21" s="143" t="s">
        <v>192</v>
      </c>
      <c r="O21" s="38" t="s">
        <v>144</v>
      </c>
      <c r="P21" s="143" t="s">
        <v>192</v>
      </c>
      <c r="AA21" s="160">
        <v>1025</v>
      </c>
      <c r="AB21" s="133">
        <v>103138</v>
      </c>
      <c r="AC21" s="133" t="s">
        <v>565</v>
      </c>
      <c r="AD21" s="133" t="s">
        <v>566</v>
      </c>
      <c r="AE21" s="159" t="s">
        <v>534</v>
      </c>
    </row>
    <row r="22" spans="1:50" ht="15">
      <c r="A22" s="91" t="s">
        <v>568</v>
      </c>
      <c r="B22" s="93">
        <v>2402</v>
      </c>
      <c r="C22" t="s">
        <v>579</v>
      </c>
      <c r="M22" s="38" t="s">
        <v>146</v>
      </c>
      <c r="N22" s="143" t="s">
        <v>194</v>
      </c>
      <c r="O22" s="38" t="s">
        <v>146</v>
      </c>
      <c r="P22" s="143" t="s">
        <v>194</v>
      </c>
      <c r="AA22" s="160">
        <v>2402</v>
      </c>
      <c r="AB22" s="133">
        <v>103342</v>
      </c>
      <c r="AC22" s="133" t="s">
        <v>567</v>
      </c>
      <c r="AD22" s="133" t="s">
        <v>568</v>
      </c>
      <c r="AE22" s="159" t="s">
        <v>538</v>
      </c>
    </row>
    <row r="23" spans="1:50" ht="15">
      <c r="A23" s="91" t="s">
        <v>570</v>
      </c>
      <c r="B23" s="93">
        <v>2401</v>
      </c>
      <c r="C23" t="s">
        <v>586</v>
      </c>
      <c r="M23" s="38" t="s">
        <v>149</v>
      </c>
      <c r="N23" s="143" t="s">
        <v>196</v>
      </c>
      <c r="O23" s="38" t="s">
        <v>149</v>
      </c>
      <c r="P23" s="143" t="s">
        <v>196</v>
      </c>
      <c r="AA23" s="160">
        <v>2401</v>
      </c>
      <c r="AB23" s="133">
        <v>103341</v>
      </c>
      <c r="AC23" s="133" t="s">
        <v>569</v>
      </c>
      <c r="AD23" s="133" t="s">
        <v>570</v>
      </c>
      <c r="AE23" s="159" t="s">
        <v>538</v>
      </c>
    </row>
    <row r="24" spans="1:50" ht="15">
      <c r="A24" s="91" t="s">
        <v>863</v>
      </c>
      <c r="B24" s="93">
        <v>1001</v>
      </c>
      <c r="C24" t="s">
        <v>894</v>
      </c>
      <c r="M24" s="38" t="s">
        <v>151</v>
      </c>
      <c r="N24" s="143"/>
      <c r="O24" s="38" t="s">
        <v>151</v>
      </c>
      <c r="P24" s="143"/>
      <c r="AA24" s="160">
        <v>1001</v>
      </c>
      <c r="AB24" s="133">
        <v>103120</v>
      </c>
      <c r="AC24" s="133" t="s">
        <v>862</v>
      </c>
      <c r="AD24" s="133" t="s">
        <v>863</v>
      </c>
      <c r="AE24" s="159" t="s">
        <v>534</v>
      </c>
    </row>
    <row r="25" spans="1:50" ht="43.2">
      <c r="A25" s="91" t="s">
        <v>572</v>
      </c>
      <c r="B25" s="93">
        <v>4115</v>
      </c>
      <c r="C25" t="s">
        <v>588</v>
      </c>
      <c r="M25" s="38" t="s">
        <v>153</v>
      </c>
      <c r="N25" s="143"/>
      <c r="O25" s="38" t="s">
        <v>153</v>
      </c>
      <c r="P25" s="143"/>
      <c r="AA25" s="160">
        <v>4115</v>
      </c>
      <c r="AB25" s="133">
        <v>103493</v>
      </c>
      <c r="AC25" s="133" t="s">
        <v>571</v>
      </c>
      <c r="AD25" s="133" t="s">
        <v>572</v>
      </c>
      <c r="AE25" s="159" t="s">
        <v>564</v>
      </c>
    </row>
    <row r="26" spans="1:50" ht="15">
      <c r="A26" s="91" t="s">
        <v>574</v>
      </c>
      <c r="B26" s="93">
        <v>2030</v>
      </c>
      <c r="C26" t="s">
        <v>590</v>
      </c>
      <c r="M26" s="38" t="s">
        <v>155</v>
      </c>
      <c r="N26" s="143"/>
      <c r="O26" s="38" t="s">
        <v>155</v>
      </c>
      <c r="P26" s="143"/>
      <c r="AA26" s="160">
        <v>2030</v>
      </c>
      <c r="AB26" s="133">
        <v>103172</v>
      </c>
      <c r="AC26" s="133" t="s">
        <v>573</v>
      </c>
      <c r="AD26" s="133" t="s">
        <v>574</v>
      </c>
      <c r="AE26" s="159" t="s">
        <v>538</v>
      </c>
    </row>
    <row r="27" spans="1:50" ht="15">
      <c r="A27" s="91" t="s">
        <v>576</v>
      </c>
      <c r="B27" s="93">
        <v>3353</v>
      </c>
      <c r="C27" t="s">
        <v>592</v>
      </c>
      <c r="M27" s="38" t="s">
        <v>157</v>
      </c>
      <c r="N27" s="143"/>
      <c r="O27" s="38" t="s">
        <v>157</v>
      </c>
      <c r="P27" s="143"/>
      <c r="AA27" s="160">
        <v>3353</v>
      </c>
      <c r="AB27" s="133">
        <v>103445</v>
      </c>
      <c r="AC27" s="133" t="s">
        <v>575</v>
      </c>
      <c r="AD27" s="133" t="s">
        <v>576</v>
      </c>
      <c r="AE27" s="159" t="s">
        <v>538</v>
      </c>
    </row>
    <row r="28" spans="1:50" ht="15">
      <c r="A28" s="91" t="s">
        <v>578</v>
      </c>
      <c r="B28" s="93">
        <v>7030</v>
      </c>
      <c r="C28" t="s">
        <v>594</v>
      </c>
      <c r="M28" s="38" t="s">
        <v>159</v>
      </c>
      <c r="N28" s="141"/>
      <c r="O28" s="38" t="s">
        <v>159</v>
      </c>
      <c r="AA28" s="160">
        <v>7030</v>
      </c>
      <c r="AB28" s="133">
        <v>103611</v>
      </c>
      <c r="AC28" s="133" t="s">
        <v>577</v>
      </c>
      <c r="AD28" s="133" t="s">
        <v>578</v>
      </c>
      <c r="AE28" s="159" t="s">
        <v>553</v>
      </c>
    </row>
    <row r="29" spans="1:50" ht="15">
      <c r="A29" s="91" t="s">
        <v>580</v>
      </c>
      <c r="B29" s="93">
        <v>1002</v>
      </c>
      <c r="C29" t="s">
        <v>596</v>
      </c>
      <c r="M29" s="38" t="s">
        <v>161</v>
      </c>
      <c r="N29" s="141"/>
      <c r="O29" s="38" t="s">
        <v>161</v>
      </c>
      <c r="AA29" s="160">
        <v>1002</v>
      </c>
      <c r="AB29" s="133">
        <v>103121</v>
      </c>
      <c r="AC29" s="133" t="s">
        <v>579</v>
      </c>
      <c r="AD29" s="133" t="s">
        <v>580</v>
      </c>
      <c r="AE29" s="159" t="s">
        <v>534</v>
      </c>
    </row>
    <row r="30" spans="1:50" ht="15">
      <c r="A30" s="91" t="s">
        <v>587</v>
      </c>
      <c r="B30" s="93">
        <v>2465</v>
      </c>
      <c r="C30" t="s">
        <v>598</v>
      </c>
      <c r="M30" s="38" t="s">
        <v>163</v>
      </c>
      <c r="N30" s="141"/>
      <c r="O30" s="38" t="s">
        <v>163</v>
      </c>
      <c r="AA30" s="160">
        <v>2238</v>
      </c>
      <c r="AB30" s="133">
        <v>103288</v>
      </c>
      <c r="AC30" s="133" t="s">
        <v>581</v>
      </c>
      <c r="AD30" s="133" t="s">
        <v>582</v>
      </c>
      <c r="AE30" s="159" t="s">
        <v>538</v>
      </c>
    </row>
    <row r="31" spans="1:50" ht="15">
      <c r="A31" s="91" t="s">
        <v>589</v>
      </c>
      <c r="B31" s="93">
        <v>4801</v>
      </c>
      <c r="C31" t="s">
        <v>600</v>
      </c>
      <c r="M31" s="38" t="s">
        <v>165</v>
      </c>
      <c r="N31" s="141"/>
      <c r="O31" s="38" t="s">
        <v>165</v>
      </c>
      <c r="AA31" s="160">
        <v>2236</v>
      </c>
      <c r="AB31" s="133">
        <v>103286</v>
      </c>
      <c r="AC31" s="133" t="s">
        <v>584</v>
      </c>
      <c r="AD31" s="133" t="s">
        <v>585</v>
      </c>
      <c r="AE31" s="159" t="s">
        <v>538</v>
      </c>
    </row>
    <row r="32" spans="1:50" ht="15">
      <c r="A32" s="91" t="s">
        <v>591</v>
      </c>
      <c r="B32" s="93">
        <v>1048</v>
      </c>
      <c r="C32" t="s">
        <v>602</v>
      </c>
      <c r="M32" s="38" t="s">
        <v>167</v>
      </c>
      <c r="N32" s="141"/>
      <c r="O32" s="38" t="s">
        <v>167</v>
      </c>
      <c r="AA32" s="160">
        <v>2465</v>
      </c>
      <c r="AB32" s="133">
        <v>103391</v>
      </c>
      <c r="AC32" s="133" t="s">
        <v>586</v>
      </c>
      <c r="AD32" s="133" t="s">
        <v>587</v>
      </c>
      <c r="AE32" s="159" t="s">
        <v>538</v>
      </c>
    </row>
    <row r="33" spans="1:31" ht="43.2">
      <c r="A33" s="91" t="s">
        <v>593</v>
      </c>
      <c r="B33" s="93">
        <v>2312</v>
      </c>
      <c r="C33" t="s">
        <v>604</v>
      </c>
      <c r="M33" s="38" t="s">
        <v>169</v>
      </c>
      <c r="N33" s="141"/>
      <c r="O33" s="38" t="s">
        <v>169</v>
      </c>
      <c r="AA33" s="160">
        <v>4801</v>
      </c>
      <c r="AB33" s="133">
        <v>103539</v>
      </c>
      <c r="AC33" s="133" t="s">
        <v>588</v>
      </c>
      <c r="AD33" s="133" t="s">
        <v>589</v>
      </c>
      <c r="AE33" s="159" t="s">
        <v>564</v>
      </c>
    </row>
    <row r="34" spans="1:31" ht="15">
      <c r="A34" s="91" t="s">
        <v>595</v>
      </c>
      <c r="B34" s="93">
        <v>7051</v>
      </c>
      <c r="C34" t="s">
        <v>607</v>
      </c>
      <c r="M34" s="38" t="s">
        <v>171</v>
      </c>
      <c r="N34" s="141"/>
      <c r="O34" s="38" t="s">
        <v>171</v>
      </c>
      <c r="AA34" s="160">
        <v>1048</v>
      </c>
      <c r="AB34" s="133">
        <v>103144</v>
      </c>
      <c r="AC34" s="133" t="s">
        <v>590</v>
      </c>
      <c r="AD34" s="133" t="s">
        <v>591</v>
      </c>
      <c r="AE34" s="159" t="s">
        <v>534</v>
      </c>
    </row>
    <row r="35" spans="1:31" ht="15">
      <c r="A35" s="91" t="s">
        <v>597</v>
      </c>
      <c r="B35" s="93">
        <v>2040</v>
      </c>
      <c r="C35" t="s">
        <v>609</v>
      </c>
      <c r="M35" s="38" t="s">
        <v>173</v>
      </c>
      <c r="N35" s="141"/>
      <c r="O35" s="38" t="s">
        <v>173</v>
      </c>
      <c r="AA35" s="160">
        <v>2312</v>
      </c>
      <c r="AB35" s="133">
        <v>103332</v>
      </c>
      <c r="AC35" s="133" t="s">
        <v>592</v>
      </c>
      <c r="AD35" s="133" t="s">
        <v>593</v>
      </c>
      <c r="AE35" s="159" t="s">
        <v>538</v>
      </c>
    </row>
    <row r="36" spans="1:31" ht="15">
      <c r="A36" s="91" t="s">
        <v>599</v>
      </c>
      <c r="B36" s="93">
        <v>2251</v>
      </c>
      <c r="C36" t="s">
        <v>611</v>
      </c>
      <c r="M36" s="38" t="s">
        <v>175</v>
      </c>
      <c r="N36" s="141"/>
      <c r="O36" s="38" t="s">
        <v>175</v>
      </c>
      <c r="AA36" s="160">
        <v>7051</v>
      </c>
      <c r="AB36" s="133">
        <v>103626</v>
      </c>
      <c r="AC36" s="133" t="s">
        <v>594</v>
      </c>
      <c r="AD36" s="133" t="s">
        <v>595</v>
      </c>
      <c r="AE36" s="159" t="s">
        <v>553</v>
      </c>
    </row>
    <row r="37" spans="1:31" ht="30">
      <c r="A37" s="91" t="s">
        <v>601</v>
      </c>
      <c r="B37" s="93">
        <v>3002</v>
      </c>
      <c r="C37" t="s">
        <v>613</v>
      </c>
      <c r="M37" s="38" t="s">
        <v>178</v>
      </c>
      <c r="N37" s="141"/>
      <c r="O37" s="38" t="s">
        <v>178</v>
      </c>
      <c r="AA37" s="160">
        <v>2040</v>
      </c>
      <c r="AB37" s="133">
        <v>103178</v>
      </c>
      <c r="AC37" s="133" t="s">
        <v>596</v>
      </c>
      <c r="AD37" s="133" t="s">
        <v>597</v>
      </c>
      <c r="AE37" s="159" t="s">
        <v>538</v>
      </c>
    </row>
    <row r="38" spans="1:31" ht="15">
      <c r="A38" s="91" t="s">
        <v>603</v>
      </c>
      <c r="B38" s="93">
        <v>3319</v>
      </c>
      <c r="C38" t="s">
        <v>615</v>
      </c>
      <c r="M38" s="38" t="s">
        <v>180</v>
      </c>
      <c r="N38" s="141"/>
      <c r="O38" s="38" t="s">
        <v>180</v>
      </c>
      <c r="AA38" s="160">
        <v>2251</v>
      </c>
      <c r="AB38" s="133">
        <v>103298</v>
      </c>
      <c r="AC38" s="133" t="s">
        <v>598</v>
      </c>
      <c r="AD38" s="133" t="s">
        <v>599</v>
      </c>
      <c r="AE38" s="159" t="s">
        <v>538</v>
      </c>
    </row>
    <row r="39" spans="1:31" ht="15">
      <c r="A39" s="91" t="s">
        <v>605</v>
      </c>
      <c r="B39" s="93">
        <v>1100</v>
      </c>
      <c r="C39" t="s">
        <v>617</v>
      </c>
      <c r="M39" s="38" t="s">
        <v>182</v>
      </c>
      <c r="N39" s="141"/>
      <c r="O39" s="38" t="s">
        <v>182</v>
      </c>
      <c r="AA39" s="160">
        <v>3002</v>
      </c>
      <c r="AB39" s="133">
        <v>103397</v>
      </c>
      <c r="AC39" s="133" t="s">
        <v>600</v>
      </c>
      <c r="AD39" s="133" t="s">
        <v>601</v>
      </c>
      <c r="AE39" s="159" t="s">
        <v>538</v>
      </c>
    </row>
    <row r="40" spans="1:31" ht="15">
      <c r="A40" s="91" t="s">
        <v>608</v>
      </c>
      <c r="B40" s="93">
        <v>3432</v>
      </c>
      <c r="C40" t="s">
        <v>619</v>
      </c>
      <c r="M40" s="38" t="s">
        <v>184</v>
      </c>
      <c r="N40" s="141"/>
      <c r="O40" s="38" t="s">
        <v>184</v>
      </c>
      <c r="AA40" s="160">
        <v>3319</v>
      </c>
      <c r="AB40" s="133">
        <v>103423</v>
      </c>
      <c r="AC40" s="133" t="s">
        <v>602</v>
      </c>
      <c r="AD40" s="133" t="s">
        <v>603</v>
      </c>
      <c r="AE40" s="159" t="s">
        <v>538</v>
      </c>
    </row>
    <row r="41" spans="1:31" ht="43.2">
      <c r="A41" s="91" t="s">
        <v>610</v>
      </c>
      <c r="B41" s="93">
        <v>2289</v>
      </c>
      <c r="C41" t="s">
        <v>621</v>
      </c>
      <c r="M41" s="38" t="s">
        <v>225</v>
      </c>
      <c r="N41" s="27"/>
      <c r="O41" s="38" t="s">
        <v>225</v>
      </c>
      <c r="AA41" s="160">
        <v>1100</v>
      </c>
      <c r="AB41" s="133">
        <v>103146</v>
      </c>
      <c r="AC41" s="133" t="s">
        <v>604</v>
      </c>
      <c r="AD41" s="133" t="s">
        <v>605</v>
      </c>
      <c r="AE41" s="159" t="s">
        <v>606</v>
      </c>
    </row>
    <row r="42" spans="1:31" ht="15">
      <c r="A42" s="91" t="s">
        <v>612</v>
      </c>
      <c r="B42" s="93">
        <v>2185</v>
      </c>
      <c r="C42" t="s">
        <v>623</v>
      </c>
      <c r="M42" s="38" t="s">
        <v>227</v>
      </c>
      <c r="N42" s="27"/>
      <c r="O42" s="38" t="s">
        <v>227</v>
      </c>
      <c r="AA42" s="160">
        <v>3432</v>
      </c>
      <c r="AB42" s="133">
        <v>134840</v>
      </c>
      <c r="AC42" s="133" t="s">
        <v>607</v>
      </c>
      <c r="AD42" s="133" t="s">
        <v>608</v>
      </c>
      <c r="AE42" s="159" t="s">
        <v>538</v>
      </c>
    </row>
    <row r="43" spans="1:31" ht="15">
      <c r="A43" s="91" t="s">
        <v>614</v>
      </c>
      <c r="B43" s="93">
        <v>5416</v>
      </c>
      <c r="C43" t="s">
        <v>625</v>
      </c>
      <c r="M43" s="38" t="s">
        <v>200</v>
      </c>
      <c r="N43" s="27"/>
      <c r="O43" s="38" t="s">
        <v>200</v>
      </c>
      <c r="AA43" s="160">
        <v>2289</v>
      </c>
      <c r="AB43" s="133">
        <v>103315</v>
      </c>
      <c r="AC43" s="133" t="s">
        <v>609</v>
      </c>
      <c r="AD43" s="133" t="s">
        <v>610</v>
      </c>
      <c r="AE43" s="159" t="s">
        <v>538</v>
      </c>
    </row>
    <row r="44" spans="1:31" ht="15">
      <c r="A44" s="91" t="s">
        <v>616</v>
      </c>
      <c r="B44" s="93">
        <v>2054</v>
      </c>
      <c r="C44" t="s">
        <v>627</v>
      </c>
      <c r="M44" s="38" t="s">
        <v>202</v>
      </c>
      <c r="N44" s="27"/>
      <c r="O44" s="38" t="s">
        <v>202</v>
      </c>
      <c r="AA44" s="160">
        <v>2185</v>
      </c>
      <c r="AB44" s="133">
        <v>103263</v>
      </c>
      <c r="AC44" s="133" t="s">
        <v>611</v>
      </c>
      <c r="AD44" s="133" t="s">
        <v>612</v>
      </c>
      <c r="AE44" s="159" t="s">
        <v>538</v>
      </c>
    </row>
    <row r="45" spans="1:31" ht="43.2">
      <c r="A45" s="91" t="s">
        <v>618</v>
      </c>
      <c r="B45" s="93">
        <v>2053</v>
      </c>
      <c r="C45" t="s">
        <v>629</v>
      </c>
      <c r="M45" s="38" t="s">
        <v>204</v>
      </c>
      <c r="N45" s="27"/>
      <c r="O45" s="38" t="s">
        <v>204</v>
      </c>
      <c r="AA45" s="160">
        <v>5416</v>
      </c>
      <c r="AB45" s="133">
        <v>103563</v>
      </c>
      <c r="AC45" s="133" t="s">
        <v>613</v>
      </c>
      <c r="AD45" s="133" t="s">
        <v>614</v>
      </c>
      <c r="AE45" s="159" t="s">
        <v>564</v>
      </c>
    </row>
    <row r="46" spans="1:31" ht="15">
      <c r="A46" s="91" t="s">
        <v>865</v>
      </c>
      <c r="B46" s="93">
        <v>2464</v>
      </c>
      <c r="C46" t="s">
        <v>896</v>
      </c>
      <c r="M46" s="38" t="s">
        <v>206</v>
      </c>
      <c r="N46" s="27"/>
      <c r="O46" s="38" t="s">
        <v>206</v>
      </c>
      <c r="AA46" s="160">
        <v>2054</v>
      </c>
      <c r="AB46" s="133">
        <v>103189</v>
      </c>
      <c r="AC46" s="133" t="s">
        <v>615</v>
      </c>
      <c r="AD46" s="133" t="s">
        <v>616</v>
      </c>
      <c r="AE46" s="159" t="s">
        <v>538</v>
      </c>
    </row>
    <row r="47" spans="1:31" ht="15">
      <c r="A47" s="91" t="s">
        <v>620</v>
      </c>
      <c r="B47" s="93">
        <v>3320</v>
      </c>
      <c r="C47" t="s">
        <v>631</v>
      </c>
      <c r="M47" s="38" t="s">
        <v>207</v>
      </c>
      <c r="N47" s="27"/>
      <c r="O47" s="38" t="s">
        <v>207</v>
      </c>
      <c r="AA47" s="160">
        <v>2053</v>
      </c>
      <c r="AB47" s="133">
        <v>103188</v>
      </c>
      <c r="AC47" s="133" t="s">
        <v>617</v>
      </c>
      <c r="AD47" s="133" t="s">
        <v>618</v>
      </c>
      <c r="AE47" s="159" t="s">
        <v>538</v>
      </c>
    </row>
    <row r="48" spans="1:31" ht="15">
      <c r="A48" s="91" t="s">
        <v>622</v>
      </c>
      <c r="B48" s="93">
        <v>2055</v>
      </c>
      <c r="C48" t="s">
        <v>633</v>
      </c>
      <c r="M48" s="38" t="s">
        <v>208</v>
      </c>
      <c r="N48" s="27"/>
      <c r="O48" s="38" t="s">
        <v>208</v>
      </c>
      <c r="AA48" s="160">
        <v>2464</v>
      </c>
      <c r="AB48" s="133">
        <v>103390</v>
      </c>
      <c r="AC48" s="133" t="s">
        <v>864</v>
      </c>
      <c r="AD48" s="133" t="s">
        <v>865</v>
      </c>
      <c r="AE48" s="159" t="s">
        <v>538</v>
      </c>
    </row>
    <row r="49" spans="1:31" ht="15">
      <c r="A49" s="91" t="s">
        <v>885</v>
      </c>
      <c r="B49" s="93">
        <v>1802</v>
      </c>
      <c r="C49" t="s">
        <v>898</v>
      </c>
      <c r="M49" s="38" t="s">
        <v>209</v>
      </c>
      <c r="O49" s="38" t="s">
        <v>209</v>
      </c>
      <c r="AA49" s="160">
        <v>3320</v>
      </c>
      <c r="AB49" s="133">
        <v>103424</v>
      </c>
      <c r="AC49" s="133" t="s">
        <v>619</v>
      </c>
      <c r="AD49" s="133" t="s">
        <v>620</v>
      </c>
      <c r="AE49" s="159" t="s">
        <v>538</v>
      </c>
    </row>
    <row r="50" spans="1:31" ht="15">
      <c r="A50" s="91" t="s">
        <v>624</v>
      </c>
      <c r="B50" s="93">
        <v>2454</v>
      </c>
      <c r="C50" t="s">
        <v>635</v>
      </c>
      <c r="M50" s="38" t="s">
        <v>212</v>
      </c>
      <c r="O50" s="38" t="s">
        <v>212</v>
      </c>
      <c r="AA50" s="160">
        <v>2055</v>
      </c>
      <c r="AB50" s="133">
        <v>103190</v>
      </c>
      <c r="AC50" s="133" t="s">
        <v>621</v>
      </c>
      <c r="AD50" s="133" t="s">
        <v>622</v>
      </c>
      <c r="AE50" s="159" t="s">
        <v>538</v>
      </c>
    </row>
    <row r="51" spans="1:31" ht="15">
      <c r="A51" s="91" t="s">
        <v>626</v>
      </c>
      <c r="B51" s="93">
        <v>3321</v>
      </c>
      <c r="C51" t="s">
        <v>637</v>
      </c>
      <c r="AA51" s="160">
        <v>2191</v>
      </c>
      <c r="AB51" s="133">
        <v>103267</v>
      </c>
      <c r="AC51" s="133" t="s">
        <v>1257</v>
      </c>
      <c r="AD51" s="133" t="s">
        <v>1258</v>
      </c>
      <c r="AE51" s="159" t="s">
        <v>538</v>
      </c>
    </row>
    <row r="52" spans="1:31" ht="15">
      <c r="A52" s="91" t="s">
        <v>628</v>
      </c>
      <c r="B52" s="93">
        <v>1026</v>
      </c>
      <c r="C52" t="s">
        <v>639</v>
      </c>
      <c r="AA52" s="160">
        <v>2284</v>
      </c>
      <c r="AB52" s="133">
        <v>103313</v>
      </c>
      <c r="AC52" s="133" t="s">
        <v>1259</v>
      </c>
      <c r="AD52" s="133" t="s">
        <v>1260</v>
      </c>
      <c r="AE52" s="159" t="s">
        <v>538</v>
      </c>
    </row>
    <row r="53" spans="1:31" ht="15">
      <c r="A53" s="91" t="s">
        <v>630</v>
      </c>
      <c r="B53" s="93">
        <v>2294</v>
      </c>
      <c r="C53" t="s">
        <v>641</v>
      </c>
      <c r="AA53" s="160">
        <v>1802</v>
      </c>
      <c r="AB53" s="133">
        <v>103150</v>
      </c>
      <c r="AC53" s="133" t="s">
        <v>884</v>
      </c>
      <c r="AD53" s="133" t="s">
        <v>885</v>
      </c>
      <c r="AE53" s="159" t="s">
        <v>534</v>
      </c>
    </row>
    <row r="54" spans="1:31" ht="15">
      <c r="A54" s="91" t="s">
        <v>632</v>
      </c>
      <c r="B54" s="93">
        <v>2486</v>
      </c>
      <c r="C54" t="s">
        <v>644</v>
      </c>
      <c r="AA54" s="160">
        <v>2454</v>
      </c>
      <c r="AB54" s="133">
        <v>103381</v>
      </c>
      <c r="AC54" s="133" t="s">
        <v>623</v>
      </c>
      <c r="AD54" s="133" t="s">
        <v>624</v>
      </c>
      <c r="AE54" s="159" t="s">
        <v>538</v>
      </c>
    </row>
    <row r="55" spans="1:31" ht="15">
      <c r="A55" s="91" t="s">
        <v>634</v>
      </c>
      <c r="B55" s="93">
        <v>3435</v>
      </c>
      <c r="C55" t="s">
        <v>646</v>
      </c>
      <c r="AA55" s="160">
        <v>3321</v>
      </c>
      <c r="AB55" s="133">
        <v>103425</v>
      </c>
      <c r="AC55" s="133" t="s">
        <v>625</v>
      </c>
      <c r="AD55" s="133" t="s">
        <v>626</v>
      </c>
      <c r="AE55" s="159" t="s">
        <v>538</v>
      </c>
    </row>
    <row r="56" spans="1:31" ht="15">
      <c r="A56" s="91" t="s">
        <v>636</v>
      </c>
      <c r="B56" s="93">
        <v>7050</v>
      </c>
      <c r="C56" t="s">
        <v>648</v>
      </c>
      <c r="AA56" s="160">
        <v>1026</v>
      </c>
      <c r="AB56" s="133">
        <v>103139</v>
      </c>
      <c r="AC56" s="133" t="s">
        <v>627</v>
      </c>
      <c r="AD56" s="133" t="s">
        <v>628</v>
      </c>
      <c r="AE56" s="159" t="s">
        <v>534</v>
      </c>
    </row>
    <row r="57" spans="1:31" ht="15">
      <c r="A57" s="91" t="s">
        <v>638</v>
      </c>
      <c r="B57" s="93">
        <v>1006</v>
      </c>
      <c r="C57" t="s">
        <v>650</v>
      </c>
      <c r="AA57" s="160">
        <v>2294</v>
      </c>
      <c r="AB57" s="133">
        <v>103318</v>
      </c>
      <c r="AC57" s="133" t="s">
        <v>629</v>
      </c>
      <c r="AD57" s="133" t="s">
        <v>630</v>
      </c>
      <c r="AE57" s="159" t="s">
        <v>538</v>
      </c>
    </row>
    <row r="58" spans="1:31" ht="15">
      <c r="A58" s="91" t="s">
        <v>887</v>
      </c>
      <c r="B58" s="93">
        <v>2079</v>
      </c>
      <c r="C58" t="s">
        <v>822</v>
      </c>
      <c r="AA58" s="160">
        <v>2486</v>
      </c>
      <c r="AB58" s="133">
        <v>133759</v>
      </c>
      <c r="AC58" s="133" t="s">
        <v>631</v>
      </c>
      <c r="AD58" s="133" t="s">
        <v>632</v>
      </c>
      <c r="AE58" s="159" t="s">
        <v>538</v>
      </c>
    </row>
    <row r="59" spans="1:31" ht="15">
      <c r="A59" s="91" t="s">
        <v>640</v>
      </c>
      <c r="B59" s="93">
        <v>2081</v>
      </c>
      <c r="C59" t="s">
        <v>652</v>
      </c>
      <c r="AA59" s="160">
        <v>3435</v>
      </c>
      <c r="AB59" s="133">
        <v>131920</v>
      </c>
      <c r="AC59" s="133" t="s">
        <v>633</v>
      </c>
      <c r="AD59" s="133" t="s">
        <v>634</v>
      </c>
      <c r="AE59" s="159" t="s">
        <v>538</v>
      </c>
    </row>
    <row r="60" spans="1:31" ht="15">
      <c r="A60" s="91" t="s">
        <v>642</v>
      </c>
      <c r="B60" s="93">
        <v>2296</v>
      </c>
      <c r="C60" t="s">
        <v>654</v>
      </c>
      <c r="AA60" s="160">
        <v>7050</v>
      </c>
      <c r="AB60" s="133">
        <v>103625</v>
      </c>
      <c r="AC60" s="133" t="s">
        <v>635</v>
      </c>
      <c r="AD60" s="133" t="s">
        <v>636</v>
      </c>
      <c r="AE60" s="159" t="s">
        <v>553</v>
      </c>
    </row>
    <row r="61" spans="1:31" ht="15">
      <c r="A61" s="91" t="s">
        <v>645</v>
      </c>
      <c r="B61" s="93">
        <v>1015</v>
      </c>
      <c r="C61" t="s">
        <v>656</v>
      </c>
      <c r="AA61" s="160">
        <v>1006</v>
      </c>
      <c r="AB61" s="133">
        <v>103122</v>
      </c>
      <c r="AC61" s="133" t="s">
        <v>637</v>
      </c>
      <c r="AD61" s="133" t="s">
        <v>638</v>
      </c>
      <c r="AE61" s="159" t="s">
        <v>534</v>
      </c>
    </row>
    <row r="62" spans="1:31" ht="15">
      <c r="A62" s="91" t="s">
        <v>647</v>
      </c>
      <c r="B62" s="93">
        <v>1022</v>
      </c>
      <c r="C62" t="s">
        <v>658</v>
      </c>
      <c r="AA62" s="160">
        <v>2079</v>
      </c>
      <c r="AB62" s="133">
        <v>103200</v>
      </c>
      <c r="AC62" s="133" t="s">
        <v>886</v>
      </c>
      <c r="AD62" s="133" t="s">
        <v>887</v>
      </c>
      <c r="AE62" s="159" t="s">
        <v>538</v>
      </c>
    </row>
    <row r="63" spans="1:31" ht="15">
      <c r="A63" s="91" t="s">
        <v>649</v>
      </c>
      <c r="B63" s="72">
        <v>2087</v>
      </c>
      <c r="C63" t="s">
        <v>660</v>
      </c>
      <c r="AA63" s="160">
        <v>2081</v>
      </c>
      <c r="AB63" s="133">
        <v>103201</v>
      </c>
      <c r="AC63" s="133" t="s">
        <v>639</v>
      </c>
      <c r="AD63" s="133" t="s">
        <v>640</v>
      </c>
      <c r="AE63" s="159" t="s">
        <v>538</v>
      </c>
    </row>
    <row r="64" spans="1:31">
      <c r="A64" t="s">
        <v>651</v>
      </c>
      <c r="B64" s="72">
        <v>2466</v>
      </c>
      <c r="C64" t="s">
        <v>662</v>
      </c>
      <c r="AA64" s="160">
        <v>2296</v>
      </c>
      <c r="AB64" s="133">
        <v>103320</v>
      </c>
      <c r="AC64" s="133" t="s">
        <v>641</v>
      </c>
      <c r="AD64" s="133" t="s">
        <v>642</v>
      </c>
      <c r="AE64" s="159" t="s">
        <v>538</v>
      </c>
    </row>
    <row r="65" spans="1:31">
      <c r="A65" t="s">
        <v>889</v>
      </c>
      <c r="B65" s="72">
        <v>2091</v>
      </c>
      <c r="C65" t="s">
        <v>866</v>
      </c>
      <c r="AA65" s="160">
        <v>1015</v>
      </c>
      <c r="AB65" s="133">
        <v>103128</v>
      </c>
      <c r="AC65" s="133" t="s">
        <v>644</v>
      </c>
      <c r="AD65" s="133" t="s">
        <v>645</v>
      </c>
      <c r="AE65" s="159" t="s">
        <v>534</v>
      </c>
    </row>
    <row r="66" spans="1:31">
      <c r="A66" t="s">
        <v>653</v>
      </c>
      <c r="B66" s="72">
        <v>2093</v>
      </c>
      <c r="C66" t="s">
        <v>664</v>
      </c>
      <c r="AA66" s="160">
        <v>1022</v>
      </c>
      <c r="AB66" s="133">
        <v>103135</v>
      </c>
      <c r="AC66" s="133" t="s">
        <v>646</v>
      </c>
      <c r="AD66" s="133" t="s">
        <v>647</v>
      </c>
      <c r="AE66" s="159" t="s">
        <v>534</v>
      </c>
    </row>
    <row r="67" spans="1:31">
      <c r="A67" t="s">
        <v>655</v>
      </c>
      <c r="B67" s="72">
        <v>2092</v>
      </c>
      <c r="C67" t="s">
        <v>666</v>
      </c>
      <c r="AA67" s="160">
        <v>2087</v>
      </c>
      <c r="AB67" s="133">
        <v>103205</v>
      </c>
      <c r="AC67" s="133" t="s">
        <v>648</v>
      </c>
      <c r="AD67" s="133" t="s">
        <v>649</v>
      </c>
      <c r="AE67" s="159" t="s">
        <v>538</v>
      </c>
    </row>
    <row r="68" spans="1:31">
      <c r="A68" t="s">
        <v>657</v>
      </c>
      <c r="B68" s="72">
        <v>7006</v>
      </c>
      <c r="C68" t="s">
        <v>668</v>
      </c>
      <c r="AA68" s="160">
        <v>2466</v>
      </c>
      <c r="AB68" s="133">
        <v>103392</v>
      </c>
      <c r="AC68" s="133" t="s">
        <v>650</v>
      </c>
      <c r="AD68" s="133" t="s">
        <v>651</v>
      </c>
      <c r="AE68" s="159" t="s">
        <v>538</v>
      </c>
    </row>
    <row r="69" spans="1:31">
      <c r="A69" t="s">
        <v>891</v>
      </c>
      <c r="B69" s="72">
        <v>2477</v>
      </c>
      <c r="C69" t="s">
        <v>868</v>
      </c>
      <c r="AA69" s="160">
        <v>2091</v>
      </c>
      <c r="AB69" s="133">
        <v>103208</v>
      </c>
      <c r="AC69" s="133" t="s">
        <v>888</v>
      </c>
      <c r="AD69" s="133" t="s">
        <v>889</v>
      </c>
      <c r="AE69" s="159" t="s">
        <v>538</v>
      </c>
    </row>
    <row r="70" spans="1:31">
      <c r="A70" t="s">
        <v>893</v>
      </c>
      <c r="B70" s="72">
        <v>3436</v>
      </c>
      <c r="C70" t="s">
        <v>900</v>
      </c>
      <c r="AA70" s="160">
        <v>2093</v>
      </c>
      <c r="AB70" s="133">
        <v>103210</v>
      </c>
      <c r="AC70" s="133" t="s">
        <v>652</v>
      </c>
      <c r="AD70" s="133" t="s">
        <v>653</v>
      </c>
      <c r="AE70" s="159" t="s">
        <v>538</v>
      </c>
    </row>
    <row r="71" spans="1:31">
      <c r="A71" t="s">
        <v>659</v>
      </c>
      <c r="B71" s="72">
        <v>2099</v>
      </c>
      <c r="C71" t="s">
        <v>670</v>
      </c>
      <c r="AA71" s="160">
        <v>2092</v>
      </c>
      <c r="AB71" s="133">
        <v>103209</v>
      </c>
      <c r="AC71" s="133" t="s">
        <v>654</v>
      </c>
      <c r="AD71" s="133" t="s">
        <v>655</v>
      </c>
      <c r="AE71" s="159" t="s">
        <v>538</v>
      </c>
    </row>
    <row r="72" spans="1:31">
      <c r="A72" t="s">
        <v>661</v>
      </c>
      <c r="B72" s="72">
        <v>1010</v>
      </c>
      <c r="C72" t="s">
        <v>672</v>
      </c>
      <c r="AA72" s="160">
        <v>7006</v>
      </c>
      <c r="AB72" s="133">
        <v>103600</v>
      </c>
      <c r="AC72" s="133" t="s">
        <v>656</v>
      </c>
      <c r="AD72" s="133" t="s">
        <v>657</v>
      </c>
      <c r="AE72" s="159" t="s">
        <v>553</v>
      </c>
    </row>
    <row r="73" spans="1:31">
      <c r="A73" t="s">
        <v>663</v>
      </c>
      <c r="B73" s="72">
        <v>1021</v>
      </c>
      <c r="C73" t="s">
        <v>674</v>
      </c>
      <c r="AA73" s="160">
        <v>2477</v>
      </c>
      <c r="AB73" s="133">
        <v>132261</v>
      </c>
      <c r="AC73" s="133" t="s">
        <v>890</v>
      </c>
      <c r="AD73" s="133" t="s">
        <v>891</v>
      </c>
      <c r="AE73" s="159" t="s">
        <v>538</v>
      </c>
    </row>
    <row r="74" spans="1:31">
      <c r="A74" t="s">
        <v>665</v>
      </c>
      <c r="B74" s="72">
        <v>4201</v>
      </c>
      <c r="C74" t="s">
        <v>676</v>
      </c>
      <c r="AA74" s="160">
        <v>3436</v>
      </c>
      <c r="AB74" s="133">
        <v>136440</v>
      </c>
      <c r="AC74" s="133" t="s">
        <v>892</v>
      </c>
      <c r="AD74" s="133" t="s">
        <v>893</v>
      </c>
      <c r="AE74" s="159" t="s">
        <v>538</v>
      </c>
    </row>
    <row r="75" spans="1:31">
      <c r="A75" t="s">
        <v>667</v>
      </c>
      <c r="B75" s="72">
        <v>4015</v>
      </c>
      <c r="C75" t="s">
        <v>678</v>
      </c>
      <c r="AA75" s="160">
        <v>2099</v>
      </c>
      <c r="AB75" s="133">
        <v>103214</v>
      </c>
      <c r="AC75" s="133" t="s">
        <v>658</v>
      </c>
      <c r="AD75" s="133" t="s">
        <v>659</v>
      </c>
      <c r="AE75" s="159" t="s">
        <v>538</v>
      </c>
    </row>
    <row r="76" spans="1:31">
      <c r="A76" t="s">
        <v>669</v>
      </c>
      <c r="B76" s="72">
        <v>3411</v>
      </c>
      <c r="C76" t="s">
        <v>680</v>
      </c>
      <c r="AA76" s="160">
        <v>1010</v>
      </c>
      <c r="AB76" s="133">
        <v>103125</v>
      </c>
      <c r="AC76" s="133" t="s">
        <v>660</v>
      </c>
      <c r="AD76" s="133" t="s">
        <v>661</v>
      </c>
      <c r="AE76" s="159" t="s">
        <v>534</v>
      </c>
    </row>
    <row r="77" spans="1:31">
      <c r="A77" t="s">
        <v>895</v>
      </c>
      <c r="B77" s="72">
        <v>2474</v>
      </c>
      <c r="C77" t="s">
        <v>902</v>
      </c>
      <c r="AA77" s="160">
        <v>1021</v>
      </c>
      <c r="AB77" s="133">
        <v>103134</v>
      </c>
      <c r="AC77" s="133" t="s">
        <v>662</v>
      </c>
      <c r="AD77" s="133" t="s">
        <v>663</v>
      </c>
      <c r="AE77" s="159" t="s">
        <v>534</v>
      </c>
    </row>
    <row r="78" spans="1:31" ht="43.2">
      <c r="A78" t="s">
        <v>671</v>
      </c>
      <c r="B78" s="72">
        <v>4223</v>
      </c>
      <c r="C78" t="s">
        <v>682</v>
      </c>
      <c r="AA78" s="160">
        <v>4201</v>
      </c>
      <c r="AB78" s="133">
        <v>103503</v>
      </c>
      <c r="AC78" s="133" t="s">
        <v>664</v>
      </c>
      <c r="AD78" s="133" t="s">
        <v>665</v>
      </c>
      <c r="AE78" s="159" t="s">
        <v>564</v>
      </c>
    </row>
    <row r="79" spans="1:31" ht="43.2">
      <c r="A79" t="s">
        <v>673</v>
      </c>
      <c r="B79" s="72">
        <v>3317</v>
      </c>
      <c r="C79" t="s">
        <v>684</v>
      </c>
      <c r="AA79" s="160">
        <v>4015</v>
      </c>
      <c r="AB79" s="133">
        <v>103483</v>
      </c>
      <c r="AC79" s="133" t="s">
        <v>666</v>
      </c>
      <c r="AD79" s="133" t="s">
        <v>667</v>
      </c>
      <c r="AE79" s="159" t="s">
        <v>564</v>
      </c>
    </row>
    <row r="80" spans="1:31">
      <c r="A80" t="s">
        <v>675</v>
      </c>
      <c r="B80" s="72">
        <v>1023</v>
      </c>
      <c r="C80" t="s">
        <v>686</v>
      </c>
      <c r="AA80" s="160">
        <v>3411</v>
      </c>
      <c r="AB80" s="133">
        <v>103479</v>
      </c>
      <c r="AC80" s="133" t="s">
        <v>668</v>
      </c>
      <c r="AD80" s="133" t="s">
        <v>669</v>
      </c>
      <c r="AE80" s="159" t="s">
        <v>538</v>
      </c>
    </row>
    <row r="81" spans="1:31">
      <c r="A81" t="s">
        <v>677</v>
      </c>
      <c r="B81" s="72">
        <v>2015</v>
      </c>
      <c r="C81" t="s">
        <v>688</v>
      </c>
      <c r="AA81" s="160">
        <v>2474</v>
      </c>
      <c r="AB81" s="133">
        <v>131672</v>
      </c>
      <c r="AC81" s="133" t="s">
        <v>894</v>
      </c>
      <c r="AD81" s="133" t="s">
        <v>895</v>
      </c>
      <c r="AE81" s="159" t="s">
        <v>538</v>
      </c>
    </row>
    <row r="82" spans="1:31" ht="43.2">
      <c r="A82" t="s">
        <v>897</v>
      </c>
      <c r="B82" s="72">
        <v>3352</v>
      </c>
      <c r="C82" t="s">
        <v>906</v>
      </c>
      <c r="AA82" s="160">
        <v>4223</v>
      </c>
      <c r="AB82" s="133">
        <v>103509</v>
      </c>
      <c r="AC82" s="133" t="s">
        <v>670</v>
      </c>
      <c r="AD82" s="133" t="s">
        <v>671</v>
      </c>
      <c r="AE82" s="159" t="s">
        <v>564</v>
      </c>
    </row>
    <row r="83" spans="1:31">
      <c r="A83" t="s">
        <v>899</v>
      </c>
      <c r="B83" s="72">
        <v>2005</v>
      </c>
      <c r="C83" t="s">
        <v>908</v>
      </c>
      <c r="AA83" s="160">
        <v>3317</v>
      </c>
      <c r="AB83" s="133">
        <v>103421</v>
      </c>
      <c r="AC83" s="133" t="s">
        <v>672</v>
      </c>
      <c r="AD83" s="133" t="s">
        <v>673</v>
      </c>
      <c r="AE83" s="159" t="s">
        <v>538</v>
      </c>
    </row>
    <row r="84" spans="1:31">
      <c r="A84" t="s">
        <v>679</v>
      </c>
      <c r="B84" s="72">
        <v>4063</v>
      </c>
      <c r="C84" t="s">
        <v>690</v>
      </c>
      <c r="AA84" s="160">
        <v>1023</v>
      </c>
      <c r="AB84" s="133">
        <v>103136</v>
      </c>
      <c r="AC84" s="133" t="s">
        <v>674</v>
      </c>
      <c r="AD84" s="133" t="s">
        <v>675</v>
      </c>
      <c r="AE84" s="159" t="s">
        <v>534</v>
      </c>
    </row>
    <row r="85" spans="1:31">
      <c r="A85" t="s">
        <v>681</v>
      </c>
      <c r="B85" s="72">
        <v>1016</v>
      </c>
      <c r="C85" t="s">
        <v>692</v>
      </c>
      <c r="AA85" s="160">
        <v>2015</v>
      </c>
      <c r="AB85" s="133">
        <v>134102</v>
      </c>
      <c r="AC85" s="133" t="s">
        <v>676</v>
      </c>
      <c r="AD85" s="133" t="s">
        <v>677</v>
      </c>
      <c r="AE85" s="159" t="s">
        <v>538</v>
      </c>
    </row>
    <row r="86" spans="1:31">
      <c r="A86" t="s">
        <v>683</v>
      </c>
      <c r="B86" s="72">
        <v>2115</v>
      </c>
      <c r="C86" t="s">
        <v>694</v>
      </c>
      <c r="AA86" s="160">
        <v>3352</v>
      </c>
      <c r="AB86" s="133">
        <v>103444</v>
      </c>
      <c r="AC86" s="133" t="s">
        <v>896</v>
      </c>
      <c r="AD86" s="133" t="s">
        <v>897</v>
      </c>
      <c r="AE86" s="159" t="s">
        <v>538</v>
      </c>
    </row>
    <row r="87" spans="1:31" ht="43.2">
      <c r="A87" t="s">
        <v>685</v>
      </c>
      <c r="B87" s="72">
        <v>2441</v>
      </c>
      <c r="C87" t="s">
        <v>696</v>
      </c>
      <c r="AA87" s="160">
        <v>4063</v>
      </c>
      <c r="AB87" s="133">
        <v>103486</v>
      </c>
      <c r="AC87" s="133" t="s">
        <v>678</v>
      </c>
      <c r="AD87" s="133" t="s">
        <v>1261</v>
      </c>
      <c r="AE87" s="159" t="s">
        <v>564</v>
      </c>
    </row>
    <row r="88" spans="1:31">
      <c r="A88" t="s">
        <v>687</v>
      </c>
      <c r="B88" s="72">
        <v>2321</v>
      </c>
      <c r="C88" t="s">
        <v>698</v>
      </c>
      <c r="AA88" s="160">
        <v>2005</v>
      </c>
      <c r="AB88" s="133">
        <v>134098</v>
      </c>
      <c r="AC88" s="133" t="s">
        <v>898</v>
      </c>
      <c r="AD88" s="133" t="s">
        <v>899</v>
      </c>
      <c r="AE88" s="159" t="s">
        <v>538</v>
      </c>
    </row>
    <row r="89" spans="1:31">
      <c r="A89" t="s">
        <v>867</v>
      </c>
      <c r="B89" s="72">
        <v>2189</v>
      </c>
      <c r="C89" t="s">
        <v>910</v>
      </c>
      <c r="AA89" s="160">
        <v>1016</v>
      </c>
      <c r="AB89" s="133">
        <v>103129</v>
      </c>
      <c r="AC89" s="133" t="s">
        <v>680</v>
      </c>
      <c r="AD89" s="133" t="s">
        <v>681</v>
      </c>
      <c r="AE89" s="159" t="s">
        <v>534</v>
      </c>
    </row>
    <row r="90" spans="1:31">
      <c r="A90" t="s">
        <v>869</v>
      </c>
      <c r="B90" s="72">
        <v>7060</v>
      </c>
      <c r="C90" t="s">
        <v>912</v>
      </c>
      <c r="AA90" s="160">
        <v>2115</v>
      </c>
      <c r="AB90" s="133">
        <v>103221</v>
      </c>
      <c r="AC90" s="133" t="s">
        <v>682</v>
      </c>
      <c r="AD90" s="133" t="s">
        <v>683</v>
      </c>
      <c r="AE90" s="159" t="s">
        <v>538</v>
      </c>
    </row>
    <row r="91" spans="1:31">
      <c r="A91" t="s">
        <v>901</v>
      </c>
      <c r="B91" s="72">
        <v>1024</v>
      </c>
      <c r="C91" t="s">
        <v>916</v>
      </c>
      <c r="AA91" s="160">
        <v>2441</v>
      </c>
      <c r="AB91" s="133">
        <v>103368</v>
      </c>
      <c r="AC91" s="133" t="s">
        <v>684</v>
      </c>
      <c r="AD91" s="133" t="s">
        <v>685</v>
      </c>
      <c r="AE91" s="159" t="s">
        <v>538</v>
      </c>
    </row>
    <row r="92" spans="1:31">
      <c r="A92" t="s">
        <v>689</v>
      </c>
      <c r="B92" s="72">
        <v>7062</v>
      </c>
      <c r="C92" t="s">
        <v>700</v>
      </c>
      <c r="AA92" s="160">
        <v>2321</v>
      </c>
      <c r="AB92" s="133">
        <v>103339</v>
      </c>
      <c r="AC92" s="133" t="s">
        <v>686</v>
      </c>
      <c r="AD92" s="133" t="s">
        <v>687</v>
      </c>
      <c r="AE92" s="159" t="s">
        <v>538</v>
      </c>
    </row>
    <row r="93" spans="1:31">
      <c r="A93" t="s">
        <v>691</v>
      </c>
      <c r="B93" s="72">
        <v>2462</v>
      </c>
      <c r="C93" t="s">
        <v>702</v>
      </c>
      <c r="AA93" s="160">
        <v>2189</v>
      </c>
      <c r="AB93" s="133">
        <v>103265</v>
      </c>
      <c r="AC93" s="133" t="s">
        <v>866</v>
      </c>
      <c r="AD93" s="133" t="s">
        <v>867</v>
      </c>
      <c r="AE93" s="159" t="s">
        <v>538</v>
      </c>
    </row>
    <row r="94" spans="1:31">
      <c r="A94" t="s">
        <v>693</v>
      </c>
      <c r="B94" s="72">
        <v>7012</v>
      </c>
      <c r="C94" t="s">
        <v>704</v>
      </c>
      <c r="AA94" s="160">
        <v>7060</v>
      </c>
      <c r="AB94" s="133">
        <v>103630</v>
      </c>
      <c r="AC94" s="133" t="s">
        <v>868</v>
      </c>
      <c r="AD94" s="133" t="s">
        <v>869</v>
      </c>
      <c r="AE94" s="159" t="s">
        <v>553</v>
      </c>
    </row>
    <row r="95" spans="1:31">
      <c r="A95" t="s">
        <v>695</v>
      </c>
      <c r="B95" s="72">
        <v>2127</v>
      </c>
      <c r="C95" t="s">
        <v>708</v>
      </c>
      <c r="AA95" s="160">
        <v>1024</v>
      </c>
      <c r="AB95" s="133">
        <v>103137</v>
      </c>
      <c r="AC95" s="133" t="s">
        <v>900</v>
      </c>
      <c r="AD95" s="133" t="s">
        <v>901</v>
      </c>
      <c r="AE95" s="159" t="s">
        <v>534</v>
      </c>
    </row>
    <row r="96" spans="1:31">
      <c r="A96" t="s">
        <v>697</v>
      </c>
      <c r="B96" s="72">
        <v>2129</v>
      </c>
      <c r="C96" t="s">
        <v>710</v>
      </c>
      <c r="AA96" s="160">
        <v>7062</v>
      </c>
      <c r="AB96" s="133">
        <v>103632</v>
      </c>
      <c r="AC96" s="133" t="s">
        <v>688</v>
      </c>
      <c r="AD96" s="133" t="s">
        <v>689</v>
      </c>
      <c r="AE96" s="159" t="s">
        <v>553</v>
      </c>
    </row>
    <row r="97" spans="1:31">
      <c r="A97" t="s">
        <v>699</v>
      </c>
      <c r="B97" s="72">
        <v>2128</v>
      </c>
      <c r="C97" t="s">
        <v>712</v>
      </c>
      <c r="AA97" s="160">
        <v>2462</v>
      </c>
      <c r="AB97" s="133">
        <v>103388</v>
      </c>
      <c r="AC97" s="133" t="s">
        <v>690</v>
      </c>
      <c r="AD97" s="133" t="s">
        <v>691</v>
      </c>
      <c r="AE97" s="159" t="s">
        <v>538</v>
      </c>
    </row>
    <row r="98" spans="1:31">
      <c r="A98" t="s">
        <v>701</v>
      </c>
      <c r="B98" s="72">
        <v>2420</v>
      </c>
      <c r="C98" t="s">
        <v>714</v>
      </c>
      <c r="AA98" s="160">
        <v>7012</v>
      </c>
      <c r="AB98" s="133">
        <v>103603</v>
      </c>
      <c r="AC98" s="133" t="s">
        <v>692</v>
      </c>
      <c r="AD98" s="133" t="s">
        <v>693</v>
      </c>
      <c r="AE98" s="159" t="s">
        <v>553</v>
      </c>
    </row>
    <row r="99" spans="1:31">
      <c r="A99" t="s">
        <v>903</v>
      </c>
      <c r="B99" s="72">
        <v>2004</v>
      </c>
      <c r="C99" t="s">
        <v>924</v>
      </c>
      <c r="AA99" s="160">
        <v>2127</v>
      </c>
      <c r="AB99" s="133">
        <v>103227</v>
      </c>
      <c r="AC99" s="133" t="s">
        <v>694</v>
      </c>
      <c r="AD99" s="133" t="s">
        <v>695</v>
      </c>
      <c r="AE99" s="159" t="s">
        <v>538</v>
      </c>
    </row>
    <row r="100" spans="1:31">
      <c r="A100" t="s">
        <v>703</v>
      </c>
      <c r="B100" s="72">
        <v>1012</v>
      </c>
      <c r="C100" t="s">
        <v>716</v>
      </c>
      <c r="AA100" s="160">
        <v>2129</v>
      </c>
      <c r="AB100" s="133">
        <v>103229</v>
      </c>
      <c r="AC100" s="133" t="s">
        <v>696</v>
      </c>
      <c r="AD100" s="133" t="s">
        <v>697</v>
      </c>
      <c r="AE100" s="159" t="s">
        <v>538</v>
      </c>
    </row>
    <row r="101" spans="1:31">
      <c r="A101" t="s">
        <v>705</v>
      </c>
      <c r="B101" s="72">
        <v>2133</v>
      </c>
      <c r="C101" t="s">
        <v>718</v>
      </c>
      <c r="AA101" s="160">
        <v>2128</v>
      </c>
      <c r="AB101" s="133">
        <v>103228</v>
      </c>
      <c r="AC101" s="133" t="s">
        <v>698</v>
      </c>
      <c r="AD101" s="133" t="s">
        <v>699</v>
      </c>
      <c r="AE101" s="159" t="s">
        <v>538</v>
      </c>
    </row>
    <row r="102" spans="1:31">
      <c r="A102" t="s">
        <v>709</v>
      </c>
      <c r="B102" s="72">
        <v>2406</v>
      </c>
      <c r="C102" t="s">
        <v>720</v>
      </c>
      <c r="AA102" s="160">
        <v>2420</v>
      </c>
      <c r="AB102" s="133">
        <v>103353</v>
      </c>
      <c r="AC102" s="133" t="s">
        <v>700</v>
      </c>
      <c r="AD102" s="133" t="s">
        <v>701</v>
      </c>
      <c r="AE102" s="159" t="s">
        <v>538</v>
      </c>
    </row>
    <row r="103" spans="1:31">
      <c r="A103" t="s">
        <v>711</v>
      </c>
      <c r="B103" s="72">
        <v>2416</v>
      </c>
      <c r="C103" t="s">
        <v>722</v>
      </c>
      <c r="AA103" s="160">
        <v>2004</v>
      </c>
      <c r="AB103" s="133">
        <v>134094</v>
      </c>
      <c r="AC103" s="133" t="s">
        <v>902</v>
      </c>
      <c r="AD103" s="133" t="s">
        <v>903</v>
      </c>
      <c r="AE103" s="159" t="s">
        <v>538</v>
      </c>
    </row>
    <row r="104" spans="1:31">
      <c r="A104" t="s">
        <v>713</v>
      </c>
      <c r="B104" s="72">
        <v>3003</v>
      </c>
      <c r="C104" t="s">
        <v>726</v>
      </c>
      <c r="AA104" s="160">
        <v>1012</v>
      </c>
      <c r="AB104" s="133">
        <v>103126</v>
      </c>
      <c r="AC104" s="133" t="s">
        <v>702</v>
      </c>
      <c r="AD104" s="133" t="s">
        <v>703</v>
      </c>
      <c r="AE104" s="159" t="s">
        <v>534</v>
      </c>
    </row>
    <row r="105" spans="1:31">
      <c r="A105" t="s">
        <v>715</v>
      </c>
      <c r="B105" s="72">
        <v>4245</v>
      </c>
      <c r="C105" t="s">
        <v>728</v>
      </c>
      <c r="AA105" s="160">
        <v>2133</v>
      </c>
      <c r="AB105" s="133">
        <v>103233</v>
      </c>
      <c r="AC105" s="133" t="s">
        <v>704</v>
      </c>
      <c r="AD105" s="133" t="s">
        <v>705</v>
      </c>
      <c r="AE105" s="159" t="s">
        <v>538</v>
      </c>
    </row>
    <row r="106" spans="1:31">
      <c r="A106" t="s">
        <v>717</v>
      </c>
      <c r="B106" s="72">
        <v>2457</v>
      </c>
      <c r="C106" t="s">
        <v>730</v>
      </c>
      <c r="AA106" s="160">
        <v>3322</v>
      </c>
      <c r="AB106" s="133">
        <v>103426</v>
      </c>
      <c r="AC106" s="133" t="s">
        <v>706</v>
      </c>
      <c r="AD106" s="133" t="s">
        <v>707</v>
      </c>
      <c r="AE106" s="159" t="s">
        <v>538</v>
      </c>
    </row>
    <row r="107" spans="1:31">
      <c r="A107" t="s">
        <v>719</v>
      </c>
      <c r="B107" s="72">
        <v>2142</v>
      </c>
      <c r="C107" t="s">
        <v>732</v>
      </c>
      <c r="AA107" s="160">
        <v>2406</v>
      </c>
      <c r="AB107" s="133">
        <v>103345</v>
      </c>
      <c r="AC107" s="133" t="s">
        <v>708</v>
      </c>
      <c r="AD107" s="133" t="s">
        <v>709</v>
      </c>
      <c r="AE107" s="159" t="s">
        <v>538</v>
      </c>
    </row>
    <row r="108" spans="1:31">
      <c r="A108" t="s">
        <v>721</v>
      </c>
      <c r="B108" s="72">
        <v>2469</v>
      </c>
      <c r="C108" t="s">
        <v>734</v>
      </c>
      <c r="AA108" s="160">
        <v>2416</v>
      </c>
      <c r="AB108" s="133">
        <v>103351</v>
      </c>
      <c r="AC108" s="133" t="s">
        <v>710</v>
      </c>
      <c r="AD108" s="133" t="s">
        <v>711</v>
      </c>
      <c r="AE108" s="159" t="s">
        <v>538</v>
      </c>
    </row>
    <row r="109" spans="1:31">
      <c r="A109" t="s">
        <v>907</v>
      </c>
      <c r="B109" s="72">
        <v>1028</v>
      </c>
      <c r="C109" t="s">
        <v>926</v>
      </c>
      <c r="AA109" s="160">
        <v>3003</v>
      </c>
      <c r="AB109" s="133">
        <v>103398</v>
      </c>
      <c r="AC109" s="133" t="s">
        <v>712</v>
      </c>
      <c r="AD109" s="133" t="s">
        <v>713</v>
      </c>
      <c r="AE109" s="159" t="s">
        <v>538</v>
      </c>
    </row>
    <row r="110" spans="1:31" ht="43.2">
      <c r="A110" t="s">
        <v>723</v>
      </c>
      <c r="B110" s="72">
        <v>1049</v>
      </c>
      <c r="C110" t="s">
        <v>736</v>
      </c>
      <c r="AA110" s="160">
        <v>4245</v>
      </c>
      <c r="AB110" s="133">
        <v>103519</v>
      </c>
      <c r="AC110" s="133" t="s">
        <v>714</v>
      </c>
      <c r="AD110" s="133" t="s">
        <v>715</v>
      </c>
      <c r="AE110" s="159" t="s">
        <v>564</v>
      </c>
    </row>
    <row r="111" spans="1:31">
      <c r="A111" t="s">
        <v>727</v>
      </c>
      <c r="B111" s="72">
        <v>3351</v>
      </c>
      <c r="C111" t="s">
        <v>738</v>
      </c>
      <c r="AA111" s="160">
        <v>2457</v>
      </c>
      <c r="AB111" s="133">
        <v>103384</v>
      </c>
      <c r="AC111" s="133" t="s">
        <v>716</v>
      </c>
      <c r="AD111" s="133" t="s">
        <v>717</v>
      </c>
      <c r="AE111" s="159" t="s">
        <v>538</v>
      </c>
    </row>
    <row r="112" spans="1:31">
      <c r="A112" t="s">
        <v>729</v>
      </c>
      <c r="B112" s="72">
        <v>3328</v>
      </c>
      <c r="C112" t="s">
        <v>740</v>
      </c>
      <c r="AA112" s="160">
        <v>2142</v>
      </c>
      <c r="AB112" s="133">
        <v>103237</v>
      </c>
      <c r="AC112" s="133" t="s">
        <v>718</v>
      </c>
      <c r="AD112" s="133" t="s">
        <v>719</v>
      </c>
      <c r="AE112" s="159" t="s">
        <v>538</v>
      </c>
    </row>
    <row r="113" spans="1:31">
      <c r="A113" t="s">
        <v>909</v>
      </c>
      <c r="B113" s="72">
        <v>2150</v>
      </c>
      <c r="C113" t="s">
        <v>930</v>
      </c>
      <c r="AA113" s="160">
        <v>2469</v>
      </c>
      <c r="AB113" s="133">
        <v>103395</v>
      </c>
      <c r="AC113" s="133" t="s">
        <v>720</v>
      </c>
      <c r="AD113" s="133" t="s">
        <v>721</v>
      </c>
      <c r="AE113" s="159" t="s">
        <v>538</v>
      </c>
    </row>
    <row r="114" spans="1:31">
      <c r="A114" t="s">
        <v>911</v>
      </c>
      <c r="B114" s="72">
        <v>2425</v>
      </c>
      <c r="C114" t="s">
        <v>872</v>
      </c>
      <c r="AA114" s="160">
        <v>3431</v>
      </c>
      <c r="AB114" s="133">
        <v>134774</v>
      </c>
      <c r="AC114" s="133" t="s">
        <v>904</v>
      </c>
      <c r="AD114" s="133" t="s">
        <v>905</v>
      </c>
      <c r="AE114" s="159" t="s">
        <v>538</v>
      </c>
    </row>
    <row r="115" spans="1:31">
      <c r="A115" t="s">
        <v>731</v>
      </c>
      <c r="B115" s="72">
        <v>1008</v>
      </c>
      <c r="C115" t="s">
        <v>742</v>
      </c>
      <c r="AA115" s="160">
        <v>1028</v>
      </c>
      <c r="AB115" s="133">
        <v>103141</v>
      </c>
      <c r="AC115" s="133" t="s">
        <v>906</v>
      </c>
      <c r="AD115" s="133" t="s">
        <v>907</v>
      </c>
      <c r="AE115" s="159" t="s">
        <v>534</v>
      </c>
    </row>
    <row r="116" spans="1:31">
      <c r="A116" t="s">
        <v>913</v>
      </c>
      <c r="B116" s="72">
        <v>7034</v>
      </c>
      <c r="C116" t="s">
        <v>936</v>
      </c>
      <c r="AA116" s="160">
        <v>1049</v>
      </c>
      <c r="AB116" s="133">
        <v>103145</v>
      </c>
      <c r="AC116" s="133" t="s">
        <v>722</v>
      </c>
      <c r="AD116" s="133" t="s">
        <v>723</v>
      </c>
      <c r="AE116" s="159" t="s">
        <v>534</v>
      </c>
    </row>
    <row r="117" spans="1:31">
      <c r="A117" t="s">
        <v>733</v>
      </c>
      <c r="B117" s="72">
        <v>4173</v>
      </c>
      <c r="C117" t="s">
        <v>744</v>
      </c>
      <c r="AA117" s="160">
        <v>7053</v>
      </c>
      <c r="AB117" s="133">
        <v>103628</v>
      </c>
      <c r="AC117" s="133" t="s">
        <v>724</v>
      </c>
      <c r="AD117" s="133" t="s">
        <v>725</v>
      </c>
      <c r="AE117" s="159" t="s">
        <v>553</v>
      </c>
    </row>
    <row r="118" spans="1:31">
      <c r="A118" t="s">
        <v>915</v>
      </c>
      <c r="B118" s="72">
        <v>2157</v>
      </c>
      <c r="C118" t="s">
        <v>824</v>
      </c>
      <c r="AA118" s="160">
        <v>3351</v>
      </c>
      <c r="AB118" s="133">
        <v>103443</v>
      </c>
      <c r="AC118" s="133" t="s">
        <v>726</v>
      </c>
      <c r="AD118" s="133" t="s">
        <v>727</v>
      </c>
      <c r="AE118" s="159" t="s">
        <v>538</v>
      </c>
    </row>
    <row r="119" spans="1:31">
      <c r="A119" t="s">
        <v>735</v>
      </c>
      <c r="B119" s="72">
        <v>2159</v>
      </c>
      <c r="C119" t="s">
        <v>746</v>
      </c>
      <c r="AA119" s="160">
        <v>3328</v>
      </c>
      <c r="AB119" s="133">
        <v>103430</v>
      </c>
      <c r="AC119" s="133" t="s">
        <v>728</v>
      </c>
      <c r="AD119" s="133" t="s">
        <v>729</v>
      </c>
      <c r="AE119" s="159" t="s">
        <v>538</v>
      </c>
    </row>
    <row r="120" spans="1:31">
      <c r="A120" t="s">
        <v>737</v>
      </c>
      <c r="B120" s="72">
        <v>2161</v>
      </c>
      <c r="C120" t="s">
        <v>748</v>
      </c>
      <c r="AA120" s="160">
        <v>2149</v>
      </c>
      <c r="AB120" s="133">
        <v>103240</v>
      </c>
      <c r="AC120" s="133" t="s">
        <v>1262</v>
      </c>
      <c r="AD120" s="133" t="s">
        <v>1263</v>
      </c>
      <c r="AE120" s="159" t="s">
        <v>538</v>
      </c>
    </row>
    <row r="121" spans="1:31">
      <c r="A121" t="s">
        <v>739</v>
      </c>
      <c r="B121" s="72">
        <v>2160</v>
      </c>
      <c r="C121" t="s">
        <v>750</v>
      </c>
      <c r="AA121" s="160">
        <v>2150</v>
      </c>
      <c r="AB121" s="133">
        <v>103241</v>
      </c>
      <c r="AC121" s="133" t="s">
        <v>908</v>
      </c>
      <c r="AD121" s="133" t="s">
        <v>909</v>
      </c>
      <c r="AE121" s="159" t="s">
        <v>538</v>
      </c>
    </row>
    <row r="122" spans="1:31">
      <c r="A122" t="s">
        <v>741</v>
      </c>
      <c r="B122" s="72">
        <v>2063</v>
      </c>
      <c r="C122" t="s">
        <v>752</v>
      </c>
      <c r="AA122" s="160">
        <v>2425</v>
      </c>
      <c r="AB122" s="133">
        <v>103356</v>
      </c>
      <c r="AC122" s="133" t="s">
        <v>910</v>
      </c>
      <c r="AD122" s="133" t="s">
        <v>911</v>
      </c>
      <c r="AE122" s="159" t="s">
        <v>538</v>
      </c>
    </row>
    <row r="123" spans="1:31">
      <c r="A123" t="s">
        <v>743</v>
      </c>
      <c r="B123" s="72">
        <v>1018</v>
      </c>
      <c r="C123" t="s">
        <v>754</v>
      </c>
      <c r="AA123" s="160">
        <v>1008</v>
      </c>
      <c r="AB123" s="133">
        <v>103123</v>
      </c>
      <c r="AC123" s="133" t="s">
        <v>730</v>
      </c>
      <c r="AD123" s="133" t="s">
        <v>731</v>
      </c>
      <c r="AE123" s="159" t="s">
        <v>534</v>
      </c>
    </row>
    <row r="124" spans="1:31">
      <c r="A124" t="s">
        <v>917</v>
      </c>
      <c r="B124" s="72">
        <v>1000</v>
      </c>
      <c r="C124" t="s">
        <v>938</v>
      </c>
      <c r="AA124" s="160">
        <v>7034</v>
      </c>
      <c r="AB124" s="133">
        <v>103614</v>
      </c>
      <c r="AC124" s="133" t="s">
        <v>912</v>
      </c>
      <c r="AD124" s="133" t="s">
        <v>913</v>
      </c>
      <c r="AE124" s="159" t="s">
        <v>553</v>
      </c>
    </row>
    <row r="125" spans="1:31" ht="43.2">
      <c r="A125" t="s">
        <v>745</v>
      </c>
      <c r="B125" s="72">
        <v>7033</v>
      </c>
      <c r="C125" t="s">
        <v>756</v>
      </c>
      <c r="AA125" s="160">
        <v>4173</v>
      </c>
      <c r="AB125" s="133">
        <v>103497</v>
      </c>
      <c r="AC125" s="133" t="s">
        <v>732</v>
      </c>
      <c r="AD125" s="133" t="s">
        <v>733</v>
      </c>
      <c r="AE125" s="159" t="s">
        <v>564</v>
      </c>
    </row>
    <row r="126" spans="1:31">
      <c r="A126" t="s">
        <v>747</v>
      </c>
      <c r="B126" s="72">
        <v>4177</v>
      </c>
      <c r="C126" t="s">
        <v>758</v>
      </c>
      <c r="AA126" s="160">
        <v>2157</v>
      </c>
      <c r="AB126" s="133">
        <v>103246</v>
      </c>
      <c r="AC126" s="133" t="s">
        <v>914</v>
      </c>
      <c r="AD126" s="133" t="s">
        <v>915</v>
      </c>
      <c r="AE126" s="159" t="s">
        <v>538</v>
      </c>
    </row>
    <row r="127" spans="1:31">
      <c r="A127" t="s">
        <v>749</v>
      </c>
      <c r="B127" s="72">
        <v>2169</v>
      </c>
      <c r="C127" t="s">
        <v>760</v>
      </c>
      <c r="AA127" s="160">
        <v>2159</v>
      </c>
      <c r="AB127" s="133">
        <v>103247</v>
      </c>
      <c r="AC127" s="133" t="s">
        <v>734</v>
      </c>
      <c r="AD127" s="133" t="s">
        <v>735</v>
      </c>
      <c r="AE127" s="159" t="s">
        <v>538</v>
      </c>
    </row>
    <row r="128" spans="1:31">
      <c r="A128" t="s">
        <v>751</v>
      </c>
      <c r="B128" s="72">
        <v>2008</v>
      </c>
      <c r="C128" t="s">
        <v>762</v>
      </c>
      <c r="AA128" s="160">
        <v>2161</v>
      </c>
      <c r="AB128" s="133">
        <v>103249</v>
      </c>
      <c r="AC128" s="133" t="s">
        <v>736</v>
      </c>
      <c r="AD128" s="133" t="s">
        <v>737</v>
      </c>
      <c r="AE128" s="159" t="s">
        <v>538</v>
      </c>
    </row>
    <row r="129" spans="1:31">
      <c r="A129" t="s">
        <v>753</v>
      </c>
      <c r="B129" s="72">
        <v>1038</v>
      </c>
      <c r="C129" t="s">
        <v>764</v>
      </c>
      <c r="AA129" s="160">
        <v>2160</v>
      </c>
      <c r="AB129" s="133">
        <v>103248</v>
      </c>
      <c r="AC129" s="133" t="s">
        <v>738</v>
      </c>
      <c r="AD129" s="133" t="s">
        <v>739</v>
      </c>
      <c r="AE129" s="159" t="s">
        <v>538</v>
      </c>
    </row>
    <row r="130" spans="1:31">
      <c r="A130" t="s">
        <v>755</v>
      </c>
      <c r="B130" s="72">
        <v>2174</v>
      </c>
      <c r="C130" t="s">
        <v>766</v>
      </c>
      <c r="AA130" s="160">
        <v>2063</v>
      </c>
      <c r="AB130" s="133">
        <v>103193</v>
      </c>
      <c r="AC130" s="133" t="s">
        <v>740</v>
      </c>
      <c r="AD130" s="133" t="s">
        <v>741</v>
      </c>
      <c r="AE130" s="159" t="s">
        <v>538</v>
      </c>
    </row>
    <row r="131" spans="1:31">
      <c r="A131" t="s">
        <v>757</v>
      </c>
      <c r="B131" s="72">
        <v>2176</v>
      </c>
      <c r="C131" t="s">
        <v>768</v>
      </c>
      <c r="AA131" s="160">
        <v>1018</v>
      </c>
      <c r="AB131" s="133">
        <v>103131</v>
      </c>
      <c r="AC131" s="133" t="s">
        <v>742</v>
      </c>
      <c r="AD131" s="133" t="s">
        <v>743</v>
      </c>
      <c r="AE131" s="159" t="s">
        <v>534</v>
      </c>
    </row>
    <row r="132" spans="1:31">
      <c r="A132" t="s">
        <v>759</v>
      </c>
      <c r="B132" s="72">
        <v>7047</v>
      </c>
      <c r="C132" t="s">
        <v>770</v>
      </c>
      <c r="AA132" s="160">
        <v>1000</v>
      </c>
      <c r="AB132" s="133">
        <v>137796</v>
      </c>
      <c r="AC132" s="133" t="s">
        <v>916</v>
      </c>
      <c r="AD132" s="133" t="s">
        <v>917</v>
      </c>
      <c r="AE132" s="159" t="s">
        <v>534</v>
      </c>
    </row>
    <row r="133" spans="1:31">
      <c r="A133" t="s">
        <v>761</v>
      </c>
      <c r="B133" s="72">
        <v>3410</v>
      </c>
      <c r="C133" t="s">
        <v>772</v>
      </c>
      <c r="AA133" s="160">
        <v>7033</v>
      </c>
      <c r="AB133" s="133">
        <v>103613</v>
      </c>
      <c r="AC133" s="133" t="s">
        <v>744</v>
      </c>
      <c r="AD133" s="133" t="s">
        <v>745</v>
      </c>
      <c r="AE133" s="159" t="s">
        <v>553</v>
      </c>
    </row>
    <row r="134" spans="1:31" ht="43.2">
      <c r="A134" t="s">
        <v>763</v>
      </c>
      <c r="B134" s="72">
        <v>3381</v>
      </c>
      <c r="C134" t="s">
        <v>774</v>
      </c>
      <c r="AA134" s="160">
        <v>4177</v>
      </c>
      <c r="AB134" s="133">
        <v>103498</v>
      </c>
      <c r="AC134" s="133" t="s">
        <v>746</v>
      </c>
      <c r="AD134" s="133" t="s">
        <v>747</v>
      </c>
      <c r="AE134" s="159" t="s">
        <v>564</v>
      </c>
    </row>
    <row r="135" spans="1:31">
      <c r="A135" t="s">
        <v>765</v>
      </c>
      <c r="B135" s="72">
        <v>3335</v>
      </c>
      <c r="C135" t="s">
        <v>776</v>
      </c>
      <c r="AA135" s="160">
        <v>2169</v>
      </c>
      <c r="AB135" s="133">
        <v>103252</v>
      </c>
      <c r="AC135" s="133" t="s">
        <v>748</v>
      </c>
      <c r="AD135" s="133" t="s">
        <v>749</v>
      </c>
      <c r="AE135" s="159" t="s">
        <v>538</v>
      </c>
    </row>
    <row r="136" spans="1:31">
      <c r="A136" t="s">
        <v>767</v>
      </c>
      <c r="B136" s="72">
        <v>2183</v>
      </c>
      <c r="C136" t="s">
        <v>778</v>
      </c>
      <c r="AA136" s="160">
        <v>2008</v>
      </c>
      <c r="AB136" s="133">
        <v>103157</v>
      </c>
      <c r="AC136" s="133" t="s">
        <v>750</v>
      </c>
      <c r="AD136" s="133" t="s">
        <v>751</v>
      </c>
      <c r="AE136" s="159" t="s">
        <v>538</v>
      </c>
    </row>
    <row r="137" spans="1:31">
      <c r="A137" t="s">
        <v>769</v>
      </c>
      <c r="B137" s="72">
        <v>3372</v>
      </c>
      <c r="C137" t="s">
        <v>780</v>
      </c>
      <c r="AA137" s="160">
        <v>1038</v>
      </c>
      <c r="AB137" s="133">
        <v>103142</v>
      </c>
      <c r="AC137" s="133" t="s">
        <v>752</v>
      </c>
      <c r="AD137" s="133" t="s">
        <v>753</v>
      </c>
      <c r="AE137" s="159" t="s">
        <v>534</v>
      </c>
    </row>
    <row r="138" spans="1:31">
      <c r="A138" t="s">
        <v>771</v>
      </c>
      <c r="B138" s="72">
        <v>3375</v>
      </c>
      <c r="C138" t="s">
        <v>782</v>
      </c>
      <c r="AA138" s="160">
        <v>2174</v>
      </c>
      <c r="AB138" s="133">
        <v>103255</v>
      </c>
      <c r="AC138" s="133" t="s">
        <v>754</v>
      </c>
      <c r="AD138" s="133" t="s">
        <v>755</v>
      </c>
      <c r="AE138" s="159" t="s">
        <v>538</v>
      </c>
    </row>
    <row r="139" spans="1:31">
      <c r="A139" t="s">
        <v>773</v>
      </c>
      <c r="B139" s="72">
        <v>3331</v>
      </c>
      <c r="C139" t="s">
        <v>784</v>
      </c>
      <c r="AA139" s="160">
        <v>2176</v>
      </c>
      <c r="AB139" s="133">
        <v>103256</v>
      </c>
      <c r="AC139" s="133" t="s">
        <v>756</v>
      </c>
      <c r="AD139" s="133" t="s">
        <v>757</v>
      </c>
      <c r="AE139" s="159" t="s">
        <v>538</v>
      </c>
    </row>
    <row r="140" spans="1:31">
      <c r="A140" t="s">
        <v>775</v>
      </c>
      <c r="B140" s="72">
        <v>3386</v>
      </c>
      <c r="C140" t="s">
        <v>786</v>
      </c>
      <c r="AA140" s="160">
        <v>7047</v>
      </c>
      <c r="AB140" s="133">
        <v>103623</v>
      </c>
      <c r="AC140" s="133" t="s">
        <v>758</v>
      </c>
      <c r="AD140" s="133" t="s">
        <v>759</v>
      </c>
      <c r="AE140" s="159" t="s">
        <v>553</v>
      </c>
    </row>
    <row r="141" spans="1:31">
      <c r="A141" t="s">
        <v>777</v>
      </c>
      <c r="B141" s="72">
        <v>3363</v>
      </c>
      <c r="C141" t="s">
        <v>788</v>
      </c>
      <c r="AA141" s="160">
        <v>3410</v>
      </c>
      <c r="AB141" s="133">
        <v>103478</v>
      </c>
      <c r="AC141" s="133" t="s">
        <v>760</v>
      </c>
      <c r="AD141" s="133" t="s">
        <v>761</v>
      </c>
      <c r="AE141" s="159" t="s">
        <v>538</v>
      </c>
    </row>
    <row r="142" spans="1:31">
      <c r="A142" t="s">
        <v>779</v>
      </c>
      <c r="B142" s="72">
        <v>3355</v>
      </c>
      <c r="C142" t="s">
        <v>790</v>
      </c>
      <c r="AA142" s="160">
        <v>3381</v>
      </c>
      <c r="AB142" s="133">
        <v>103466</v>
      </c>
      <c r="AC142" s="133" t="s">
        <v>762</v>
      </c>
      <c r="AD142" s="133" t="s">
        <v>763</v>
      </c>
      <c r="AE142" s="159" t="s">
        <v>538</v>
      </c>
    </row>
    <row r="143" spans="1:31">
      <c r="A143" t="s">
        <v>781</v>
      </c>
      <c r="B143" s="72">
        <v>3367</v>
      </c>
      <c r="C143" t="s">
        <v>792</v>
      </c>
      <c r="AA143" s="160">
        <v>3380</v>
      </c>
      <c r="AB143" s="133">
        <v>103465</v>
      </c>
      <c r="AC143" s="133" t="s">
        <v>870</v>
      </c>
      <c r="AD143" s="133" t="s">
        <v>871</v>
      </c>
      <c r="AE143" s="159" t="s">
        <v>538</v>
      </c>
    </row>
    <row r="144" spans="1:31">
      <c r="A144" t="s">
        <v>783</v>
      </c>
      <c r="B144" s="72">
        <v>3010</v>
      </c>
      <c r="C144" t="s">
        <v>794</v>
      </c>
      <c r="AA144" s="160">
        <v>3335</v>
      </c>
      <c r="AB144" s="133">
        <v>103434</v>
      </c>
      <c r="AC144" s="133" t="s">
        <v>764</v>
      </c>
      <c r="AD144" s="133" t="s">
        <v>765</v>
      </c>
      <c r="AE144" s="159" t="s">
        <v>538</v>
      </c>
    </row>
    <row r="145" spans="1:31">
      <c r="A145" t="s">
        <v>785</v>
      </c>
      <c r="B145" s="72">
        <v>4625</v>
      </c>
      <c r="C145" t="s">
        <v>796</v>
      </c>
      <c r="AA145" s="160">
        <v>3329</v>
      </c>
      <c r="AB145" s="133">
        <v>103431</v>
      </c>
      <c r="AC145" s="133" t="s">
        <v>918</v>
      </c>
      <c r="AD145" s="133" t="s">
        <v>919</v>
      </c>
      <c r="AE145" s="159" t="s">
        <v>538</v>
      </c>
    </row>
    <row r="146" spans="1:31">
      <c r="A146" t="s">
        <v>787</v>
      </c>
      <c r="B146" s="72">
        <v>3377</v>
      </c>
      <c r="C146" t="s">
        <v>798</v>
      </c>
      <c r="AA146" s="160">
        <v>2183</v>
      </c>
      <c r="AB146" s="133">
        <v>103261</v>
      </c>
      <c r="AC146" s="133" t="s">
        <v>766</v>
      </c>
      <c r="AD146" s="133" t="s">
        <v>767</v>
      </c>
      <c r="AE146" s="159" t="s">
        <v>538</v>
      </c>
    </row>
    <row r="147" spans="1:31">
      <c r="A147" t="s">
        <v>789</v>
      </c>
      <c r="B147" s="72">
        <v>3371</v>
      </c>
      <c r="C147" t="s">
        <v>800</v>
      </c>
      <c r="AA147" s="160">
        <v>3372</v>
      </c>
      <c r="AB147" s="133">
        <v>103460</v>
      </c>
      <c r="AC147" s="133" t="s">
        <v>768</v>
      </c>
      <c r="AD147" s="133" t="s">
        <v>769</v>
      </c>
      <c r="AE147" s="159" t="s">
        <v>538</v>
      </c>
    </row>
    <row r="148" spans="1:31">
      <c r="A148" t="s">
        <v>791</v>
      </c>
      <c r="B148" s="72">
        <v>3307</v>
      </c>
      <c r="C148" t="s">
        <v>802</v>
      </c>
      <c r="AA148" s="160">
        <v>3375</v>
      </c>
      <c r="AB148" s="133">
        <v>103462</v>
      </c>
      <c r="AC148" s="133" t="s">
        <v>770</v>
      </c>
      <c r="AD148" s="133" t="s">
        <v>771</v>
      </c>
      <c r="AE148" s="159" t="s">
        <v>538</v>
      </c>
    </row>
    <row r="149" spans="1:31">
      <c r="A149" t="s">
        <v>793</v>
      </c>
      <c r="B149" s="72">
        <v>3361</v>
      </c>
      <c r="C149" t="s">
        <v>804</v>
      </c>
      <c r="AA149" s="160">
        <v>3331</v>
      </c>
      <c r="AB149" s="133">
        <v>103433</v>
      </c>
      <c r="AC149" s="133" t="s">
        <v>772</v>
      </c>
      <c r="AD149" s="133" t="s">
        <v>773</v>
      </c>
      <c r="AE149" s="159" t="s">
        <v>538</v>
      </c>
    </row>
    <row r="150" spans="1:31">
      <c r="A150" t="s">
        <v>925</v>
      </c>
      <c r="B150" s="72">
        <v>3382</v>
      </c>
      <c r="C150" t="s">
        <v>874</v>
      </c>
      <c r="AA150" s="160">
        <v>3406</v>
      </c>
      <c r="AB150" s="133">
        <v>103476</v>
      </c>
      <c r="AC150" s="133" t="s">
        <v>920</v>
      </c>
      <c r="AD150" s="133" t="s">
        <v>921</v>
      </c>
      <c r="AE150" s="159" t="s">
        <v>538</v>
      </c>
    </row>
    <row r="151" spans="1:31">
      <c r="A151" t="s">
        <v>795</v>
      </c>
      <c r="B151" s="72">
        <v>3344</v>
      </c>
      <c r="C151" t="s">
        <v>806</v>
      </c>
      <c r="AA151" s="160">
        <v>3386</v>
      </c>
      <c r="AB151" s="133">
        <v>103470</v>
      </c>
      <c r="AC151" s="133" t="s">
        <v>774</v>
      </c>
      <c r="AD151" s="133" t="s">
        <v>775</v>
      </c>
      <c r="AE151" s="159" t="s">
        <v>538</v>
      </c>
    </row>
    <row r="152" spans="1:31">
      <c r="A152" t="s">
        <v>797</v>
      </c>
      <c r="B152" s="72">
        <v>3025</v>
      </c>
      <c r="C152" t="s">
        <v>808</v>
      </c>
      <c r="AA152" s="160">
        <v>3363</v>
      </c>
      <c r="AB152" s="133">
        <v>103455</v>
      </c>
      <c r="AC152" s="133" t="s">
        <v>776</v>
      </c>
      <c r="AD152" s="133" t="s">
        <v>777</v>
      </c>
      <c r="AE152" s="159" t="s">
        <v>538</v>
      </c>
    </row>
    <row r="153" spans="1:31">
      <c r="A153" t="s">
        <v>799</v>
      </c>
      <c r="B153" s="72">
        <v>3016</v>
      </c>
      <c r="C153" t="s">
        <v>810</v>
      </c>
      <c r="AA153" s="160">
        <v>3355</v>
      </c>
      <c r="AB153" s="133">
        <v>103447</v>
      </c>
      <c r="AC153" s="133" t="s">
        <v>778</v>
      </c>
      <c r="AD153" s="133" t="s">
        <v>779</v>
      </c>
      <c r="AE153" s="159" t="s">
        <v>538</v>
      </c>
    </row>
    <row r="154" spans="1:31">
      <c r="A154" t="s">
        <v>927</v>
      </c>
      <c r="B154" s="72">
        <v>3346</v>
      </c>
      <c r="C154" t="s">
        <v>878</v>
      </c>
      <c r="AA154" s="160">
        <v>3342</v>
      </c>
      <c r="AB154" s="133">
        <v>103437</v>
      </c>
      <c r="AC154" s="133" t="s">
        <v>922</v>
      </c>
      <c r="AD154" s="133" t="s">
        <v>923</v>
      </c>
      <c r="AE154" s="159" t="s">
        <v>538</v>
      </c>
    </row>
    <row r="155" spans="1:31">
      <c r="A155" t="s">
        <v>801</v>
      </c>
      <c r="B155" s="72">
        <v>4606</v>
      </c>
      <c r="C155" t="s">
        <v>812</v>
      </c>
      <c r="AA155" s="160">
        <v>3367</v>
      </c>
      <c r="AB155" s="133">
        <v>103458</v>
      </c>
      <c r="AC155" s="133" t="s">
        <v>780</v>
      </c>
      <c r="AD155" s="133" t="s">
        <v>781</v>
      </c>
      <c r="AE155" s="159" t="s">
        <v>538</v>
      </c>
    </row>
    <row r="156" spans="1:31">
      <c r="A156" t="s">
        <v>803</v>
      </c>
      <c r="B156" s="72">
        <v>3428</v>
      </c>
      <c r="C156" t="s">
        <v>816</v>
      </c>
      <c r="AA156" s="160">
        <v>3010</v>
      </c>
      <c r="AB156" s="133">
        <v>103401</v>
      </c>
      <c r="AC156" s="133" t="s">
        <v>782</v>
      </c>
      <c r="AD156" s="133" t="s">
        <v>783</v>
      </c>
      <c r="AE156" s="159" t="s">
        <v>538</v>
      </c>
    </row>
    <row r="157" spans="1:31" ht="43.2">
      <c r="A157" t="s">
        <v>805</v>
      </c>
      <c r="B157" s="72">
        <v>3019</v>
      </c>
      <c r="C157" t="s">
        <v>818</v>
      </c>
      <c r="AA157" s="160">
        <v>4625</v>
      </c>
      <c r="AB157" s="133">
        <v>103534</v>
      </c>
      <c r="AC157" s="133" t="s">
        <v>784</v>
      </c>
      <c r="AD157" s="133" t="s">
        <v>785</v>
      </c>
      <c r="AE157" s="159" t="s">
        <v>564</v>
      </c>
    </row>
    <row r="158" spans="1:31">
      <c r="A158" t="s">
        <v>931</v>
      </c>
      <c r="B158" s="72">
        <v>1009</v>
      </c>
      <c r="C158" t="s">
        <v>886</v>
      </c>
      <c r="AA158" s="160">
        <v>3377</v>
      </c>
      <c r="AB158" s="133">
        <v>103463</v>
      </c>
      <c r="AC158" s="133" t="s">
        <v>786</v>
      </c>
      <c r="AD158" s="133" t="s">
        <v>787</v>
      </c>
      <c r="AE158" s="159" t="s">
        <v>538</v>
      </c>
    </row>
    <row r="159" spans="1:31">
      <c r="A159" t="s">
        <v>807</v>
      </c>
      <c r="B159" s="72">
        <v>2178</v>
      </c>
      <c r="C159" t="s">
        <v>820</v>
      </c>
      <c r="AA159" s="160">
        <v>3371</v>
      </c>
      <c r="AB159" s="133">
        <v>103459</v>
      </c>
      <c r="AC159" s="133" t="s">
        <v>788</v>
      </c>
      <c r="AD159" s="133" t="s">
        <v>789</v>
      </c>
      <c r="AE159" s="159" t="s">
        <v>538</v>
      </c>
    </row>
    <row r="160" spans="1:31">
      <c r="A160" t="s">
        <v>809</v>
      </c>
      <c r="B160" s="72">
        <v>2184</v>
      </c>
      <c r="C160" t="s">
        <v>822</v>
      </c>
      <c r="AA160" s="160">
        <v>3307</v>
      </c>
      <c r="AB160" s="133">
        <v>103416</v>
      </c>
      <c r="AC160" s="133" t="s">
        <v>790</v>
      </c>
      <c r="AD160" s="133" t="s">
        <v>791</v>
      </c>
      <c r="AE160" s="159" t="s">
        <v>538</v>
      </c>
    </row>
    <row r="161" spans="1:31">
      <c r="A161" t="s">
        <v>811</v>
      </c>
      <c r="B161" s="72">
        <v>2190</v>
      </c>
      <c r="C161" t="s">
        <v>824</v>
      </c>
      <c r="AA161" s="160">
        <v>3361</v>
      </c>
      <c r="AB161" s="133">
        <v>103453</v>
      </c>
      <c r="AC161" s="133" t="s">
        <v>792</v>
      </c>
      <c r="AD161" s="133" t="s">
        <v>793</v>
      </c>
      <c r="AE161" s="159" t="s">
        <v>538</v>
      </c>
    </row>
    <row r="162" spans="1:31">
      <c r="A162" t="s">
        <v>813</v>
      </c>
      <c r="B162" s="72">
        <v>7035</v>
      </c>
      <c r="C162" t="s">
        <v>826</v>
      </c>
      <c r="AA162" s="160">
        <v>3382</v>
      </c>
      <c r="AB162" s="133">
        <v>103467</v>
      </c>
      <c r="AC162" s="133" t="s">
        <v>924</v>
      </c>
      <c r="AD162" s="133" t="s">
        <v>925</v>
      </c>
      <c r="AE162" s="159" t="s">
        <v>538</v>
      </c>
    </row>
    <row r="163" spans="1:31">
      <c r="A163" t="s">
        <v>817</v>
      </c>
      <c r="B163" s="72">
        <v>7045</v>
      </c>
      <c r="C163" t="s">
        <v>828</v>
      </c>
      <c r="AA163" s="160">
        <v>3344</v>
      </c>
      <c r="AB163" s="133">
        <v>103438</v>
      </c>
      <c r="AC163" s="133" t="s">
        <v>794</v>
      </c>
      <c r="AD163" s="133" t="s">
        <v>795</v>
      </c>
      <c r="AE163" s="159" t="s">
        <v>538</v>
      </c>
    </row>
    <row r="164" spans="1:31">
      <c r="A164" t="s">
        <v>819</v>
      </c>
      <c r="B164" s="72">
        <v>2192</v>
      </c>
      <c r="C164" t="s">
        <v>830</v>
      </c>
      <c r="AA164" s="160">
        <v>3025</v>
      </c>
      <c r="AB164" s="133">
        <v>103410</v>
      </c>
      <c r="AC164" s="133" t="s">
        <v>796</v>
      </c>
      <c r="AD164" s="133" t="s">
        <v>797</v>
      </c>
      <c r="AE164" s="159" t="s">
        <v>538</v>
      </c>
    </row>
    <row r="165" spans="1:31">
      <c r="A165" t="s">
        <v>821</v>
      </c>
      <c r="B165" s="72">
        <v>7014</v>
      </c>
      <c r="C165" t="s">
        <v>832</v>
      </c>
      <c r="AA165" s="160">
        <v>3016</v>
      </c>
      <c r="AB165" s="133">
        <v>103404</v>
      </c>
      <c r="AC165" s="133" t="s">
        <v>798</v>
      </c>
      <c r="AD165" s="133" t="s">
        <v>799</v>
      </c>
      <c r="AE165" s="159" t="s">
        <v>538</v>
      </c>
    </row>
    <row r="166" spans="1:31">
      <c r="A166" t="s">
        <v>823</v>
      </c>
      <c r="B166" s="72">
        <v>7009</v>
      </c>
      <c r="C166" t="s">
        <v>834</v>
      </c>
      <c r="AA166" s="160">
        <v>3346</v>
      </c>
      <c r="AB166" s="133">
        <v>103439</v>
      </c>
      <c r="AC166" s="133" t="s">
        <v>926</v>
      </c>
      <c r="AD166" s="133" t="s">
        <v>927</v>
      </c>
      <c r="AE166" s="159" t="s">
        <v>538</v>
      </c>
    </row>
    <row r="167" spans="1:31" ht="43.2">
      <c r="A167" t="s">
        <v>825</v>
      </c>
      <c r="B167" s="72">
        <v>5203</v>
      </c>
      <c r="C167" t="s">
        <v>836</v>
      </c>
      <c r="AA167" s="160">
        <v>4606</v>
      </c>
      <c r="AB167" s="133">
        <v>103531</v>
      </c>
      <c r="AC167" s="133" t="s">
        <v>800</v>
      </c>
      <c r="AD167" s="133" t="s">
        <v>801</v>
      </c>
      <c r="AE167" s="159" t="s">
        <v>564</v>
      </c>
    </row>
    <row r="168" spans="1:31">
      <c r="A168" t="s">
        <v>827</v>
      </c>
      <c r="B168" s="72">
        <v>5202</v>
      </c>
      <c r="C168" t="s">
        <v>838</v>
      </c>
      <c r="AA168" s="160">
        <v>3385</v>
      </c>
      <c r="AB168" s="133">
        <v>103469</v>
      </c>
      <c r="AC168" s="133" t="s">
        <v>1264</v>
      </c>
      <c r="AD168" s="133" t="s">
        <v>1265</v>
      </c>
      <c r="AE168" s="159" t="s">
        <v>538</v>
      </c>
    </row>
    <row r="169" spans="1:31">
      <c r="A169" t="s">
        <v>829</v>
      </c>
      <c r="B169" s="72">
        <v>2108</v>
      </c>
      <c r="C169" t="s">
        <v>840</v>
      </c>
      <c r="AA169" s="160">
        <v>3428</v>
      </c>
      <c r="AB169" s="133">
        <v>134476</v>
      </c>
      <c r="AC169" s="133" t="s">
        <v>802</v>
      </c>
      <c r="AD169" s="133" t="s">
        <v>803</v>
      </c>
      <c r="AE169" s="159" t="s">
        <v>538</v>
      </c>
    </row>
    <row r="170" spans="1:31">
      <c r="A170" t="s">
        <v>873</v>
      </c>
      <c r="B170" s="72">
        <v>1019</v>
      </c>
      <c r="C170" t="s">
        <v>914</v>
      </c>
      <c r="AA170" s="160">
        <v>3019</v>
      </c>
      <c r="AB170" s="133">
        <v>103406</v>
      </c>
      <c r="AC170" s="133" t="s">
        <v>804</v>
      </c>
      <c r="AD170" s="133" t="s">
        <v>805</v>
      </c>
      <c r="AE170" s="159" t="s">
        <v>538</v>
      </c>
    </row>
    <row r="171" spans="1:31">
      <c r="A171" t="s">
        <v>831</v>
      </c>
      <c r="B171" s="72">
        <v>2306</v>
      </c>
      <c r="C171" t="s">
        <v>842</v>
      </c>
      <c r="AA171" s="160">
        <v>3365</v>
      </c>
      <c r="AB171" s="133">
        <v>103456</v>
      </c>
      <c r="AC171" s="133" t="s">
        <v>928</v>
      </c>
      <c r="AD171" s="133" t="s">
        <v>929</v>
      </c>
      <c r="AE171" s="159" t="s">
        <v>538</v>
      </c>
    </row>
    <row r="172" spans="1:31">
      <c r="A172" t="s">
        <v>833</v>
      </c>
      <c r="B172" s="72">
        <v>2308</v>
      </c>
      <c r="C172" t="s">
        <v>844</v>
      </c>
      <c r="AA172" s="160">
        <v>1009</v>
      </c>
      <c r="AB172" s="133">
        <v>103124</v>
      </c>
      <c r="AC172" s="133" t="s">
        <v>930</v>
      </c>
      <c r="AD172" s="133" t="s">
        <v>931</v>
      </c>
      <c r="AE172" s="159" t="s">
        <v>534</v>
      </c>
    </row>
    <row r="173" spans="1:31">
      <c r="A173" t="s">
        <v>835</v>
      </c>
      <c r="B173" s="72">
        <v>2245</v>
      </c>
      <c r="C173" t="s">
        <v>846</v>
      </c>
      <c r="AA173" s="160">
        <v>3310</v>
      </c>
      <c r="AB173" s="133">
        <v>103417</v>
      </c>
      <c r="AC173" s="133" t="s">
        <v>932</v>
      </c>
      <c r="AD173" s="133" t="s">
        <v>933</v>
      </c>
      <c r="AE173" s="159" t="s">
        <v>538</v>
      </c>
    </row>
    <row r="174" spans="1:31">
      <c r="A174" t="s">
        <v>937</v>
      </c>
      <c r="B174" s="72">
        <v>1020</v>
      </c>
      <c r="C174" t="s">
        <v>814</v>
      </c>
      <c r="AA174" s="160">
        <v>2178</v>
      </c>
      <c r="AB174" s="133">
        <v>103257</v>
      </c>
      <c r="AC174" s="133" t="s">
        <v>806</v>
      </c>
      <c r="AD174" s="133" t="s">
        <v>807</v>
      </c>
      <c r="AE174" s="159" t="s">
        <v>538</v>
      </c>
    </row>
    <row r="175" spans="1:31">
      <c r="A175" t="s">
        <v>837</v>
      </c>
      <c r="B175" s="72">
        <v>1014</v>
      </c>
      <c r="C175" t="s">
        <v>850</v>
      </c>
      <c r="AA175" s="160">
        <v>2184</v>
      </c>
      <c r="AB175" s="133">
        <v>103262</v>
      </c>
      <c r="AC175" s="133" t="s">
        <v>808</v>
      </c>
      <c r="AD175" s="133" t="s">
        <v>809</v>
      </c>
      <c r="AE175" s="159" t="s">
        <v>538</v>
      </c>
    </row>
    <row r="176" spans="1:31">
      <c r="A176" t="s">
        <v>939</v>
      </c>
      <c r="B176" s="72">
        <v>2019</v>
      </c>
      <c r="C176" t="s">
        <v>816</v>
      </c>
      <c r="AA176" s="160">
        <v>2097</v>
      </c>
      <c r="AB176" s="133">
        <v>103213</v>
      </c>
      <c r="AC176" s="133" t="s">
        <v>1266</v>
      </c>
      <c r="AD176" s="133" t="s">
        <v>1267</v>
      </c>
      <c r="AE176" s="159" t="s">
        <v>538</v>
      </c>
    </row>
    <row r="177" spans="1:31">
      <c r="A177" t="s">
        <v>839</v>
      </c>
      <c r="B177" s="72">
        <v>2011</v>
      </c>
      <c r="C177" t="s">
        <v>852</v>
      </c>
      <c r="AA177" s="160">
        <v>2067</v>
      </c>
      <c r="AB177" s="133">
        <v>103196</v>
      </c>
      <c r="AC177" s="133" t="s">
        <v>1268</v>
      </c>
      <c r="AD177" s="133" t="s">
        <v>1269</v>
      </c>
      <c r="AE177" s="159" t="s">
        <v>538</v>
      </c>
    </row>
    <row r="178" spans="1:31">
      <c r="A178" t="s">
        <v>841</v>
      </c>
      <c r="B178" s="72">
        <v>4193</v>
      </c>
      <c r="C178" t="s">
        <v>854</v>
      </c>
      <c r="AA178" s="160">
        <v>2190</v>
      </c>
      <c r="AB178" s="133">
        <v>103266</v>
      </c>
      <c r="AC178" s="133" t="s">
        <v>810</v>
      </c>
      <c r="AD178" s="133" t="s">
        <v>811</v>
      </c>
      <c r="AE178" s="159" t="s">
        <v>538</v>
      </c>
    </row>
    <row r="179" spans="1:31" ht="43.2">
      <c r="A179" t="s">
        <v>843</v>
      </c>
      <c r="B179" s="72">
        <v>2478</v>
      </c>
      <c r="C179" t="s">
        <v>856</v>
      </c>
      <c r="AA179" s="160">
        <v>4237</v>
      </c>
      <c r="AB179" s="133">
        <v>103514</v>
      </c>
      <c r="AC179" s="133" t="s">
        <v>1270</v>
      </c>
      <c r="AD179" s="133" t="s">
        <v>1271</v>
      </c>
      <c r="AE179" s="159" t="s">
        <v>564</v>
      </c>
    </row>
    <row r="180" spans="1:31">
      <c r="A180" t="s">
        <v>845</v>
      </c>
      <c r="B180" s="72">
        <v>2293</v>
      </c>
      <c r="C180" t="s">
        <v>858</v>
      </c>
      <c r="AA180" s="160">
        <v>7035</v>
      </c>
      <c r="AB180" s="133">
        <v>103615</v>
      </c>
      <c r="AC180" s="133" t="s">
        <v>812</v>
      </c>
      <c r="AD180" s="133" t="s">
        <v>813</v>
      </c>
      <c r="AE180" s="159" t="s">
        <v>553</v>
      </c>
    </row>
    <row r="181" spans="1:31">
      <c r="A181" t="s">
        <v>875</v>
      </c>
      <c r="B181" s="72">
        <v>2445</v>
      </c>
      <c r="C181" t="s">
        <v>818</v>
      </c>
      <c r="AA181" s="160">
        <v>2246</v>
      </c>
      <c r="AB181" s="133">
        <v>103296</v>
      </c>
      <c r="AC181" s="133" t="s">
        <v>934</v>
      </c>
      <c r="AD181" s="133" t="s">
        <v>935</v>
      </c>
      <c r="AE181" s="159" t="s">
        <v>538</v>
      </c>
    </row>
    <row r="182" spans="1:31">
      <c r="A182" t="s">
        <v>847</v>
      </c>
      <c r="B182" s="72">
        <v>2278</v>
      </c>
      <c r="C182" t="s">
        <v>860</v>
      </c>
      <c r="AA182" s="160">
        <v>3323</v>
      </c>
      <c r="AB182" s="133">
        <v>103427</v>
      </c>
      <c r="AC182" s="133" t="s">
        <v>814</v>
      </c>
      <c r="AD182" s="133" t="s">
        <v>815</v>
      </c>
      <c r="AE182" s="159" t="s">
        <v>538</v>
      </c>
    </row>
    <row r="183" spans="1:31">
      <c r="A183" t="s">
        <v>851</v>
      </c>
      <c r="B183" s="72">
        <v>2317</v>
      </c>
      <c r="C183" t="s">
        <v>876</v>
      </c>
      <c r="AA183" s="160">
        <v>7045</v>
      </c>
      <c r="AB183" s="133">
        <v>103622</v>
      </c>
      <c r="AC183" s="133" t="s">
        <v>816</v>
      </c>
      <c r="AD183" s="133" t="s">
        <v>817</v>
      </c>
      <c r="AE183" s="159" t="s">
        <v>553</v>
      </c>
    </row>
    <row r="184" spans="1:31">
      <c r="A184" t="s">
        <v>853</v>
      </c>
      <c r="B184" s="72">
        <v>2225</v>
      </c>
      <c r="C184" t="s">
        <v>880</v>
      </c>
      <c r="AA184" s="160">
        <v>2192</v>
      </c>
      <c r="AB184" s="133">
        <v>103268</v>
      </c>
      <c r="AC184" s="133" t="s">
        <v>818</v>
      </c>
      <c r="AD184" s="133" t="s">
        <v>819</v>
      </c>
      <c r="AE184" s="159" t="s">
        <v>538</v>
      </c>
    </row>
    <row r="185" spans="1:31">
      <c r="A185" t="s">
        <v>855</v>
      </c>
      <c r="B185" s="72">
        <v>2412</v>
      </c>
      <c r="C185" t="s">
        <v>882</v>
      </c>
      <c r="AA185" s="160">
        <v>7014</v>
      </c>
      <c r="AB185" s="133">
        <v>103605</v>
      </c>
      <c r="AC185" s="133" t="s">
        <v>820</v>
      </c>
      <c r="AD185" s="133" t="s">
        <v>821</v>
      </c>
      <c r="AE185" s="159" t="s">
        <v>553</v>
      </c>
    </row>
    <row r="186" spans="1:31">
      <c r="A186" t="s">
        <v>857</v>
      </c>
      <c r="B186" s="72">
        <v>3421</v>
      </c>
      <c r="C186" t="s">
        <v>862</v>
      </c>
      <c r="AA186" s="160">
        <v>7009</v>
      </c>
      <c r="AB186" s="133">
        <v>103601</v>
      </c>
      <c r="AC186" s="133" t="s">
        <v>822</v>
      </c>
      <c r="AD186" s="133" t="s">
        <v>823</v>
      </c>
      <c r="AE186" s="159" t="s">
        <v>553</v>
      </c>
    </row>
    <row r="187" spans="1:31">
      <c r="A187" t="s">
        <v>859</v>
      </c>
      <c r="B187" s="72">
        <v>2227</v>
      </c>
      <c r="C187" t="s">
        <v>864</v>
      </c>
      <c r="AA187" s="160">
        <v>5203</v>
      </c>
      <c r="AB187" s="133">
        <v>103544</v>
      </c>
      <c r="AC187" s="133" t="s">
        <v>824</v>
      </c>
      <c r="AD187" s="133" t="s">
        <v>825</v>
      </c>
      <c r="AE187" s="159" t="s">
        <v>538</v>
      </c>
    </row>
    <row r="188" spans="1:31">
      <c r="A188" t="s">
        <v>861</v>
      </c>
      <c r="B188" s="72">
        <v>2231</v>
      </c>
      <c r="C188" t="s">
        <v>884</v>
      </c>
      <c r="AA188" s="160">
        <v>5202</v>
      </c>
      <c r="AB188" s="133">
        <v>103543</v>
      </c>
      <c r="AC188" s="133" t="s">
        <v>826</v>
      </c>
      <c r="AD188" s="133" t="s">
        <v>827</v>
      </c>
      <c r="AE188" s="159" t="s">
        <v>538</v>
      </c>
    </row>
    <row r="189" spans="1:31">
      <c r="AA189" s="160">
        <v>2108</v>
      </c>
      <c r="AB189" s="133">
        <v>103217</v>
      </c>
      <c r="AC189" s="133" t="s">
        <v>828</v>
      </c>
      <c r="AD189" s="133" t="s">
        <v>829</v>
      </c>
      <c r="AE189" s="159" t="s">
        <v>538</v>
      </c>
    </row>
    <row r="190" spans="1:31">
      <c r="AA190" s="160">
        <v>1019</v>
      </c>
      <c r="AB190" s="133">
        <v>103132</v>
      </c>
      <c r="AC190" s="133" t="s">
        <v>872</v>
      </c>
      <c r="AD190" s="133" t="s">
        <v>873</v>
      </c>
      <c r="AE190" s="159" t="s">
        <v>534</v>
      </c>
    </row>
    <row r="191" spans="1:31">
      <c r="AA191" s="160">
        <v>2306</v>
      </c>
      <c r="AB191" s="133">
        <v>103326</v>
      </c>
      <c r="AC191" s="133" t="s">
        <v>830</v>
      </c>
      <c r="AD191" s="133" t="s">
        <v>831</v>
      </c>
      <c r="AE191" s="159" t="s">
        <v>538</v>
      </c>
    </row>
    <row r="192" spans="1:31">
      <c r="AA192" s="160">
        <v>2482</v>
      </c>
      <c r="AB192" s="133">
        <v>132201</v>
      </c>
      <c r="AC192" s="133" t="s">
        <v>1272</v>
      </c>
      <c r="AD192" s="133" t="s">
        <v>1273</v>
      </c>
      <c r="AE192" s="159" t="s">
        <v>538</v>
      </c>
    </row>
    <row r="193" spans="27:31">
      <c r="AA193" s="160">
        <v>2308</v>
      </c>
      <c r="AB193" s="133">
        <v>103328</v>
      </c>
      <c r="AC193" s="133" t="s">
        <v>832</v>
      </c>
      <c r="AD193" s="133" t="s">
        <v>833</v>
      </c>
      <c r="AE193" s="159" t="s">
        <v>538</v>
      </c>
    </row>
    <row r="194" spans="27:31">
      <c r="AA194" s="160">
        <v>2245</v>
      </c>
      <c r="AB194" s="133">
        <v>103295</v>
      </c>
      <c r="AC194" s="133" t="s">
        <v>834</v>
      </c>
      <c r="AD194" s="133" t="s">
        <v>835</v>
      </c>
      <c r="AE194" s="159" t="s">
        <v>538</v>
      </c>
    </row>
    <row r="195" spans="27:31">
      <c r="AA195" s="160">
        <v>1020</v>
      </c>
      <c r="AB195" s="133">
        <v>103133</v>
      </c>
      <c r="AC195" s="133" t="s">
        <v>936</v>
      </c>
      <c r="AD195" s="133" t="s">
        <v>937</v>
      </c>
      <c r="AE195" s="159" t="s">
        <v>534</v>
      </c>
    </row>
    <row r="196" spans="27:31">
      <c r="AA196" s="160">
        <v>1014</v>
      </c>
      <c r="AB196" s="133">
        <v>103127</v>
      </c>
      <c r="AC196" s="133" t="s">
        <v>836</v>
      </c>
      <c r="AD196" s="133" t="s">
        <v>837</v>
      </c>
      <c r="AE196" s="159" t="s">
        <v>534</v>
      </c>
    </row>
    <row r="197" spans="27:31">
      <c r="AA197" s="160">
        <v>2019</v>
      </c>
      <c r="AB197" s="133">
        <v>134279</v>
      </c>
      <c r="AC197" s="133" t="s">
        <v>938</v>
      </c>
      <c r="AD197" s="133" t="s">
        <v>939</v>
      </c>
      <c r="AE197" s="159" t="s">
        <v>538</v>
      </c>
    </row>
    <row r="198" spans="27:31">
      <c r="AA198" s="160">
        <v>2011</v>
      </c>
      <c r="AB198" s="133">
        <v>134099</v>
      </c>
      <c r="AC198" s="133" t="s">
        <v>838</v>
      </c>
      <c r="AD198" s="133" t="s">
        <v>839</v>
      </c>
      <c r="AE198" s="159" t="s">
        <v>538</v>
      </c>
    </row>
    <row r="199" spans="27:31" ht="43.2">
      <c r="AA199" s="160">
        <v>4193</v>
      </c>
      <c r="AB199" s="133">
        <v>103501</v>
      </c>
      <c r="AC199" s="133" t="s">
        <v>840</v>
      </c>
      <c r="AD199" s="133" t="s">
        <v>841</v>
      </c>
      <c r="AE199" s="159" t="s">
        <v>564</v>
      </c>
    </row>
    <row r="200" spans="27:31">
      <c r="AA200" s="160">
        <v>2478</v>
      </c>
      <c r="AB200" s="133">
        <v>132007</v>
      </c>
      <c r="AC200" s="133" t="s">
        <v>842</v>
      </c>
      <c r="AD200" s="133" t="s">
        <v>843</v>
      </c>
      <c r="AE200" s="159" t="s">
        <v>538</v>
      </c>
    </row>
    <row r="201" spans="27:31">
      <c r="AA201" s="160">
        <v>2293</v>
      </c>
      <c r="AB201" s="133">
        <v>103317</v>
      </c>
      <c r="AC201" s="133" t="s">
        <v>844</v>
      </c>
      <c r="AD201" s="133" t="s">
        <v>845</v>
      </c>
      <c r="AE201" s="159" t="s">
        <v>538</v>
      </c>
    </row>
    <row r="202" spans="27:31">
      <c r="AA202" s="160">
        <v>2445</v>
      </c>
      <c r="AB202" s="133">
        <v>103372</v>
      </c>
      <c r="AC202" s="133" t="s">
        <v>874</v>
      </c>
      <c r="AD202" s="133" t="s">
        <v>875</v>
      </c>
      <c r="AE202" s="159" t="s">
        <v>538</v>
      </c>
    </row>
    <row r="203" spans="27:31">
      <c r="AA203" s="160">
        <v>2278</v>
      </c>
      <c r="AB203" s="133">
        <v>103310</v>
      </c>
      <c r="AC203" s="133" t="s">
        <v>846</v>
      </c>
      <c r="AD203" s="133" t="s">
        <v>847</v>
      </c>
      <c r="AE203" s="159" t="s">
        <v>538</v>
      </c>
    </row>
    <row r="204" spans="27:31">
      <c r="AA204" s="160">
        <v>2314</v>
      </c>
      <c r="AB204" s="133">
        <v>103334</v>
      </c>
      <c r="AC204" s="133" t="s">
        <v>848</v>
      </c>
      <c r="AD204" s="133" t="s">
        <v>849</v>
      </c>
      <c r="AE204" s="159" t="s">
        <v>538</v>
      </c>
    </row>
    <row r="205" spans="27:31">
      <c r="AA205" s="160">
        <v>2317</v>
      </c>
      <c r="AB205" s="133">
        <v>103337</v>
      </c>
      <c r="AC205" s="133" t="s">
        <v>850</v>
      </c>
      <c r="AD205" s="133" t="s">
        <v>851</v>
      </c>
      <c r="AE205" s="159" t="s">
        <v>538</v>
      </c>
    </row>
    <row r="206" spans="27:31">
      <c r="AA206" s="160">
        <v>2225</v>
      </c>
      <c r="AB206" s="133">
        <v>103279</v>
      </c>
      <c r="AC206" s="133" t="s">
        <v>852</v>
      </c>
      <c r="AD206" s="133" t="s">
        <v>853</v>
      </c>
      <c r="AE206" s="159" t="s">
        <v>538</v>
      </c>
    </row>
    <row r="207" spans="27:31">
      <c r="AA207" s="160">
        <v>2412</v>
      </c>
      <c r="AB207" s="133">
        <v>103349</v>
      </c>
      <c r="AC207" s="133" t="s">
        <v>854</v>
      </c>
      <c r="AD207" s="133" t="s">
        <v>855</v>
      </c>
      <c r="AE207" s="159" t="s">
        <v>538</v>
      </c>
    </row>
    <row r="208" spans="27:31">
      <c r="AA208" s="160">
        <v>3421</v>
      </c>
      <c r="AB208" s="133">
        <v>133996</v>
      </c>
      <c r="AC208" s="133" t="s">
        <v>856</v>
      </c>
      <c r="AD208" s="133" t="s">
        <v>857</v>
      </c>
      <c r="AE208" s="159" t="s">
        <v>538</v>
      </c>
    </row>
    <row r="209" spans="27:31">
      <c r="AA209" s="160">
        <v>2227</v>
      </c>
      <c r="AB209" s="133">
        <v>103281</v>
      </c>
      <c r="AC209" s="133" t="s">
        <v>858</v>
      </c>
      <c r="AD209" s="133" t="s">
        <v>859</v>
      </c>
      <c r="AE209" s="159" t="s">
        <v>538</v>
      </c>
    </row>
    <row r="210" spans="27:31">
      <c r="AA210" s="160">
        <v>2231</v>
      </c>
      <c r="AB210" s="133">
        <v>103284</v>
      </c>
      <c r="AC210" s="133" t="s">
        <v>860</v>
      </c>
      <c r="AD210" s="133" t="s">
        <v>861</v>
      </c>
      <c r="AE210" s="159" t="s">
        <v>538</v>
      </c>
    </row>
  </sheetData>
  <conditionalFormatting sqref="AA1:AE2 AE3:AE210">
    <cfRule type="cellIs" dxfId="104" priority="1" operator="lessThan">
      <formula>0</formula>
    </cfRule>
  </conditionalFormatting>
  <pageMargins left="0.7" right="0.7" top="0.75" bottom="0.75" header="0.3" footer="0.3"/>
  <headerFooter>
    <oddFooter>&amp;C_x000D_&amp;1#&amp;"Calibri"&amp;10&amp;K000000 OFFICIAL</oddFooter>
  </headerFooter>
  <tableParts count="5">
    <tablePart r:id="rId1"/>
    <tablePart r:id="rId2"/>
    <tablePart r:id="rId3"/>
    <tablePart r:id="rId4"/>
    <tablePart r:id="rId5"/>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Z216"/>
  <sheetViews>
    <sheetView topLeftCell="J184" workbookViewId="0">
      <selection activeCell="B8" sqref="B8:B207"/>
    </sheetView>
  </sheetViews>
  <sheetFormatPr defaultRowHeight="15.6"/>
  <cols>
    <col min="1" max="1" width="14.44140625" style="556" customWidth="1"/>
    <col min="2" max="2" width="55.88671875" style="97" bestFit="1" customWidth="1"/>
    <col min="3" max="3" width="14.44140625" style="556" customWidth="1"/>
    <col min="4" max="4" width="35" customWidth="1"/>
    <col min="5" max="5" width="16.5546875" customWidth="1"/>
    <col min="6" max="6" width="14.5546875" customWidth="1"/>
    <col min="7" max="7" width="12.109375" customWidth="1"/>
    <col min="8" max="8" width="15.44140625" customWidth="1"/>
    <col min="9" max="15" width="13.5546875" customWidth="1"/>
    <col min="16" max="16" width="16.5546875" customWidth="1"/>
    <col min="17" max="23" width="13.5546875" customWidth="1"/>
    <col min="24" max="24" width="16.109375" customWidth="1"/>
    <col min="25" max="25" width="17.6640625" bestFit="1" customWidth="1"/>
    <col min="26" max="26" width="15.88671875" customWidth="1"/>
    <col min="27" max="27" width="17.33203125" bestFit="1" customWidth="1"/>
    <col min="28" max="28" width="18.44140625" bestFit="1" customWidth="1"/>
    <col min="29" max="29" width="15" bestFit="1" customWidth="1"/>
    <col min="30" max="30" width="18.6640625" bestFit="1" customWidth="1"/>
    <col min="31" max="31" width="18.5546875" bestFit="1" customWidth="1"/>
    <col min="32" max="32" width="18.44140625" bestFit="1" customWidth="1"/>
    <col min="33" max="33" width="15.44140625" bestFit="1" customWidth="1"/>
    <col min="34" max="34" width="18.109375" bestFit="1" customWidth="1"/>
    <col min="35" max="35" width="15.44140625" bestFit="1" customWidth="1"/>
    <col min="36" max="36" width="17.88671875" bestFit="1" customWidth="1"/>
    <col min="37" max="38" width="18.44140625" bestFit="1" customWidth="1"/>
    <col min="39" max="39" width="18.33203125" bestFit="1" customWidth="1"/>
    <col min="40" max="40" width="16.109375" bestFit="1" customWidth="1"/>
    <col min="41" max="41" width="15" bestFit="1" customWidth="1"/>
    <col min="42" max="42" width="13.88671875" bestFit="1" customWidth="1"/>
    <col min="43" max="43" width="16.88671875" bestFit="1" customWidth="1"/>
    <col min="44" max="44" width="16.44140625" bestFit="1" customWidth="1"/>
    <col min="45" max="46" width="15.44140625" bestFit="1" customWidth="1"/>
    <col min="47" max="47" width="18.6640625" bestFit="1" customWidth="1"/>
    <col min="48" max="48" width="15.5546875" bestFit="1" customWidth="1"/>
    <col min="49" max="49" width="13.88671875" bestFit="1" customWidth="1"/>
    <col min="50" max="51" width="15" bestFit="1" customWidth="1"/>
    <col min="52" max="52" width="17.6640625" bestFit="1" customWidth="1"/>
    <col min="53" max="53" width="18.33203125" bestFit="1" customWidth="1"/>
    <col min="54" max="54" width="16.88671875" bestFit="1" customWidth="1"/>
    <col min="55" max="55" width="18.5546875" bestFit="1" customWidth="1"/>
    <col min="56" max="56" width="18.109375" bestFit="1" customWidth="1"/>
    <col min="57" max="57" width="16.88671875" bestFit="1" customWidth="1"/>
    <col min="58" max="58" width="15" bestFit="1" customWidth="1"/>
    <col min="59" max="59" width="18.5546875" bestFit="1" customWidth="1"/>
    <col min="60" max="60" width="15" bestFit="1" customWidth="1"/>
    <col min="61" max="61" width="13.88671875" bestFit="1" customWidth="1"/>
    <col min="62" max="62" width="18.6640625" bestFit="1" customWidth="1"/>
    <col min="63" max="63" width="14.6640625" bestFit="1" customWidth="1"/>
    <col min="64" max="64" width="13.88671875" bestFit="1" customWidth="1"/>
    <col min="65" max="65" width="16.88671875" bestFit="1" customWidth="1"/>
    <col min="66" max="66" width="18.33203125" bestFit="1" customWidth="1"/>
    <col min="67" max="67" width="16.44140625" bestFit="1" customWidth="1"/>
    <col min="68" max="68" width="15.88671875" bestFit="1" customWidth="1"/>
    <col min="69" max="69" width="15.44140625" bestFit="1" customWidth="1"/>
    <col min="70" max="70" width="14.109375" bestFit="1" customWidth="1"/>
    <col min="71" max="71" width="18.88671875" bestFit="1" customWidth="1"/>
    <col min="72" max="72" width="13.88671875" bestFit="1" customWidth="1"/>
    <col min="73" max="74" width="15.88671875" bestFit="1" customWidth="1"/>
    <col min="75" max="75" width="15.44140625" bestFit="1" customWidth="1"/>
    <col min="76" max="76" width="13.5546875" bestFit="1" customWidth="1"/>
    <col min="77" max="77" width="17.6640625" bestFit="1" customWidth="1"/>
    <col min="78" max="78" width="14.6640625" bestFit="1" customWidth="1"/>
    <col min="79" max="79" width="17" bestFit="1" customWidth="1"/>
    <col min="80" max="80" width="13.5546875" bestFit="1" customWidth="1"/>
    <col min="81" max="81" width="14" bestFit="1" customWidth="1"/>
    <col min="82" max="82" width="16.44140625" bestFit="1" customWidth="1"/>
    <col min="83" max="83" width="22.88671875" bestFit="1" customWidth="1"/>
    <col min="84" max="84" width="20.5546875" bestFit="1" customWidth="1"/>
    <col min="85" max="85" width="18.5546875" bestFit="1" customWidth="1"/>
    <col min="86" max="86" width="17" bestFit="1" customWidth="1"/>
    <col min="87" max="87" width="21" bestFit="1" customWidth="1"/>
    <col min="88" max="88" width="18.5546875" bestFit="1" customWidth="1"/>
    <col min="89" max="89" width="17.88671875" bestFit="1" customWidth="1"/>
    <col min="90" max="90" width="16.6640625" bestFit="1" customWidth="1"/>
    <col min="91" max="91" width="19.33203125" bestFit="1" customWidth="1"/>
    <col min="92" max="92" width="18.44140625" bestFit="1" customWidth="1"/>
    <col min="93" max="94" width="19.109375" bestFit="1" customWidth="1"/>
    <col min="95" max="95" width="20.44140625" bestFit="1" customWidth="1"/>
    <col min="96" max="96" width="19.5546875" bestFit="1" customWidth="1"/>
    <col min="97" max="97" width="19.33203125" bestFit="1" customWidth="1"/>
    <col min="98" max="98" width="18.6640625" bestFit="1" customWidth="1"/>
    <col min="99" max="99" width="17.33203125" bestFit="1" customWidth="1"/>
    <col min="100" max="100" width="16.6640625" bestFit="1" customWidth="1"/>
    <col min="101" max="101" width="18.6640625" bestFit="1" customWidth="1"/>
    <col min="102" max="102" width="23.33203125" bestFit="1" customWidth="1"/>
    <col min="103" max="103" width="19" bestFit="1" customWidth="1"/>
    <col min="104" max="104" width="21.33203125" bestFit="1" customWidth="1"/>
    <col min="105" max="106" width="18.109375" bestFit="1" customWidth="1"/>
    <col min="107" max="107" width="22.44140625" bestFit="1" customWidth="1"/>
    <col min="108" max="108" width="17.6640625" bestFit="1" customWidth="1"/>
    <col min="109" max="109" width="18.5546875" bestFit="1" customWidth="1"/>
    <col min="110" max="110" width="18.109375" bestFit="1" customWidth="1"/>
    <col min="111" max="111" width="14.6640625" bestFit="1" customWidth="1"/>
    <col min="112" max="112" width="13.88671875" bestFit="1" customWidth="1"/>
    <col min="113" max="113" width="18.5546875" bestFit="1" customWidth="1"/>
    <col min="114" max="114" width="15.44140625" bestFit="1" customWidth="1"/>
    <col min="115" max="115" width="14.5546875" bestFit="1" customWidth="1"/>
    <col min="116" max="116" width="22.44140625" bestFit="1" customWidth="1"/>
    <col min="117" max="117" width="17.6640625" bestFit="1" customWidth="1"/>
    <col min="118" max="118" width="23.5546875" bestFit="1" customWidth="1"/>
    <col min="119" max="119" width="14.6640625" customWidth="1"/>
    <col min="120" max="120" width="12.5546875" customWidth="1"/>
    <col min="121" max="121" width="18.6640625" customWidth="1"/>
    <col min="122" max="123" width="15.44140625" bestFit="1" customWidth="1"/>
    <col min="124" max="124" width="14.109375" bestFit="1" customWidth="1"/>
    <col min="125" max="126" width="13.88671875" customWidth="1"/>
    <col min="127" max="127" width="16.88671875" bestFit="1" customWidth="1"/>
  </cols>
  <sheetData>
    <row r="1" spans="1:130">
      <c r="A1" s="504" t="s">
        <v>1274</v>
      </c>
      <c r="B1" s="96"/>
      <c r="C1" s="504" t="s">
        <v>1274</v>
      </c>
      <c r="D1" s="96"/>
      <c r="E1" s="97"/>
      <c r="F1" s="97"/>
      <c r="G1" s="97"/>
      <c r="H1" s="97"/>
      <c r="I1" s="97"/>
      <c r="J1" s="97"/>
      <c r="K1" s="97"/>
      <c r="L1" s="97"/>
      <c r="M1" s="97"/>
      <c r="N1" s="97"/>
      <c r="O1" s="97"/>
      <c r="P1" s="97"/>
      <c r="Q1" s="97"/>
      <c r="R1" s="97"/>
      <c r="S1" s="97"/>
      <c r="T1" s="97"/>
      <c r="U1" s="97"/>
      <c r="V1" s="97"/>
      <c r="W1" s="97"/>
      <c r="X1" s="97"/>
      <c r="Y1" s="97"/>
      <c r="Z1" s="97"/>
      <c r="AA1" s="97"/>
      <c r="AB1" s="97"/>
      <c r="AC1" s="97"/>
      <c r="AD1" s="97"/>
      <c r="AE1" s="97"/>
      <c r="AF1" s="97"/>
      <c r="AG1" s="97"/>
      <c r="AH1" s="97"/>
      <c r="AI1" s="97"/>
      <c r="AJ1" s="97"/>
      <c r="AK1" s="97"/>
      <c r="AL1" s="97"/>
      <c r="AM1" s="97"/>
      <c r="AN1" s="97"/>
      <c r="AO1" s="97"/>
      <c r="AP1" s="97"/>
      <c r="AQ1" s="97"/>
      <c r="AR1" s="97"/>
      <c r="AS1" s="97"/>
      <c r="AT1" s="97"/>
      <c r="AU1" s="97"/>
      <c r="AV1" s="97"/>
      <c r="AW1" s="97"/>
      <c r="AX1" s="97"/>
      <c r="AY1" s="97"/>
      <c r="AZ1" s="97"/>
      <c r="BA1" s="97"/>
      <c r="BB1" s="97"/>
      <c r="BC1" s="97"/>
      <c r="BD1" s="97"/>
      <c r="BE1" s="97"/>
      <c r="BF1" s="97"/>
      <c r="BG1" s="97"/>
      <c r="BH1" s="97"/>
      <c r="BI1" s="97"/>
      <c r="BJ1" s="97"/>
      <c r="BK1" s="97"/>
      <c r="BL1" s="97"/>
      <c r="BM1" s="97"/>
      <c r="BN1" s="97"/>
      <c r="BO1" s="97"/>
      <c r="BP1" s="97"/>
      <c r="BQ1" s="97"/>
      <c r="BR1" s="97"/>
      <c r="BS1" s="97"/>
      <c r="BT1" s="97"/>
      <c r="BU1" s="97"/>
      <c r="BV1" s="97"/>
      <c r="BW1" s="97"/>
      <c r="BX1" s="97"/>
      <c r="BY1" s="97"/>
      <c r="BZ1" s="97"/>
      <c r="CA1" s="97"/>
      <c r="CB1" s="97"/>
      <c r="CC1" s="97"/>
      <c r="CD1" s="97"/>
      <c r="CE1" s="97"/>
      <c r="CF1" s="97"/>
      <c r="CG1" s="97"/>
      <c r="CH1" s="97"/>
      <c r="CI1" s="97"/>
      <c r="CJ1" s="97"/>
      <c r="CK1" s="97"/>
      <c r="CL1" s="97"/>
      <c r="CM1" s="97"/>
      <c r="CN1" s="97"/>
      <c r="CO1" s="97"/>
      <c r="CP1" s="97"/>
      <c r="CQ1" s="97"/>
      <c r="CR1" s="97"/>
      <c r="CS1" s="97"/>
      <c r="CT1" s="97"/>
      <c r="CU1" s="97"/>
      <c r="CV1" s="97"/>
      <c r="CW1" s="97"/>
      <c r="CX1" s="97"/>
      <c r="CY1" s="97"/>
      <c r="CZ1" s="97"/>
      <c r="DA1" s="97"/>
      <c r="DB1" s="97"/>
      <c r="DC1" s="97"/>
      <c r="DD1" s="97"/>
      <c r="DE1" s="97"/>
      <c r="DF1" s="97"/>
      <c r="DG1" s="97"/>
      <c r="DH1" s="97"/>
      <c r="DI1" s="97"/>
      <c r="DJ1" s="97"/>
      <c r="DK1" s="97"/>
      <c r="DL1" s="97"/>
      <c r="DM1" s="97"/>
      <c r="DN1" s="97"/>
      <c r="DO1" s="97"/>
      <c r="DP1" s="97"/>
      <c r="DQ1" s="97"/>
      <c r="DR1" s="97"/>
      <c r="DS1" s="97"/>
      <c r="DT1" s="97"/>
      <c r="DU1" s="97"/>
      <c r="DV1" s="97"/>
      <c r="DW1" s="97"/>
    </row>
    <row r="2" spans="1:130">
      <c r="A2" s="862" t="s">
        <v>459</v>
      </c>
      <c r="B2" s="862"/>
      <c r="C2" s="505"/>
      <c r="D2" s="96"/>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7"/>
      <c r="BJ2" s="97"/>
      <c r="BK2" s="97"/>
      <c r="BL2" s="97"/>
      <c r="BM2" s="97"/>
      <c r="BN2" s="97"/>
      <c r="BO2" s="97"/>
      <c r="BP2" s="97"/>
      <c r="BQ2" s="97"/>
      <c r="BR2" s="97"/>
      <c r="BS2" s="97"/>
      <c r="BT2" s="97"/>
      <c r="BU2" s="97"/>
      <c r="BV2" s="97"/>
      <c r="BW2" s="97"/>
      <c r="BX2" s="97"/>
      <c r="BY2" s="97"/>
      <c r="BZ2" s="97"/>
      <c r="CA2" s="97"/>
      <c r="CB2" s="97"/>
      <c r="CC2" s="97"/>
      <c r="CD2" s="97"/>
      <c r="CE2" s="97"/>
      <c r="CF2" s="97"/>
      <c r="CG2" s="97"/>
      <c r="CH2" s="97"/>
      <c r="CI2" s="97"/>
      <c r="CJ2" s="97"/>
      <c r="CK2" s="97"/>
      <c r="CL2" s="97"/>
      <c r="CM2" s="97"/>
      <c r="CN2" s="97"/>
      <c r="CO2" s="97"/>
      <c r="CP2" s="97"/>
      <c r="CQ2" s="97"/>
      <c r="CR2" s="97"/>
      <c r="CS2" s="97"/>
      <c r="CT2" s="97"/>
      <c r="CU2" s="97"/>
      <c r="CV2" s="97"/>
      <c r="CW2" s="97"/>
      <c r="CX2" s="97"/>
      <c r="CY2" s="97"/>
      <c r="CZ2" s="97"/>
      <c r="DA2" s="97"/>
      <c r="DB2" s="97"/>
      <c r="DC2" s="97"/>
      <c r="DD2" s="97"/>
      <c r="DE2" s="97"/>
      <c r="DF2" s="97"/>
      <c r="DG2" s="97"/>
      <c r="DH2" s="97"/>
      <c r="DI2" s="97"/>
      <c r="DJ2" s="97"/>
      <c r="DK2" s="97"/>
      <c r="DL2" s="97"/>
      <c r="DM2" s="97"/>
      <c r="DN2" s="97"/>
      <c r="DO2" s="97"/>
      <c r="DP2" s="97"/>
      <c r="DQ2" s="97"/>
      <c r="DR2" s="97"/>
      <c r="DS2" s="97"/>
      <c r="DT2" s="97"/>
      <c r="DU2" s="97"/>
      <c r="DV2" s="97"/>
      <c r="DW2" s="97"/>
    </row>
    <row r="3" spans="1:130" s="97" customFormat="1">
      <c r="A3" s="506"/>
      <c r="B3" s="118"/>
      <c r="C3" s="506">
        <v>1</v>
      </c>
      <c r="D3" s="507">
        <v>2</v>
      </c>
      <c r="E3" s="507">
        <v>3</v>
      </c>
      <c r="F3" s="506">
        <v>4</v>
      </c>
      <c r="G3" s="507">
        <v>5</v>
      </c>
      <c r="H3" s="507">
        <v>6</v>
      </c>
      <c r="I3" s="506">
        <v>7</v>
      </c>
      <c r="J3" s="507">
        <v>8</v>
      </c>
      <c r="K3" s="507">
        <v>9</v>
      </c>
      <c r="L3" s="506">
        <v>10</v>
      </c>
      <c r="M3" s="507">
        <v>11</v>
      </c>
      <c r="N3" s="507">
        <v>12</v>
      </c>
      <c r="O3" s="506">
        <v>13</v>
      </c>
      <c r="P3" s="507">
        <v>14</v>
      </c>
      <c r="Q3" s="507">
        <v>15</v>
      </c>
      <c r="R3" s="506">
        <v>16</v>
      </c>
      <c r="S3" s="507">
        <v>17</v>
      </c>
      <c r="T3" s="507">
        <v>18</v>
      </c>
      <c r="U3" s="506">
        <v>19</v>
      </c>
      <c r="V3" s="507">
        <v>20</v>
      </c>
      <c r="W3" s="507">
        <v>21</v>
      </c>
      <c r="X3" s="506">
        <v>22</v>
      </c>
      <c r="Y3" s="507">
        <v>23</v>
      </c>
      <c r="Z3" s="507">
        <v>24</v>
      </c>
      <c r="AA3" s="506">
        <v>25</v>
      </c>
      <c r="AB3" s="507">
        <v>26</v>
      </c>
      <c r="AC3" s="507">
        <v>27</v>
      </c>
      <c r="AD3" s="506">
        <v>28</v>
      </c>
      <c r="AE3" s="507">
        <v>29</v>
      </c>
      <c r="AF3" s="507">
        <v>30</v>
      </c>
      <c r="AG3" s="506">
        <v>31</v>
      </c>
      <c r="AH3" s="507">
        <v>32</v>
      </c>
      <c r="AI3" s="507">
        <v>33</v>
      </c>
      <c r="AJ3" s="506">
        <v>34</v>
      </c>
      <c r="AK3" s="507">
        <v>35</v>
      </c>
      <c r="AL3" s="507">
        <v>36</v>
      </c>
      <c r="AM3" s="506">
        <v>37</v>
      </c>
      <c r="AN3" s="507">
        <v>38</v>
      </c>
      <c r="AO3" s="507">
        <v>39</v>
      </c>
      <c r="AP3" s="506">
        <v>40</v>
      </c>
      <c r="AQ3" s="507">
        <v>41</v>
      </c>
      <c r="AR3" s="507">
        <v>42</v>
      </c>
      <c r="AS3" s="506">
        <v>43</v>
      </c>
      <c r="AT3" s="507">
        <v>44</v>
      </c>
      <c r="AU3" s="507">
        <v>45</v>
      </c>
      <c r="AV3" s="506">
        <v>46</v>
      </c>
      <c r="AW3" s="507">
        <v>47</v>
      </c>
      <c r="AX3" s="507">
        <v>48</v>
      </c>
      <c r="AY3" s="506">
        <v>49</v>
      </c>
      <c r="AZ3" s="507">
        <v>50</v>
      </c>
      <c r="BA3" s="507">
        <v>51</v>
      </c>
      <c r="BB3" s="506">
        <v>52</v>
      </c>
      <c r="BC3" s="507">
        <v>53</v>
      </c>
      <c r="BD3" s="507">
        <v>54</v>
      </c>
      <c r="BE3" s="506">
        <v>55</v>
      </c>
      <c r="BF3" s="507">
        <v>56</v>
      </c>
      <c r="BG3" s="507">
        <v>57</v>
      </c>
      <c r="BH3" s="506">
        <v>58</v>
      </c>
      <c r="BI3" s="507">
        <v>59</v>
      </c>
      <c r="BJ3" s="507">
        <v>60</v>
      </c>
      <c r="BK3" s="506">
        <v>61</v>
      </c>
      <c r="BL3" s="507">
        <v>62</v>
      </c>
      <c r="BM3" s="507">
        <v>63</v>
      </c>
      <c r="BN3" s="506">
        <v>64</v>
      </c>
      <c r="BO3" s="507">
        <v>65</v>
      </c>
      <c r="BP3" s="507">
        <v>66</v>
      </c>
      <c r="BQ3" s="506">
        <v>67</v>
      </c>
      <c r="BR3" s="507">
        <v>68</v>
      </c>
      <c r="BS3" s="507">
        <v>69</v>
      </c>
      <c r="BT3" s="506">
        <v>70</v>
      </c>
      <c r="BU3" s="507">
        <v>71</v>
      </c>
      <c r="BV3" s="507">
        <v>72</v>
      </c>
      <c r="BW3" s="506">
        <v>73</v>
      </c>
      <c r="BX3" s="507">
        <v>74</v>
      </c>
      <c r="BY3" s="507">
        <v>75</v>
      </c>
      <c r="BZ3" s="506">
        <v>76</v>
      </c>
      <c r="CA3" s="507">
        <v>77</v>
      </c>
      <c r="CB3" s="507">
        <v>78</v>
      </c>
      <c r="CC3" s="506">
        <v>79</v>
      </c>
      <c r="CD3" s="507">
        <v>80</v>
      </c>
      <c r="CE3" s="507">
        <v>81</v>
      </c>
      <c r="CF3" s="506">
        <v>82</v>
      </c>
      <c r="CG3" s="507">
        <v>83</v>
      </c>
      <c r="CH3" s="507">
        <v>84</v>
      </c>
      <c r="CI3" s="506">
        <v>85</v>
      </c>
      <c r="CJ3" s="507">
        <v>86</v>
      </c>
      <c r="CK3" s="507">
        <v>87</v>
      </c>
      <c r="CL3" s="506">
        <v>88</v>
      </c>
      <c r="CM3" s="507">
        <v>89</v>
      </c>
      <c r="CN3" s="507">
        <v>90</v>
      </c>
      <c r="CO3" s="506">
        <v>91</v>
      </c>
      <c r="CP3" s="507">
        <v>92</v>
      </c>
      <c r="CQ3" s="507">
        <v>93</v>
      </c>
      <c r="CR3" s="506">
        <v>94</v>
      </c>
      <c r="CS3" s="507">
        <v>95</v>
      </c>
      <c r="CT3" s="507">
        <v>96</v>
      </c>
      <c r="CU3" s="506">
        <v>97</v>
      </c>
      <c r="CV3" s="507">
        <v>98</v>
      </c>
      <c r="CW3" s="507">
        <v>99</v>
      </c>
      <c r="CX3" s="506">
        <v>100</v>
      </c>
      <c r="CY3" s="507">
        <v>101</v>
      </c>
      <c r="CZ3" s="507">
        <v>102</v>
      </c>
      <c r="DA3" s="506">
        <v>103</v>
      </c>
      <c r="DB3" s="507">
        <v>104</v>
      </c>
      <c r="DC3" s="507">
        <v>105</v>
      </c>
      <c r="DD3" s="506">
        <v>106</v>
      </c>
      <c r="DE3" s="507">
        <v>107</v>
      </c>
      <c r="DF3" s="507">
        <v>108</v>
      </c>
      <c r="DG3" s="506">
        <v>109</v>
      </c>
      <c r="DH3" s="507">
        <v>110</v>
      </c>
      <c r="DI3" s="507">
        <v>111</v>
      </c>
      <c r="DJ3" s="506">
        <v>112</v>
      </c>
      <c r="DK3" s="507">
        <v>113</v>
      </c>
      <c r="DL3" s="507">
        <v>114</v>
      </c>
      <c r="DM3" s="506">
        <v>115</v>
      </c>
      <c r="DN3" s="507">
        <v>116</v>
      </c>
      <c r="DO3" s="507">
        <v>117</v>
      </c>
      <c r="DP3" s="506">
        <v>118</v>
      </c>
      <c r="DQ3" s="507">
        <v>119</v>
      </c>
      <c r="DR3" s="507">
        <v>120</v>
      </c>
      <c r="DS3" s="506">
        <v>121</v>
      </c>
      <c r="DT3" s="507">
        <v>122</v>
      </c>
      <c r="DU3" s="507">
        <v>123</v>
      </c>
      <c r="DV3" s="506">
        <v>124</v>
      </c>
      <c r="DW3" s="507">
        <v>125</v>
      </c>
    </row>
    <row r="4" spans="1:130" s="103" customFormat="1" ht="12.75" customHeight="1">
      <c r="A4" s="508" t="s">
        <v>460</v>
      </c>
      <c r="B4" s="282"/>
      <c r="C4" s="508" t="s">
        <v>460</v>
      </c>
      <c r="D4"/>
      <c r="E4"/>
      <c r="F4"/>
      <c r="G4"/>
      <c r="H4"/>
      <c r="I4" t="s">
        <v>461</v>
      </c>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s="509" t="s">
        <v>462</v>
      </c>
      <c r="BK4"/>
      <c r="BL4"/>
      <c r="BM4"/>
      <c r="BN4"/>
      <c r="BO4"/>
      <c r="BP4"/>
      <c r="BQ4"/>
      <c r="BR4"/>
      <c r="BS4"/>
      <c r="BT4"/>
      <c r="BU4" s="497" t="s">
        <v>463</v>
      </c>
      <c r="BV4"/>
      <c r="BW4"/>
      <c r="BX4"/>
      <c r="BY4"/>
      <c r="BZ4"/>
      <c r="CA4"/>
      <c r="CB4"/>
      <c r="CC4"/>
      <c r="CD4" s="98" t="s">
        <v>464</v>
      </c>
      <c r="CE4"/>
      <c r="CF4"/>
      <c r="CG4"/>
      <c r="CH4"/>
      <c r="CI4"/>
      <c r="CJ4" s="498" t="s">
        <v>465</v>
      </c>
      <c r="CK4"/>
      <c r="CL4"/>
      <c r="CM4"/>
      <c r="CN4"/>
      <c r="CO4"/>
      <c r="CP4"/>
      <c r="CQ4"/>
      <c r="CR4"/>
      <c r="CS4"/>
      <c r="CT4" s="496" t="s">
        <v>1135</v>
      </c>
      <c r="CU4"/>
      <c r="CV4"/>
      <c r="CW4"/>
      <c r="CX4"/>
      <c r="CY4"/>
      <c r="CZ4"/>
      <c r="DA4"/>
      <c r="DB4"/>
      <c r="DC4" s="99" t="s">
        <v>467</v>
      </c>
      <c r="DD4"/>
      <c r="DE4"/>
      <c r="DF4"/>
      <c r="DG4"/>
      <c r="DH4"/>
      <c r="DI4"/>
      <c r="DJ4"/>
      <c r="DK4"/>
      <c r="DL4" s="100" t="s">
        <v>468</v>
      </c>
      <c r="DM4"/>
      <c r="DN4" s="101" t="s">
        <v>469</v>
      </c>
    </row>
    <row r="5" spans="1:130" s="103" customFormat="1" ht="109.2">
      <c r="A5" s="510" t="s">
        <v>470</v>
      </c>
      <c r="B5" s="283" t="s">
        <v>4</v>
      </c>
      <c r="C5" s="510" t="s">
        <v>470</v>
      </c>
      <c r="D5" s="104" t="s">
        <v>471</v>
      </c>
      <c r="E5" s="104" t="s">
        <v>527</v>
      </c>
      <c r="F5" s="104" t="s">
        <v>473</v>
      </c>
      <c r="G5" s="104" t="s">
        <v>474</v>
      </c>
      <c r="H5" s="105" t="s">
        <v>475</v>
      </c>
      <c r="I5" s="105" t="s">
        <v>80</v>
      </c>
      <c r="J5" s="105" t="s">
        <v>476</v>
      </c>
      <c r="K5" s="105" t="s">
        <v>84</v>
      </c>
      <c r="L5" s="105" t="s">
        <v>86</v>
      </c>
      <c r="M5" s="105" t="s">
        <v>88</v>
      </c>
      <c r="N5" s="105" t="s">
        <v>477</v>
      </c>
      <c r="O5" s="105" t="s">
        <v>93</v>
      </c>
      <c r="P5" s="105" t="s">
        <v>95</v>
      </c>
      <c r="Q5" s="105" t="s">
        <v>97</v>
      </c>
      <c r="R5" s="105" t="s">
        <v>99</v>
      </c>
      <c r="S5" s="105" t="s">
        <v>101</v>
      </c>
      <c r="T5" s="105" t="s">
        <v>478</v>
      </c>
      <c r="U5" s="105" t="s">
        <v>105</v>
      </c>
      <c r="V5" s="105" t="s">
        <v>479</v>
      </c>
      <c r="W5" s="105" t="s">
        <v>1137</v>
      </c>
      <c r="X5" s="105" t="s">
        <v>1138</v>
      </c>
      <c r="Y5" s="105" t="s">
        <v>480</v>
      </c>
      <c r="Z5" s="105" t="s">
        <v>111</v>
      </c>
      <c r="AA5" s="105" t="s">
        <v>481</v>
      </c>
      <c r="AB5" s="105" t="s">
        <v>115</v>
      </c>
      <c r="AC5" s="105" t="s">
        <v>117</v>
      </c>
      <c r="AD5" s="105" t="s">
        <v>119</v>
      </c>
      <c r="AE5" s="105" t="s">
        <v>121</v>
      </c>
      <c r="AF5" s="105" t="s">
        <v>123</v>
      </c>
      <c r="AG5" s="105" t="s">
        <v>125</v>
      </c>
      <c r="AH5" s="105" t="s">
        <v>482</v>
      </c>
      <c r="AI5" s="105" t="s">
        <v>129</v>
      </c>
      <c r="AJ5" s="105" t="s">
        <v>131</v>
      </c>
      <c r="AK5" s="105" t="s">
        <v>133</v>
      </c>
      <c r="AL5" s="105" t="s">
        <v>135</v>
      </c>
      <c r="AM5" s="105" t="s">
        <v>137</v>
      </c>
      <c r="AN5" s="105" t="s">
        <v>139</v>
      </c>
      <c r="AO5" s="105" t="s">
        <v>141</v>
      </c>
      <c r="AP5" s="105" t="s">
        <v>143</v>
      </c>
      <c r="AQ5" s="105" t="s">
        <v>145</v>
      </c>
      <c r="AR5" s="105" t="s">
        <v>483</v>
      </c>
      <c r="AS5" s="105" t="s">
        <v>1155</v>
      </c>
      <c r="AT5" s="105" t="s">
        <v>484</v>
      </c>
      <c r="AU5" s="105" t="s">
        <v>166</v>
      </c>
      <c r="AV5" s="105" t="s">
        <v>168</v>
      </c>
      <c r="AW5" s="105" t="s">
        <v>170</v>
      </c>
      <c r="AX5" s="105" t="s">
        <v>172</v>
      </c>
      <c r="AY5" s="105" t="s">
        <v>174</v>
      </c>
      <c r="AZ5" s="105" t="s">
        <v>176</v>
      </c>
      <c r="BA5" s="105" t="s">
        <v>179</v>
      </c>
      <c r="BB5" s="105" t="s">
        <v>181</v>
      </c>
      <c r="BC5" s="105" t="s">
        <v>183</v>
      </c>
      <c r="BD5" s="105" t="s">
        <v>185</v>
      </c>
      <c r="BE5" s="105" t="s">
        <v>485</v>
      </c>
      <c r="BF5" s="105" t="s">
        <v>486</v>
      </c>
      <c r="BG5" s="105" t="s">
        <v>487</v>
      </c>
      <c r="BH5" s="105" t="s">
        <v>488</v>
      </c>
      <c r="BI5" s="106" t="s">
        <v>489</v>
      </c>
      <c r="BJ5" s="106" t="s">
        <v>195</v>
      </c>
      <c r="BK5" s="106" t="s">
        <v>197</v>
      </c>
      <c r="BL5" s="106" t="s">
        <v>490</v>
      </c>
      <c r="BM5" s="106" t="s">
        <v>201</v>
      </c>
      <c r="BN5" s="106" t="s">
        <v>491</v>
      </c>
      <c r="BO5" s="106" t="s">
        <v>205</v>
      </c>
      <c r="BP5" s="106" t="s">
        <v>1156</v>
      </c>
      <c r="BQ5" s="106" t="s">
        <v>492</v>
      </c>
      <c r="BR5" s="106" t="s">
        <v>493</v>
      </c>
      <c r="BS5" s="106" t="s">
        <v>494</v>
      </c>
      <c r="BT5" s="106" t="s">
        <v>495</v>
      </c>
      <c r="BU5" s="107" t="s">
        <v>496</v>
      </c>
      <c r="BV5" s="107" t="s">
        <v>222</v>
      </c>
      <c r="BW5" s="107" t="s">
        <v>497</v>
      </c>
      <c r="BX5" s="107" t="s">
        <v>226</v>
      </c>
      <c r="BY5" s="107" t="s">
        <v>228</v>
      </c>
      <c r="BZ5" s="107" t="s">
        <v>498</v>
      </c>
      <c r="CA5" s="107" t="s">
        <v>499</v>
      </c>
      <c r="CB5" s="107" t="s">
        <v>500</v>
      </c>
      <c r="CC5" s="107" t="s">
        <v>501</v>
      </c>
      <c r="CD5" s="98" t="s">
        <v>235</v>
      </c>
      <c r="CE5" s="98" t="s">
        <v>237</v>
      </c>
      <c r="CF5" s="98" t="s">
        <v>502</v>
      </c>
      <c r="CG5" s="98" t="s">
        <v>241</v>
      </c>
      <c r="CH5" s="98" t="s">
        <v>243</v>
      </c>
      <c r="CI5" s="98" t="s">
        <v>503</v>
      </c>
      <c r="CJ5" s="108" t="s">
        <v>504</v>
      </c>
      <c r="CK5" s="108" t="s">
        <v>505</v>
      </c>
      <c r="CL5" s="108" t="s">
        <v>506</v>
      </c>
      <c r="CM5" s="108" t="s">
        <v>257</v>
      </c>
      <c r="CN5" s="108" t="s">
        <v>258</v>
      </c>
      <c r="CO5" s="108" t="s">
        <v>1139</v>
      </c>
      <c r="CP5" s="108" t="s">
        <v>512</v>
      </c>
      <c r="CQ5" s="108" t="s">
        <v>509</v>
      </c>
      <c r="CR5" s="108" t="s">
        <v>510</v>
      </c>
      <c r="CS5" s="108" t="s">
        <v>511</v>
      </c>
      <c r="CT5" s="109" t="s">
        <v>504</v>
      </c>
      <c r="CU5" s="109" t="s">
        <v>505</v>
      </c>
      <c r="CV5" s="109" t="s">
        <v>506</v>
      </c>
      <c r="CW5" s="109" t="s">
        <v>257</v>
      </c>
      <c r="CX5" s="109" t="s">
        <v>258</v>
      </c>
      <c r="CY5" s="109" t="s">
        <v>512</v>
      </c>
      <c r="CZ5" s="109" t="s">
        <v>509</v>
      </c>
      <c r="DA5" s="109" t="s">
        <v>510</v>
      </c>
      <c r="DB5" s="109" t="s">
        <v>511</v>
      </c>
      <c r="DC5" s="99" t="s">
        <v>265</v>
      </c>
      <c r="DD5" s="99" t="s">
        <v>267</v>
      </c>
      <c r="DE5" s="99" t="s">
        <v>513</v>
      </c>
      <c r="DF5" s="99" t="s">
        <v>514</v>
      </c>
      <c r="DG5" s="99" t="s">
        <v>270</v>
      </c>
      <c r="DH5" s="99" t="s">
        <v>272</v>
      </c>
      <c r="DI5" s="99" t="s">
        <v>515</v>
      </c>
      <c r="DJ5" s="99" t="s">
        <v>516</v>
      </c>
      <c r="DK5" s="99" t="s">
        <v>517</v>
      </c>
      <c r="DL5" s="110" t="s">
        <v>265</v>
      </c>
      <c r="DM5" s="110" t="s">
        <v>267</v>
      </c>
      <c r="DN5" s="111" t="s">
        <v>270</v>
      </c>
      <c r="DO5" s="111" t="s">
        <v>272</v>
      </c>
      <c r="DP5" s="112" t="s">
        <v>519</v>
      </c>
      <c r="DQ5" s="113" t="s">
        <v>520</v>
      </c>
      <c r="DR5" s="511" t="s">
        <v>1275</v>
      </c>
      <c r="DS5" s="114" t="s">
        <v>1276</v>
      </c>
      <c r="DT5" s="114" t="s">
        <v>1277</v>
      </c>
      <c r="DU5" s="114" t="s">
        <v>1278</v>
      </c>
      <c r="DV5" s="114" t="s">
        <v>1279</v>
      </c>
      <c r="DW5" s="114" t="s">
        <v>1280</v>
      </c>
      <c r="DX5" s="103" t="s">
        <v>1281</v>
      </c>
      <c r="DY5" s="103" t="s">
        <v>1282</v>
      </c>
      <c r="DZ5" s="103" t="s">
        <v>1283</v>
      </c>
    </row>
    <row r="6" spans="1:130" s="103" customFormat="1">
      <c r="A6" s="127"/>
      <c r="B6" s="127"/>
      <c r="C6" s="127"/>
      <c r="D6" s="127" t="s">
        <v>471</v>
      </c>
      <c r="E6" s="127"/>
      <c r="F6" s="127" t="s">
        <v>473</v>
      </c>
      <c r="G6" s="127" t="s">
        <v>474</v>
      </c>
      <c r="H6" s="512" t="s">
        <v>77</v>
      </c>
      <c r="I6" s="512" t="s">
        <v>79</v>
      </c>
      <c r="J6" s="512" t="s">
        <v>81</v>
      </c>
      <c r="K6" s="512" t="s">
        <v>83</v>
      </c>
      <c r="L6" s="512" t="s">
        <v>85</v>
      </c>
      <c r="M6" s="512" t="s">
        <v>87</v>
      </c>
      <c r="N6" s="512" t="s">
        <v>89</v>
      </c>
      <c r="O6" s="512" t="s">
        <v>92</v>
      </c>
      <c r="P6" s="512" t="s">
        <v>94</v>
      </c>
      <c r="Q6" s="512" t="s">
        <v>96</v>
      </c>
      <c r="R6" s="512" t="s">
        <v>98</v>
      </c>
      <c r="S6" s="512" t="s">
        <v>100</v>
      </c>
      <c r="T6" s="512" t="s">
        <v>102</v>
      </c>
      <c r="U6" s="512" t="s">
        <v>104</v>
      </c>
      <c r="V6" s="512" t="s">
        <v>106</v>
      </c>
      <c r="W6" s="512" t="s">
        <v>1150</v>
      </c>
      <c r="X6" s="512" t="s">
        <v>1151</v>
      </c>
      <c r="Y6" s="512"/>
      <c r="Z6" s="512" t="s">
        <v>110</v>
      </c>
      <c r="AA6" s="512" t="s">
        <v>112</v>
      </c>
      <c r="AB6" s="512" t="s">
        <v>114</v>
      </c>
      <c r="AC6" s="512" t="s">
        <v>116</v>
      </c>
      <c r="AD6" s="512" t="s">
        <v>118</v>
      </c>
      <c r="AE6" s="512" t="s">
        <v>120</v>
      </c>
      <c r="AF6" s="512" t="s">
        <v>122</v>
      </c>
      <c r="AG6" s="512" t="s">
        <v>124</v>
      </c>
      <c r="AH6" s="512" t="s">
        <v>126</v>
      </c>
      <c r="AI6" s="512" t="s">
        <v>128</v>
      </c>
      <c r="AJ6" s="512" t="s">
        <v>130</v>
      </c>
      <c r="AK6" s="512" t="s">
        <v>132</v>
      </c>
      <c r="AL6" s="512" t="s">
        <v>134</v>
      </c>
      <c r="AM6" s="512" t="s">
        <v>136</v>
      </c>
      <c r="AN6" s="512" t="s">
        <v>138</v>
      </c>
      <c r="AO6" s="512" t="s">
        <v>140</v>
      </c>
      <c r="AP6" s="512" t="s">
        <v>142</v>
      </c>
      <c r="AQ6" s="512" t="s">
        <v>144</v>
      </c>
      <c r="AR6" s="512" t="s">
        <v>146</v>
      </c>
      <c r="AS6" s="512" t="s">
        <v>148</v>
      </c>
      <c r="AT6" s="512" t="s">
        <v>163</v>
      </c>
      <c r="AU6" s="512" t="s">
        <v>165</v>
      </c>
      <c r="AV6" s="512" t="s">
        <v>167</v>
      </c>
      <c r="AW6" s="512" t="s">
        <v>169</v>
      </c>
      <c r="AX6" s="512" t="s">
        <v>171</v>
      </c>
      <c r="AY6" s="512" t="s">
        <v>173</v>
      </c>
      <c r="AZ6" s="512" t="s">
        <v>175</v>
      </c>
      <c r="BA6" s="512" t="s">
        <v>178</v>
      </c>
      <c r="BB6" s="512" t="s">
        <v>180</v>
      </c>
      <c r="BC6" s="512" t="s">
        <v>182</v>
      </c>
      <c r="BD6" s="512" t="s">
        <v>184</v>
      </c>
      <c r="BE6" s="512"/>
      <c r="BF6" s="512"/>
      <c r="BG6" s="512"/>
      <c r="BH6" s="512"/>
      <c r="BI6" s="513" t="s">
        <v>192</v>
      </c>
      <c r="BJ6" s="513" t="s">
        <v>194</v>
      </c>
      <c r="BK6" s="513" t="s">
        <v>196</v>
      </c>
      <c r="BL6" s="513"/>
      <c r="BM6" s="513" t="s">
        <v>200</v>
      </c>
      <c r="BN6" s="513" t="s">
        <v>202</v>
      </c>
      <c r="BO6" s="513" t="s">
        <v>204</v>
      </c>
      <c r="BP6" s="513" t="s">
        <v>211</v>
      </c>
      <c r="BQ6" s="513"/>
      <c r="BR6" s="513"/>
      <c r="BS6" s="513"/>
      <c r="BT6" s="513"/>
      <c r="BU6" s="514" t="s">
        <v>219</v>
      </c>
      <c r="BV6" s="514" t="s">
        <v>221</v>
      </c>
      <c r="BW6" s="514"/>
      <c r="BX6" s="514" t="s">
        <v>225</v>
      </c>
      <c r="BY6" s="514" t="s">
        <v>227</v>
      </c>
      <c r="BZ6" s="514"/>
      <c r="CA6" s="514"/>
      <c r="CB6" s="514"/>
      <c r="CC6" s="514"/>
      <c r="CD6" s="515" t="s">
        <v>234</v>
      </c>
      <c r="CE6" s="515" t="s">
        <v>236</v>
      </c>
      <c r="CF6" s="515" t="s">
        <v>238</v>
      </c>
      <c r="CG6" s="515" t="s">
        <v>240</v>
      </c>
      <c r="CH6" s="515" t="s">
        <v>242</v>
      </c>
      <c r="CI6" s="515"/>
      <c r="CJ6" s="516"/>
      <c r="CK6" s="516"/>
      <c r="CL6" s="516"/>
      <c r="CM6" s="516"/>
      <c r="CN6" s="516"/>
      <c r="CO6" s="516"/>
      <c r="CP6" s="516"/>
      <c r="CQ6" s="516"/>
      <c r="CR6" s="516"/>
      <c r="CS6" s="516"/>
      <c r="CT6" s="517"/>
      <c r="CU6" s="517"/>
      <c r="CV6" s="517"/>
      <c r="CW6" s="517"/>
      <c r="CX6" s="517"/>
      <c r="CY6" s="517"/>
      <c r="CZ6" s="517"/>
      <c r="DA6" s="517"/>
      <c r="DB6" s="517"/>
      <c r="DC6" s="518"/>
      <c r="DD6" s="518"/>
      <c r="DE6" s="518"/>
      <c r="DF6" s="518"/>
      <c r="DG6" s="518"/>
      <c r="DH6" s="518"/>
      <c r="DI6" s="518"/>
      <c r="DJ6" s="518"/>
      <c r="DK6" s="518"/>
      <c r="DL6" s="519"/>
      <c r="DM6" s="519"/>
      <c r="DN6" s="520"/>
      <c r="DO6" s="520"/>
      <c r="DP6" s="521"/>
      <c r="DQ6" s="522"/>
      <c r="DR6"/>
      <c r="DS6"/>
      <c r="DT6"/>
      <c r="DU6"/>
      <c r="DV6"/>
      <c r="DW6"/>
    </row>
    <row r="7" spans="1:130" s="103" customFormat="1">
      <c r="A7" s="523" t="s">
        <v>531</v>
      </c>
      <c r="B7" s="127" t="s">
        <v>48</v>
      </c>
      <c r="C7" s="523" t="s">
        <v>531</v>
      </c>
      <c r="D7" s="127"/>
      <c r="E7" s="127"/>
      <c r="F7" s="127"/>
      <c r="G7" s="127"/>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2"/>
      <c r="AY7" s="512"/>
      <c r="AZ7" s="512"/>
      <c r="BA7" s="512"/>
      <c r="BB7" s="512"/>
      <c r="BC7" s="512"/>
      <c r="BD7" s="512"/>
      <c r="BE7" s="512"/>
      <c r="BF7" s="512"/>
      <c r="BG7" s="512"/>
      <c r="BH7" s="512"/>
      <c r="BI7" s="513"/>
      <c r="BJ7" s="513"/>
      <c r="BK7" s="513"/>
      <c r="BL7" s="513"/>
      <c r="BM7" s="513"/>
      <c r="BN7" s="513"/>
      <c r="BO7" s="513"/>
      <c r="BP7" s="513"/>
      <c r="BQ7" s="513"/>
      <c r="BR7" s="513"/>
      <c r="BS7" s="513"/>
      <c r="BT7" s="513"/>
      <c r="BU7" s="514"/>
      <c r="BV7" s="514"/>
      <c r="BW7" s="514"/>
      <c r="BX7" s="514"/>
      <c r="BY7" s="514"/>
      <c r="BZ7" s="514"/>
      <c r="CA7" s="514"/>
      <c r="CB7" s="514"/>
      <c r="CC7" s="514"/>
      <c r="CD7" s="515"/>
      <c r="CE7" s="515"/>
      <c r="CF7" s="515"/>
      <c r="CG7" s="515"/>
      <c r="CH7" s="515"/>
      <c r="CI7" s="515"/>
      <c r="CJ7" s="516"/>
      <c r="CK7" s="516"/>
      <c r="CL7" s="516"/>
      <c r="CM7" s="516"/>
      <c r="CN7" s="516"/>
      <c r="CO7" s="516"/>
      <c r="CP7" s="516"/>
      <c r="CQ7" s="516"/>
      <c r="CR7" s="516"/>
      <c r="CS7" s="516"/>
      <c r="CT7" s="517"/>
      <c r="CU7" s="517"/>
      <c r="CV7" s="517"/>
      <c r="CW7" s="517"/>
      <c r="CX7" s="517"/>
      <c r="CY7" s="517"/>
      <c r="CZ7" s="517"/>
      <c r="DA7" s="517"/>
      <c r="DB7" s="517"/>
      <c r="DC7" s="518"/>
      <c r="DD7" s="518"/>
      <c r="DE7" s="518"/>
      <c r="DF7" s="518"/>
      <c r="DG7" s="518"/>
      <c r="DH7" s="518"/>
      <c r="DI7" s="518"/>
      <c r="DJ7" s="518"/>
      <c r="DK7" s="518"/>
      <c r="DL7" s="519"/>
      <c r="DM7" s="519"/>
      <c r="DN7" s="520"/>
      <c r="DO7" s="520"/>
      <c r="DP7" s="521"/>
      <c r="DQ7" s="524"/>
      <c r="DR7"/>
      <c r="DS7"/>
      <c r="DT7"/>
      <c r="DU7"/>
      <c r="DV7"/>
      <c r="DW7"/>
    </row>
    <row r="8" spans="1:130" s="103" customFormat="1">
      <c r="A8" s="525">
        <v>1027</v>
      </c>
      <c r="B8" s="526" t="s">
        <v>533</v>
      </c>
      <c r="C8" s="525">
        <v>1027</v>
      </c>
      <c r="D8" s="527" t="s">
        <v>1284</v>
      </c>
      <c r="E8" s="527" t="s">
        <v>534</v>
      </c>
      <c r="F8" s="527" t="s">
        <v>5</v>
      </c>
      <c r="G8" s="527" t="s">
        <v>535</v>
      </c>
      <c r="H8" s="528">
        <v>697592.57</v>
      </c>
      <c r="I8" s="528">
        <v>0</v>
      </c>
      <c r="J8" s="528">
        <v>17066.25</v>
      </c>
      <c r="K8" s="528">
        <v>0</v>
      </c>
      <c r="L8" s="528">
        <v>0</v>
      </c>
      <c r="M8" s="528">
        <v>200</v>
      </c>
      <c r="N8" s="528">
        <v>0</v>
      </c>
      <c r="O8" s="528">
        <v>0</v>
      </c>
      <c r="P8" s="528">
        <v>69251.11</v>
      </c>
      <c r="Q8" s="528">
        <v>0</v>
      </c>
      <c r="R8" s="528">
        <v>0</v>
      </c>
      <c r="S8" s="528">
        <v>0</v>
      </c>
      <c r="T8" s="528">
        <v>1737</v>
      </c>
      <c r="U8" s="528">
        <v>39250</v>
      </c>
      <c r="V8" s="528">
        <v>0</v>
      </c>
      <c r="W8" s="528">
        <v>0</v>
      </c>
      <c r="X8" s="528">
        <v>0</v>
      </c>
      <c r="Y8" s="528">
        <v>825096.92999999993</v>
      </c>
      <c r="Z8" s="528">
        <v>221858.42999999982</v>
      </c>
      <c r="AA8" s="528">
        <v>0</v>
      </c>
      <c r="AB8" s="528">
        <v>367736.54</v>
      </c>
      <c r="AC8" s="528">
        <v>0</v>
      </c>
      <c r="AD8" s="528">
        <v>22459.16</v>
      </c>
      <c r="AE8" s="528">
        <v>0</v>
      </c>
      <c r="AF8" s="528">
        <v>0</v>
      </c>
      <c r="AG8" s="528">
        <v>28263.100000000006</v>
      </c>
      <c r="AH8" s="528">
        <v>3195.5599999999977</v>
      </c>
      <c r="AI8" s="528">
        <v>0</v>
      </c>
      <c r="AJ8" s="528">
        <v>0</v>
      </c>
      <c r="AK8" s="528">
        <v>6752.42</v>
      </c>
      <c r="AL8" s="528">
        <v>0</v>
      </c>
      <c r="AM8" s="528">
        <v>25171.41</v>
      </c>
      <c r="AN8" s="528">
        <v>2312.8399999999997</v>
      </c>
      <c r="AO8" s="528">
        <v>28908.690000000006</v>
      </c>
      <c r="AP8" s="528">
        <v>0</v>
      </c>
      <c r="AQ8" s="528">
        <v>8022.7299999999987</v>
      </c>
      <c r="AR8" s="528">
        <v>7961</v>
      </c>
      <c r="AS8" s="528">
        <v>98.93</v>
      </c>
      <c r="AT8" s="528">
        <v>176.06</v>
      </c>
      <c r="AU8" s="528">
        <v>5426.39</v>
      </c>
      <c r="AV8" s="528">
        <v>3291.75</v>
      </c>
      <c r="AW8" s="528">
        <v>0</v>
      </c>
      <c r="AX8" s="528">
        <v>2309.5</v>
      </c>
      <c r="AY8" s="528">
        <v>14805.5</v>
      </c>
      <c r="AZ8" s="528">
        <v>0</v>
      </c>
      <c r="BA8" s="528">
        <v>60813.37999999999</v>
      </c>
      <c r="BB8" s="528">
        <v>0</v>
      </c>
      <c r="BC8" s="528">
        <v>0</v>
      </c>
      <c r="BD8" s="528">
        <v>0</v>
      </c>
      <c r="BE8" s="528">
        <v>809563.39</v>
      </c>
      <c r="BF8" s="528">
        <v>296283.67000000004</v>
      </c>
      <c r="BG8" s="528">
        <v>15533.539999999901</v>
      </c>
      <c r="BH8" s="528">
        <v>311817.20999999996</v>
      </c>
      <c r="BI8" s="528">
        <v>5012.5</v>
      </c>
      <c r="BJ8" s="528">
        <v>0</v>
      </c>
      <c r="BK8" s="528">
        <v>0</v>
      </c>
      <c r="BL8" s="528">
        <v>5012.5</v>
      </c>
      <c r="BM8" s="528">
        <v>0</v>
      </c>
      <c r="BN8" s="528">
        <v>0</v>
      </c>
      <c r="BO8" s="528">
        <v>0</v>
      </c>
      <c r="BP8" s="528">
        <v>867.23</v>
      </c>
      <c r="BQ8" s="528">
        <v>867.23</v>
      </c>
      <c r="BR8" s="528">
        <v>0</v>
      </c>
      <c r="BS8" s="528">
        <v>4145.2700000000004</v>
      </c>
      <c r="BT8" s="528">
        <v>4145.2700000000004</v>
      </c>
      <c r="BU8" s="528">
        <v>0</v>
      </c>
      <c r="BV8" s="528">
        <v>0</v>
      </c>
      <c r="BW8" s="528">
        <v>0</v>
      </c>
      <c r="BX8" s="528">
        <v>0</v>
      </c>
      <c r="BY8" s="528">
        <v>0</v>
      </c>
      <c r="BZ8" s="528">
        <v>0</v>
      </c>
      <c r="CA8" s="528">
        <v>0</v>
      </c>
      <c r="CB8" s="528">
        <v>0</v>
      </c>
      <c r="CC8" s="528">
        <v>0</v>
      </c>
      <c r="CD8" s="528">
        <v>311817.21000000002</v>
      </c>
      <c r="CE8" s="528">
        <v>0</v>
      </c>
      <c r="CF8" s="528">
        <v>4145.2700000000004</v>
      </c>
      <c r="CG8" s="528">
        <v>0</v>
      </c>
      <c r="CH8" s="528">
        <v>0</v>
      </c>
      <c r="CI8" s="528">
        <f>SUM(CD8:CF8)</f>
        <v>315962.48000000004</v>
      </c>
      <c r="CJ8" s="528">
        <v>369020.93</v>
      </c>
      <c r="CK8" s="528">
        <v>0</v>
      </c>
      <c r="CL8" s="528">
        <v>0</v>
      </c>
      <c r="CM8" s="528">
        <v>369020.93</v>
      </c>
      <c r="CN8" s="528">
        <v>0</v>
      </c>
      <c r="CO8" s="528">
        <v>0</v>
      </c>
      <c r="CP8" s="528">
        <v>0</v>
      </c>
      <c r="CQ8" s="528">
        <v>0</v>
      </c>
      <c r="CR8" s="528">
        <v>-55197.98</v>
      </c>
      <c r="CS8" s="528">
        <v>313822.95</v>
      </c>
      <c r="CT8" s="528">
        <v>0</v>
      </c>
      <c r="CU8" s="528">
        <v>0</v>
      </c>
      <c r="CV8" s="528">
        <v>0</v>
      </c>
      <c r="CW8" s="528">
        <v>0</v>
      </c>
      <c r="CX8" s="528"/>
      <c r="CY8" s="528"/>
      <c r="CZ8" s="528"/>
      <c r="DA8" s="528">
        <v>0</v>
      </c>
      <c r="DB8" s="528">
        <v>0</v>
      </c>
      <c r="DC8" s="528">
        <v>0</v>
      </c>
      <c r="DD8" s="528">
        <v>6889.2</v>
      </c>
      <c r="DE8" s="528">
        <v>0</v>
      </c>
      <c r="DF8" s="528">
        <v>0</v>
      </c>
      <c r="DG8" s="528">
        <v>-4749.68</v>
      </c>
      <c r="DH8" s="528">
        <v>0</v>
      </c>
      <c r="DI8" s="528">
        <v>0</v>
      </c>
      <c r="DJ8" s="528">
        <v>0</v>
      </c>
      <c r="DK8" s="528">
        <v>2139.5199999999995</v>
      </c>
      <c r="DL8" s="528">
        <v>0</v>
      </c>
      <c r="DM8" s="528">
        <v>0</v>
      </c>
      <c r="DN8" s="528">
        <v>0</v>
      </c>
      <c r="DO8" s="528">
        <v>0</v>
      </c>
      <c r="DP8" s="528">
        <v>0</v>
      </c>
      <c r="DQ8" s="529">
        <v>1.0000000009313226E-2</v>
      </c>
      <c r="DR8" s="530">
        <v>640317.22999999975</v>
      </c>
      <c r="DS8" s="531">
        <v>169246.16000000027</v>
      </c>
      <c r="DT8" s="530">
        <v>14805.5</v>
      </c>
      <c r="DU8" s="530">
        <v>70988.11</v>
      </c>
      <c r="DV8" s="530">
        <v>39250</v>
      </c>
      <c r="DW8" s="530">
        <v>0</v>
      </c>
    </row>
    <row r="9" spans="1:130" s="103" customFormat="1">
      <c r="A9" s="525">
        <v>2010</v>
      </c>
      <c r="B9" s="526" t="s">
        <v>537</v>
      </c>
      <c r="C9" s="525">
        <v>2010</v>
      </c>
      <c r="D9" s="527" t="s">
        <v>1284</v>
      </c>
      <c r="E9" s="527" t="s">
        <v>538</v>
      </c>
      <c r="F9" s="527" t="s">
        <v>5</v>
      </c>
      <c r="G9" s="527" t="s">
        <v>535</v>
      </c>
      <c r="H9" s="528">
        <v>2630113.11</v>
      </c>
      <c r="I9" s="528">
        <v>0</v>
      </c>
      <c r="J9" s="528">
        <v>11616.99</v>
      </c>
      <c r="K9" s="528">
        <v>0</v>
      </c>
      <c r="L9" s="528">
        <v>334480</v>
      </c>
      <c r="M9" s="528">
        <v>6742.08</v>
      </c>
      <c r="N9" s="528">
        <v>0</v>
      </c>
      <c r="O9" s="528">
        <v>0</v>
      </c>
      <c r="P9" s="528">
        <v>820.32</v>
      </c>
      <c r="Q9" s="528">
        <v>20622.87</v>
      </c>
      <c r="R9" s="528">
        <v>0</v>
      </c>
      <c r="S9" s="528">
        <v>0</v>
      </c>
      <c r="T9" s="528">
        <v>11899</v>
      </c>
      <c r="U9" s="528">
        <v>21978.1</v>
      </c>
      <c r="V9" s="528">
        <v>0</v>
      </c>
      <c r="W9" s="528">
        <v>6005.0300000000007</v>
      </c>
      <c r="X9" s="528">
        <v>57331</v>
      </c>
      <c r="Y9" s="528">
        <v>3101608.5</v>
      </c>
      <c r="Z9" s="528">
        <v>1282206.68</v>
      </c>
      <c r="AA9" s="528">
        <v>2560.54</v>
      </c>
      <c r="AB9" s="528">
        <v>395940.15</v>
      </c>
      <c r="AC9" s="528">
        <v>121143.22</v>
      </c>
      <c r="AD9" s="528">
        <v>142816.9</v>
      </c>
      <c r="AE9" s="528">
        <v>57307.43</v>
      </c>
      <c r="AF9" s="528">
        <v>42773.96</v>
      </c>
      <c r="AG9" s="528">
        <v>10241</v>
      </c>
      <c r="AH9" s="528">
        <v>6384.79</v>
      </c>
      <c r="AI9" s="528">
        <v>0</v>
      </c>
      <c r="AJ9" s="528">
        <v>75</v>
      </c>
      <c r="AK9" s="528">
        <v>44492.23</v>
      </c>
      <c r="AL9" s="528">
        <v>974.91</v>
      </c>
      <c r="AM9" s="528">
        <v>3014.6</v>
      </c>
      <c r="AN9" s="528">
        <v>7704.01</v>
      </c>
      <c r="AO9" s="528">
        <v>54723.09</v>
      </c>
      <c r="AP9" s="528">
        <v>47169.72</v>
      </c>
      <c r="AQ9" s="528">
        <v>34374.050000000003</v>
      </c>
      <c r="AR9" s="528">
        <v>92880.26</v>
      </c>
      <c r="AS9" s="528">
        <v>49455.67</v>
      </c>
      <c r="AT9" s="528">
        <v>0</v>
      </c>
      <c r="AU9" s="528">
        <v>64784.88</v>
      </c>
      <c r="AV9" s="528">
        <v>12472.58</v>
      </c>
      <c r="AW9" s="528">
        <v>4215</v>
      </c>
      <c r="AX9" s="528">
        <v>120875.41</v>
      </c>
      <c r="AY9" s="528">
        <v>164661.14000000001</v>
      </c>
      <c r="AZ9" s="528">
        <v>16318.03</v>
      </c>
      <c r="BA9" s="528">
        <v>253279.09</v>
      </c>
      <c r="BB9" s="528">
        <v>0</v>
      </c>
      <c r="BC9" s="528">
        <v>-263</v>
      </c>
      <c r="BD9" s="528">
        <v>0</v>
      </c>
      <c r="BE9" s="528">
        <v>3032581.3399999994</v>
      </c>
      <c r="BF9" s="528">
        <v>474610.50999999896</v>
      </c>
      <c r="BG9" s="528">
        <v>69027.160000000615</v>
      </c>
      <c r="BH9" s="528">
        <v>543637.66999999958</v>
      </c>
      <c r="BI9" s="528">
        <v>9096.25</v>
      </c>
      <c r="BJ9" s="528">
        <v>0</v>
      </c>
      <c r="BK9" s="528">
        <v>0</v>
      </c>
      <c r="BL9" s="528">
        <v>9096.25</v>
      </c>
      <c r="BM9" s="528">
        <v>0</v>
      </c>
      <c r="BN9" s="528">
        <v>0</v>
      </c>
      <c r="BO9" s="528">
        <v>711.09</v>
      </c>
      <c r="BP9" s="528">
        <v>0</v>
      </c>
      <c r="BQ9" s="528">
        <v>711.09</v>
      </c>
      <c r="BR9" s="528">
        <v>137592.71</v>
      </c>
      <c r="BS9" s="528">
        <v>8385.16</v>
      </c>
      <c r="BT9" s="528">
        <v>145977.87</v>
      </c>
      <c r="BU9" s="528">
        <v>0</v>
      </c>
      <c r="BV9" s="528">
        <v>0</v>
      </c>
      <c r="BW9" s="528">
        <v>0</v>
      </c>
      <c r="BX9" s="528">
        <v>0</v>
      </c>
      <c r="BY9" s="528">
        <v>0</v>
      </c>
      <c r="BZ9" s="528">
        <v>0</v>
      </c>
      <c r="CA9" s="528">
        <v>0</v>
      </c>
      <c r="CB9" s="528">
        <v>0</v>
      </c>
      <c r="CC9" s="528">
        <v>0</v>
      </c>
      <c r="CD9" s="528">
        <v>543637.66999999958</v>
      </c>
      <c r="CE9" s="528">
        <v>0</v>
      </c>
      <c r="CF9" s="528">
        <v>145977.87</v>
      </c>
      <c r="CG9" s="528">
        <v>0</v>
      </c>
      <c r="CH9" s="528">
        <v>0</v>
      </c>
      <c r="CI9" s="528">
        <f t="shared" ref="CI9:CI72" si="0">SUM(CD9:CF9)</f>
        <v>689615.53999999957</v>
      </c>
      <c r="CJ9" s="528">
        <v>1033394.35</v>
      </c>
      <c r="CK9" s="528">
        <v>211520.79</v>
      </c>
      <c r="CL9" s="528">
        <v>10423.700000000001</v>
      </c>
      <c r="CM9" s="528">
        <v>832297.25999999989</v>
      </c>
      <c r="CN9" s="528">
        <v>0</v>
      </c>
      <c r="CO9" s="528">
        <v>0</v>
      </c>
      <c r="CP9" s="528">
        <v>16746.87</v>
      </c>
      <c r="CQ9" s="528">
        <v>8270.6299999999992</v>
      </c>
      <c r="CR9" s="528">
        <v>2222.96</v>
      </c>
      <c r="CS9" s="528">
        <v>859537.71999999986</v>
      </c>
      <c r="CT9" s="528">
        <v>0</v>
      </c>
      <c r="CU9" s="528">
        <v>0</v>
      </c>
      <c r="CV9" s="528">
        <v>0</v>
      </c>
      <c r="CW9" s="528">
        <v>0</v>
      </c>
      <c r="CX9" s="528"/>
      <c r="CY9" s="528"/>
      <c r="CZ9" s="528"/>
      <c r="DA9" s="528">
        <v>0</v>
      </c>
      <c r="DB9" s="528">
        <v>0</v>
      </c>
      <c r="DC9" s="528">
        <v>0</v>
      </c>
      <c r="DD9" s="528">
        <v>0</v>
      </c>
      <c r="DE9" s="528">
        <v>0</v>
      </c>
      <c r="DF9" s="528">
        <v>0</v>
      </c>
      <c r="DG9" s="528">
        <v>-45128.63</v>
      </c>
      <c r="DH9" s="528">
        <v>-124794</v>
      </c>
      <c r="DI9" s="528">
        <v>0</v>
      </c>
      <c r="DJ9" s="528">
        <v>0</v>
      </c>
      <c r="DK9" s="528">
        <v>-169922.63</v>
      </c>
      <c r="DL9" s="528">
        <v>0</v>
      </c>
      <c r="DM9" s="528">
        <v>0</v>
      </c>
      <c r="DN9" s="528">
        <v>0</v>
      </c>
      <c r="DO9" s="528">
        <v>0</v>
      </c>
      <c r="DP9" s="528">
        <v>0</v>
      </c>
      <c r="DQ9" s="529">
        <v>0.45000000018626451</v>
      </c>
      <c r="DR9" s="530">
        <v>2054989.88</v>
      </c>
      <c r="DS9" s="531">
        <v>977591.4599999995</v>
      </c>
      <c r="DT9" s="530">
        <v>164661.14000000001</v>
      </c>
      <c r="DU9" s="530">
        <v>33342.19</v>
      </c>
      <c r="DV9" s="530">
        <v>21978.1</v>
      </c>
      <c r="DW9" s="530">
        <v>0</v>
      </c>
    </row>
    <row r="10" spans="1:130" s="103" customFormat="1">
      <c r="A10" s="525">
        <v>5949</v>
      </c>
      <c r="B10" s="526" t="s">
        <v>540</v>
      </c>
      <c r="C10" s="525">
        <v>5949</v>
      </c>
      <c r="D10" s="527" t="s">
        <v>1284</v>
      </c>
      <c r="E10" s="527" t="s">
        <v>538</v>
      </c>
      <c r="F10" s="527" t="s">
        <v>5</v>
      </c>
      <c r="G10" s="527" t="s">
        <v>535</v>
      </c>
      <c r="H10" s="528">
        <v>3485110.99</v>
      </c>
      <c r="I10" s="528">
        <v>0</v>
      </c>
      <c r="J10" s="528">
        <v>112370.03</v>
      </c>
      <c r="K10" s="528">
        <v>0</v>
      </c>
      <c r="L10" s="528">
        <v>342970</v>
      </c>
      <c r="M10" s="528">
        <v>5942.57</v>
      </c>
      <c r="N10" s="528">
        <v>0</v>
      </c>
      <c r="O10" s="528">
        <v>0</v>
      </c>
      <c r="P10" s="528">
        <v>68788.33</v>
      </c>
      <c r="Q10" s="528">
        <v>0</v>
      </c>
      <c r="R10" s="528">
        <v>0</v>
      </c>
      <c r="S10" s="528">
        <v>0</v>
      </c>
      <c r="T10" s="528">
        <v>17876.530000000006</v>
      </c>
      <c r="U10" s="528">
        <v>0</v>
      </c>
      <c r="V10" s="528">
        <v>0</v>
      </c>
      <c r="W10" s="528">
        <v>5246.25</v>
      </c>
      <c r="X10" s="528">
        <v>113795</v>
      </c>
      <c r="Y10" s="528">
        <v>4152099.6999999997</v>
      </c>
      <c r="Z10" s="528">
        <v>2034583.359999992</v>
      </c>
      <c r="AA10" s="528">
        <v>1885.1399999999996</v>
      </c>
      <c r="AB10" s="528">
        <v>357549.6</v>
      </c>
      <c r="AC10" s="528">
        <v>36098.210000002175</v>
      </c>
      <c r="AD10" s="528">
        <v>375181.16000000003</v>
      </c>
      <c r="AE10" s="528">
        <v>0</v>
      </c>
      <c r="AF10" s="528">
        <v>98179.789999999979</v>
      </c>
      <c r="AG10" s="528">
        <v>-8750.1800000000039</v>
      </c>
      <c r="AH10" s="528">
        <v>4472.33</v>
      </c>
      <c r="AI10" s="528">
        <v>0</v>
      </c>
      <c r="AJ10" s="528">
        <v>0</v>
      </c>
      <c r="AK10" s="528">
        <v>47470.98</v>
      </c>
      <c r="AL10" s="528">
        <v>853.40000000000009</v>
      </c>
      <c r="AM10" s="528">
        <v>50491.91</v>
      </c>
      <c r="AN10" s="528">
        <v>28487.07</v>
      </c>
      <c r="AO10" s="528">
        <v>72376.02</v>
      </c>
      <c r="AP10" s="528">
        <v>69242.7</v>
      </c>
      <c r="AQ10" s="528">
        <v>12261.94</v>
      </c>
      <c r="AR10" s="528">
        <v>363551.1</v>
      </c>
      <c r="AS10" s="528">
        <v>15584.68</v>
      </c>
      <c r="AT10" s="528">
        <v>0</v>
      </c>
      <c r="AU10" s="528">
        <v>25063.600000000017</v>
      </c>
      <c r="AV10" s="528">
        <v>18745.650000000001</v>
      </c>
      <c r="AW10" s="528">
        <v>2660</v>
      </c>
      <c r="AX10" s="528">
        <v>132051.19</v>
      </c>
      <c r="AY10" s="528">
        <v>47075.11</v>
      </c>
      <c r="AZ10" s="528">
        <v>15718.89</v>
      </c>
      <c r="BA10" s="528">
        <v>188419.08000000002</v>
      </c>
      <c r="BB10" s="528">
        <v>0</v>
      </c>
      <c r="BC10" s="528">
        <v>0</v>
      </c>
      <c r="BD10" s="528">
        <v>0</v>
      </c>
      <c r="BE10" s="528">
        <v>3989252.7299999944</v>
      </c>
      <c r="BF10" s="528">
        <v>873921.37000000034</v>
      </c>
      <c r="BG10" s="528">
        <v>162846.97000000533</v>
      </c>
      <c r="BH10" s="528">
        <v>1036768.3400000057</v>
      </c>
      <c r="BI10" s="528">
        <v>11065</v>
      </c>
      <c r="BJ10" s="528">
        <v>0</v>
      </c>
      <c r="BK10" s="528">
        <v>0</v>
      </c>
      <c r="BL10" s="528">
        <v>11065</v>
      </c>
      <c r="BM10" s="528">
        <v>0</v>
      </c>
      <c r="BN10" s="528">
        <v>0</v>
      </c>
      <c r="BO10" s="528">
        <v>0</v>
      </c>
      <c r="BP10" s="528">
        <v>0</v>
      </c>
      <c r="BQ10" s="528">
        <v>0</v>
      </c>
      <c r="BR10" s="528">
        <v>0</v>
      </c>
      <c r="BS10" s="528">
        <v>11065</v>
      </c>
      <c r="BT10" s="528">
        <v>11065</v>
      </c>
      <c r="BU10" s="528">
        <v>0</v>
      </c>
      <c r="BV10" s="528">
        <v>0</v>
      </c>
      <c r="BW10" s="528">
        <v>0</v>
      </c>
      <c r="BX10" s="528">
        <v>0</v>
      </c>
      <c r="BY10" s="528">
        <v>0</v>
      </c>
      <c r="BZ10" s="528">
        <v>0</v>
      </c>
      <c r="CA10" s="528">
        <v>0</v>
      </c>
      <c r="CB10" s="528">
        <v>0</v>
      </c>
      <c r="CC10" s="528">
        <v>0</v>
      </c>
      <c r="CD10" s="528">
        <v>1036768.3400000057</v>
      </c>
      <c r="CE10" s="528">
        <v>0</v>
      </c>
      <c r="CF10" s="528">
        <v>11065</v>
      </c>
      <c r="CG10" s="528">
        <v>0</v>
      </c>
      <c r="CH10" s="528">
        <v>0</v>
      </c>
      <c r="CI10" s="528">
        <f t="shared" si="0"/>
        <v>1047833.3400000057</v>
      </c>
      <c r="CJ10" s="528">
        <v>1341697.04</v>
      </c>
      <c r="CK10" s="528">
        <v>0</v>
      </c>
      <c r="CL10" s="528">
        <v>0</v>
      </c>
      <c r="CM10" s="528">
        <v>1341697.04</v>
      </c>
      <c r="CN10" s="528">
        <v>3000</v>
      </c>
      <c r="CO10" s="528">
        <v>0</v>
      </c>
      <c r="CP10" s="528">
        <v>8043.92</v>
      </c>
      <c r="CQ10" s="528">
        <v>0</v>
      </c>
      <c r="CR10" s="528">
        <v>-260674.29</v>
      </c>
      <c r="CS10" s="528">
        <v>1092066.67</v>
      </c>
      <c r="CT10" s="528">
        <v>0</v>
      </c>
      <c r="CU10" s="528">
        <v>0</v>
      </c>
      <c r="CV10" s="528">
        <v>0</v>
      </c>
      <c r="CW10" s="528">
        <v>0</v>
      </c>
      <c r="CX10" s="528"/>
      <c r="CY10" s="528"/>
      <c r="CZ10" s="528"/>
      <c r="DA10" s="528">
        <v>0</v>
      </c>
      <c r="DB10" s="528">
        <v>0</v>
      </c>
      <c r="DC10" s="528">
        <v>0</v>
      </c>
      <c r="DD10" s="528">
        <v>25994.62</v>
      </c>
      <c r="DE10" s="528">
        <v>0</v>
      </c>
      <c r="DF10" s="528">
        <v>0</v>
      </c>
      <c r="DG10" s="528">
        <v>-70227.88</v>
      </c>
      <c r="DH10" s="528">
        <v>0</v>
      </c>
      <c r="DI10" s="528">
        <v>0</v>
      </c>
      <c r="DJ10" s="528">
        <v>0</v>
      </c>
      <c r="DK10" s="528">
        <v>-44233.260000000009</v>
      </c>
      <c r="DL10" s="528">
        <v>0</v>
      </c>
      <c r="DM10" s="528">
        <v>0</v>
      </c>
      <c r="DN10" s="528">
        <v>0</v>
      </c>
      <c r="DO10" s="528">
        <v>0</v>
      </c>
      <c r="DP10" s="528">
        <v>0</v>
      </c>
      <c r="DQ10" s="529"/>
      <c r="DR10" s="530">
        <v>2894727.079999994</v>
      </c>
      <c r="DS10" s="531">
        <v>1094525.6500000004</v>
      </c>
      <c r="DT10" s="530">
        <v>47075.11</v>
      </c>
      <c r="DU10" s="530">
        <v>86664.860000000015</v>
      </c>
      <c r="DV10" s="530">
        <v>0</v>
      </c>
      <c r="DW10" s="530">
        <v>0</v>
      </c>
    </row>
    <row r="11" spans="1:130" s="103" customFormat="1">
      <c r="A11" s="525">
        <v>1017</v>
      </c>
      <c r="B11" s="526" t="s">
        <v>542</v>
      </c>
      <c r="C11" s="525">
        <v>1017</v>
      </c>
      <c r="D11" s="527" t="s">
        <v>1284</v>
      </c>
      <c r="E11" s="527" t="s">
        <v>534</v>
      </c>
      <c r="F11" s="527" t="s">
        <v>5</v>
      </c>
      <c r="G11" s="527" t="s">
        <v>535</v>
      </c>
      <c r="H11" s="528">
        <v>1078548.33</v>
      </c>
      <c r="I11" s="528">
        <v>0</v>
      </c>
      <c r="J11" s="528">
        <v>158373.15</v>
      </c>
      <c r="K11" s="528">
        <v>0</v>
      </c>
      <c r="L11" s="528">
        <v>0</v>
      </c>
      <c r="M11" s="528">
        <v>0</v>
      </c>
      <c r="N11" s="528">
        <v>0</v>
      </c>
      <c r="O11" s="528">
        <v>31243.84</v>
      </c>
      <c r="P11" s="528">
        <v>535406.88</v>
      </c>
      <c r="Q11" s="528">
        <v>8086.01</v>
      </c>
      <c r="R11" s="528">
        <v>0</v>
      </c>
      <c r="S11" s="528">
        <v>0</v>
      </c>
      <c r="T11" s="528">
        <v>0</v>
      </c>
      <c r="U11" s="528">
        <v>93799.14</v>
      </c>
      <c r="V11" s="528">
        <v>0</v>
      </c>
      <c r="W11" s="528">
        <v>0</v>
      </c>
      <c r="X11" s="528">
        <v>0</v>
      </c>
      <c r="Y11" s="528">
        <v>1905457.35</v>
      </c>
      <c r="Z11" s="528">
        <v>242096.28</v>
      </c>
      <c r="AA11" s="528">
        <v>0</v>
      </c>
      <c r="AB11" s="528">
        <v>502377.53</v>
      </c>
      <c r="AC11" s="528">
        <v>0</v>
      </c>
      <c r="AD11" s="528">
        <v>133556.24</v>
      </c>
      <c r="AE11" s="528">
        <v>0</v>
      </c>
      <c r="AF11" s="528">
        <v>76441.350000000006</v>
      </c>
      <c r="AG11" s="528">
        <v>903</v>
      </c>
      <c r="AH11" s="528">
        <v>4715.3</v>
      </c>
      <c r="AI11" s="528">
        <v>0</v>
      </c>
      <c r="AJ11" s="528">
        <v>0</v>
      </c>
      <c r="AK11" s="528">
        <v>12435.82</v>
      </c>
      <c r="AL11" s="528">
        <v>0</v>
      </c>
      <c r="AM11" s="528">
        <v>0</v>
      </c>
      <c r="AN11" s="528">
        <v>0</v>
      </c>
      <c r="AO11" s="528">
        <v>54670.479999999996</v>
      </c>
      <c r="AP11" s="528">
        <v>0</v>
      </c>
      <c r="AQ11" s="528">
        <v>-47.64</v>
      </c>
      <c r="AR11" s="528">
        <v>14710.289999999999</v>
      </c>
      <c r="AS11" s="528">
        <v>1144.26</v>
      </c>
      <c r="AT11" s="528">
        <v>0</v>
      </c>
      <c r="AU11" s="528">
        <v>22075.75</v>
      </c>
      <c r="AV11" s="528">
        <v>3291.75</v>
      </c>
      <c r="AW11" s="528">
        <v>0</v>
      </c>
      <c r="AX11" s="528">
        <v>19866.740000000002</v>
      </c>
      <c r="AY11" s="528">
        <v>121774.73999999999</v>
      </c>
      <c r="AZ11" s="528">
        <v>0</v>
      </c>
      <c r="BA11" s="528">
        <v>498353.54</v>
      </c>
      <c r="BB11" s="528">
        <v>95387.07</v>
      </c>
      <c r="BC11" s="528">
        <v>0</v>
      </c>
      <c r="BD11" s="528">
        <v>0</v>
      </c>
      <c r="BE11" s="528">
        <v>1803752.5000000002</v>
      </c>
      <c r="BF11" s="528">
        <v>-67939.030000000057</v>
      </c>
      <c r="BG11" s="528">
        <v>101704.84999999986</v>
      </c>
      <c r="BH11" s="528">
        <v>33765.819999999803</v>
      </c>
      <c r="BI11" s="528">
        <v>5375.87</v>
      </c>
      <c r="BJ11" s="528">
        <v>0</v>
      </c>
      <c r="BK11" s="528">
        <v>0</v>
      </c>
      <c r="BL11" s="528">
        <v>5375.87</v>
      </c>
      <c r="BM11" s="528">
        <v>0</v>
      </c>
      <c r="BN11" s="528">
        <v>0</v>
      </c>
      <c r="BO11" s="528">
        <v>0</v>
      </c>
      <c r="BP11" s="528">
        <v>0</v>
      </c>
      <c r="BQ11" s="528">
        <v>0</v>
      </c>
      <c r="BR11" s="528">
        <v>5867.3999999999951</v>
      </c>
      <c r="BS11" s="528">
        <v>5375.87</v>
      </c>
      <c r="BT11" s="528">
        <v>11243.269999999995</v>
      </c>
      <c r="BU11" s="528">
        <v>0</v>
      </c>
      <c r="BV11" s="528">
        <v>0</v>
      </c>
      <c r="BW11" s="528">
        <v>0</v>
      </c>
      <c r="BX11" s="528">
        <v>0</v>
      </c>
      <c r="BY11" s="528">
        <v>0</v>
      </c>
      <c r="BZ11" s="528">
        <v>0</v>
      </c>
      <c r="CA11" s="528">
        <v>0</v>
      </c>
      <c r="CB11" s="528">
        <v>0</v>
      </c>
      <c r="CC11" s="528">
        <v>0</v>
      </c>
      <c r="CD11" s="528">
        <v>33765.819999999803</v>
      </c>
      <c r="CE11" s="528">
        <v>0</v>
      </c>
      <c r="CF11" s="528">
        <v>11243.269999999995</v>
      </c>
      <c r="CG11" s="528">
        <v>0</v>
      </c>
      <c r="CH11" s="528">
        <v>0</v>
      </c>
      <c r="CI11" s="528">
        <f t="shared" si="0"/>
        <v>45009.0899999998</v>
      </c>
      <c r="CJ11" s="528">
        <v>207729.77</v>
      </c>
      <c r="CK11" s="528">
        <v>814.69</v>
      </c>
      <c r="CL11" s="528">
        <v>0</v>
      </c>
      <c r="CM11" s="528">
        <v>206915.08</v>
      </c>
      <c r="CN11" s="528">
        <v>0</v>
      </c>
      <c r="CO11" s="528">
        <v>0</v>
      </c>
      <c r="CP11" s="528">
        <v>2490.48</v>
      </c>
      <c r="CQ11" s="528">
        <v>37254.369999999995</v>
      </c>
      <c r="CR11" s="528">
        <v>0</v>
      </c>
      <c r="CS11" s="528">
        <v>246659.93</v>
      </c>
      <c r="CT11" s="528">
        <v>0</v>
      </c>
      <c r="CU11" s="528">
        <v>0</v>
      </c>
      <c r="CV11" s="528">
        <v>0</v>
      </c>
      <c r="CW11" s="528">
        <v>0</v>
      </c>
      <c r="CX11" s="528"/>
      <c r="CY11" s="528"/>
      <c r="CZ11" s="528"/>
      <c r="DA11" s="528">
        <v>0</v>
      </c>
      <c r="DB11" s="528">
        <v>0</v>
      </c>
      <c r="DC11" s="528">
        <v>0</v>
      </c>
      <c r="DD11" s="528">
        <v>102692.29999999999</v>
      </c>
      <c r="DE11" s="528">
        <v>0</v>
      </c>
      <c r="DF11" s="528">
        <v>0</v>
      </c>
      <c r="DG11" s="528">
        <v>0</v>
      </c>
      <c r="DH11" s="528">
        <v>-24900.63</v>
      </c>
      <c r="DI11" s="528">
        <v>0</v>
      </c>
      <c r="DJ11" s="528">
        <v>0</v>
      </c>
      <c r="DK11" s="528">
        <v>77791.669999999984</v>
      </c>
      <c r="DL11" s="528">
        <v>0</v>
      </c>
      <c r="DM11" s="528">
        <v>88100.73</v>
      </c>
      <c r="DN11" s="528">
        <v>-236</v>
      </c>
      <c r="DO11" s="528">
        <v>-367307.08</v>
      </c>
      <c r="DP11" s="528">
        <v>0</v>
      </c>
      <c r="DQ11" s="529">
        <v>-7.000000003608875E-2</v>
      </c>
      <c r="DR11" s="530">
        <v>955374.4</v>
      </c>
      <c r="DS11" s="531">
        <v>848378.10000000021</v>
      </c>
      <c r="DT11" s="530">
        <v>121774.73999999999</v>
      </c>
      <c r="DU11" s="530">
        <v>574736.73</v>
      </c>
      <c r="DV11" s="530">
        <v>93799.14</v>
      </c>
      <c r="DW11" s="530">
        <v>-279442.35000000003</v>
      </c>
    </row>
    <row r="12" spans="1:130" s="103" customFormat="1">
      <c r="A12" s="532">
        <v>2153</v>
      </c>
      <c r="B12" s="533" t="s">
        <v>544</v>
      </c>
      <c r="C12" s="532">
        <v>2153</v>
      </c>
      <c r="D12" s="527" t="s">
        <v>1284</v>
      </c>
      <c r="E12" s="527" t="s">
        <v>538</v>
      </c>
      <c r="F12" s="527" t="s">
        <v>5</v>
      </c>
      <c r="G12" s="527" t="s">
        <v>535</v>
      </c>
      <c r="H12" s="528">
        <v>2767744.81</v>
      </c>
      <c r="I12" s="528">
        <v>0</v>
      </c>
      <c r="J12" s="528">
        <v>469452.78</v>
      </c>
      <c r="K12" s="528">
        <v>0</v>
      </c>
      <c r="L12" s="528">
        <v>356550</v>
      </c>
      <c r="M12" s="528">
        <v>3000</v>
      </c>
      <c r="N12" s="528">
        <v>0</v>
      </c>
      <c r="O12" s="528">
        <v>0</v>
      </c>
      <c r="P12" s="528">
        <v>27980.58</v>
      </c>
      <c r="Q12" s="528">
        <v>40.799999999999997</v>
      </c>
      <c r="R12" s="528">
        <v>0</v>
      </c>
      <c r="S12" s="528">
        <v>0</v>
      </c>
      <c r="T12" s="528">
        <v>5360.7499999999964</v>
      </c>
      <c r="U12" s="528">
        <v>67425.960000000006</v>
      </c>
      <c r="V12" s="528">
        <v>0</v>
      </c>
      <c r="W12" s="528">
        <v>17816.8</v>
      </c>
      <c r="X12" s="528">
        <v>52288</v>
      </c>
      <c r="Y12" s="528">
        <v>3767660.4799999995</v>
      </c>
      <c r="Z12" s="528">
        <v>1420336.780000001</v>
      </c>
      <c r="AA12" s="528">
        <v>0</v>
      </c>
      <c r="AB12" s="528">
        <v>834979.19</v>
      </c>
      <c r="AC12" s="528">
        <v>0</v>
      </c>
      <c r="AD12" s="528">
        <v>215027.53</v>
      </c>
      <c r="AE12" s="528">
        <v>98449.06</v>
      </c>
      <c r="AF12" s="528">
        <v>136838.86000000057</v>
      </c>
      <c r="AG12" s="528">
        <v>11852.839999999938</v>
      </c>
      <c r="AH12" s="528">
        <v>12937.419999999998</v>
      </c>
      <c r="AI12" s="528">
        <v>0</v>
      </c>
      <c r="AJ12" s="528">
        <v>0</v>
      </c>
      <c r="AK12" s="528">
        <v>8273.2699999999895</v>
      </c>
      <c r="AL12" s="528">
        <v>3240</v>
      </c>
      <c r="AM12" s="528">
        <v>48471.48000000001</v>
      </c>
      <c r="AN12" s="528">
        <v>2758.38</v>
      </c>
      <c r="AO12" s="528">
        <v>45847.46</v>
      </c>
      <c r="AP12" s="528">
        <v>24708.45</v>
      </c>
      <c r="AQ12" s="528">
        <v>7256.7</v>
      </c>
      <c r="AR12" s="528">
        <v>59108.359999999986</v>
      </c>
      <c r="AS12" s="528">
        <v>36806.5</v>
      </c>
      <c r="AT12" s="528">
        <v>0</v>
      </c>
      <c r="AU12" s="528">
        <v>62088.359999999935</v>
      </c>
      <c r="AV12" s="528">
        <v>10529.2</v>
      </c>
      <c r="AW12" s="528">
        <v>0</v>
      </c>
      <c r="AX12" s="528">
        <v>81742.97000000003</v>
      </c>
      <c r="AY12" s="528">
        <v>162512.10000000003</v>
      </c>
      <c r="AZ12" s="528">
        <v>10378.98</v>
      </c>
      <c r="BA12" s="528">
        <v>349478.8299999999</v>
      </c>
      <c r="BB12" s="528">
        <v>155268.10999999999</v>
      </c>
      <c r="BC12" s="528">
        <v>0</v>
      </c>
      <c r="BD12" s="528">
        <v>0</v>
      </c>
      <c r="BE12" s="528">
        <v>3798890.830000001</v>
      </c>
      <c r="BF12" s="528">
        <v>489431.33000000019</v>
      </c>
      <c r="BG12" s="528">
        <v>-31230.35000000149</v>
      </c>
      <c r="BH12" s="528">
        <v>458200.9799999987</v>
      </c>
      <c r="BI12" s="528">
        <v>8691.25</v>
      </c>
      <c r="BJ12" s="528">
        <v>0</v>
      </c>
      <c r="BK12" s="528">
        <v>0</v>
      </c>
      <c r="BL12" s="528">
        <v>8691.25</v>
      </c>
      <c r="BM12" s="528">
        <v>0</v>
      </c>
      <c r="BN12" s="528">
        <v>0</v>
      </c>
      <c r="BO12" s="528">
        <v>0</v>
      </c>
      <c r="BP12" s="528">
        <v>0</v>
      </c>
      <c r="BQ12" s="528">
        <v>0</v>
      </c>
      <c r="BR12" s="528">
        <v>8511.25</v>
      </c>
      <c r="BS12" s="528">
        <v>8691.25</v>
      </c>
      <c r="BT12" s="528">
        <v>17202.5</v>
      </c>
      <c r="BU12" s="528">
        <v>0</v>
      </c>
      <c r="BV12" s="528">
        <v>0</v>
      </c>
      <c r="BW12" s="528">
        <v>0</v>
      </c>
      <c r="BX12" s="528">
        <v>0</v>
      </c>
      <c r="BY12" s="528">
        <v>0</v>
      </c>
      <c r="BZ12" s="528">
        <v>0</v>
      </c>
      <c r="CA12" s="528">
        <v>0</v>
      </c>
      <c r="CB12" s="528">
        <v>0</v>
      </c>
      <c r="CC12" s="528">
        <v>0</v>
      </c>
      <c r="CD12" s="528">
        <v>458200.9799999987</v>
      </c>
      <c r="CE12" s="528">
        <v>0</v>
      </c>
      <c r="CF12" s="528">
        <v>17202.5</v>
      </c>
      <c r="CG12" s="528">
        <v>0</v>
      </c>
      <c r="CH12" s="528">
        <v>0</v>
      </c>
      <c r="CI12" s="528">
        <f t="shared" si="0"/>
        <v>475403.4799999987</v>
      </c>
      <c r="CJ12" s="528">
        <v>748588.61</v>
      </c>
      <c r="CK12" s="528">
        <v>2766.25</v>
      </c>
      <c r="CL12" s="528">
        <v>0</v>
      </c>
      <c r="CM12" s="528">
        <v>745822.36</v>
      </c>
      <c r="CN12" s="528">
        <v>0</v>
      </c>
      <c r="CO12" s="528">
        <v>0</v>
      </c>
      <c r="CP12" s="528">
        <v>16844.77</v>
      </c>
      <c r="CQ12" s="528">
        <v>5667.32</v>
      </c>
      <c r="CR12" s="528">
        <v>-142668.57999999999</v>
      </c>
      <c r="CS12" s="528">
        <v>625665.87</v>
      </c>
      <c r="CT12" s="528">
        <v>0</v>
      </c>
      <c r="CU12" s="528">
        <v>0</v>
      </c>
      <c r="CV12" s="528">
        <v>0</v>
      </c>
      <c r="CW12" s="528">
        <v>0</v>
      </c>
      <c r="CX12" s="528"/>
      <c r="CY12" s="528"/>
      <c r="CZ12" s="528"/>
      <c r="DA12" s="528">
        <v>0</v>
      </c>
      <c r="DB12" s="528">
        <v>0</v>
      </c>
      <c r="DC12" s="528">
        <v>0</v>
      </c>
      <c r="DD12" s="528">
        <v>14004.54</v>
      </c>
      <c r="DE12" s="528">
        <v>0</v>
      </c>
      <c r="DF12" s="528">
        <v>0</v>
      </c>
      <c r="DG12" s="528">
        <v>-26024.95</v>
      </c>
      <c r="DH12" s="528">
        <v>-39118.160000000003</v>
      </c>
      <c r="DI12" s="528">
        <v>0</v>
      </c>
      <c r="DJ12" s="528">
        <v>0</v>
      </c>
      <c r="DK12" s="528">
        <v>-51138.570000000007</v>
      </c>
      <c r="DL12" s="528">
        <v>0</v>
      </c>
      <c r="DM12" s="528">
        <v>0</v>
      </c>
      <c r="DN12" s="528">
        <v>-99123.82</v>
      </c>
      <c r="DO12" s="528">
        <v>0</v>
      </c>
      <c r="DP12" s="528">
        <v>0</v>
      </c>
      <c r="DQ12" s="529">
        <v>0</v>
      </c>
      <c r="DR12" s="530">
        <v>2717484.2600000007</v>
      </c>
      <c r="DS12" s="531">
        <v>1081406.5700000003</v>
      </c>
      <c r="DT12" s="530">
        <v>162512.10000000003</v>
      </c>
      <c r="DU12" s="530">
        <v>33382.129999999997</v>
      </c>
      <c r="DV12" s="530">
        <v>67425.960000000006</v>
      </c>
      <c r="DW12" s="530">
        <v>-99123.82</v>
      </c>
    </row>
    <row r="13" spans="1:130" s="103" customFormat="1">
      <c r="A13" s="525">
        <v>2062</v>
      </c>
      <c r="B13" s="526" t="s">
        <v>546</v>
      </c>
      <c r="C13" s="525">
        <v>2062</v>
      </c>
      <c r="D13" s="527" t="s">
        <v>1284</v>
      </c>
      <c r="E13" s="527" t="s">
        <v>538</v>
      </c>
      <c r="F13" s="527" t="s">
        <v>5</v>
      </c>
      <c r="G13" s="527" t="s">
        <v>535</v>
      </c>
      <c r="H13" s="528">
        <v>2718981.12</v>
      </c>
      <c r="I13" s="528">
        <v>0</v>
      </c>
      <c r="J13" s="528">
        <v>134229.20000000001</v>
      </c>
      <c r="K13" s="528">
        <v>0</v>
      </c>
      <c r="L13" s="528">
        <v>298900</v>
      </c>
      <c r="M13" s="528">
        <v>3256.93</v>
      </c>
      <c r="N13" s="528">
        <v>0</v>
      </c>
      <c r="O13" s="528">
        <v>0</v>
      </c>
      <c r="P13" s="528">
        <v>29693.340000000004</v>
      </c>
      <c r="Q13" s="528">
        <v>44745.91</v>
      </c>
      <c r="R13" s="528">
        <v>0</v>
      </c>
      <c r="S13" s="528">
        <v>0</v>
      </c>
      <c r="T13" s="528">
        <v>20700.41</v>
      </c>
      <c r="U13" s="528">
        <v>0</v>
      </c>
      <c r="V13" s="528">
        <v>0</v>
      </c>
      <c r="W13" s="528">
        <v>8049.3</v>
      </c>
      <c r="X13" s="528">
        <v>64612</v>
      </c>
      <c r="Y13" s="528">
        <v>3323168.2100000004</v>
      </c>
      <c r="Z13" s="528">
        <v>1165033.1399999994</v>
      </c>
      <c r="AA13" s="528">
        <v>407.35</v>
      </c>
      <c r="AB13" s="528">
        <v>1353.5099999999991</v>
      </c>
      <c r="AC13" s="528">
        <v>635916.82000000076</v>
      </c>
      <c r="AD13" s="528">
        <v>238.23000000000005</v>
      </c>
      <c r="AE13" s="528">
        <v>0</v>
      </c>
      <c r="AF13" s="528">
        <v>349935.73999999976</v>
      </c>
      <c r="AG13" s="528">
        <v>33193.46</v>
      </c>
      <c r="AH13" s="528">
        <v>11596.5</v>
      </c>
      <c r="AI13" s="528">
        <v>0</v>
      </c>
      <c r="AJ13" s="528">
        <v>128.63</v>
      </c>
      <c r="AK13" s="528">
        <v>-18691.369999999995</v>
      </c>
      <c r="AL13" s="528">
        <v>2093.5</v>
      </c>
      <c r="AM13" s="528">
        <v>20492.280000000002</v>
      </c>
      <c r="AN13" s="528">
        <v>10502.180000000002</v>
      </c>
      <c r="AO13" s="528">
        <v>113617.90000000001</v>
      </c>
      <c r="AP13" s="528">
        <v>48655.93</v>
      </c>
      <c r="AQ13" s="528">
        <v>17043.030000000002</v>
      </c>
      <c r="AR13" s="528">
        <v>119301.79999999996</v>
      </c>
      <c r="AS13" s="528">
        <v>5688.57</v>
      </c>
      <c r="AT13" s="528">
        <v>300.5</v>
      </c>
      <c r="AU13" s="528">
        <v>29587.589999999997</v>
      </c>
      <c r="AV13" s="528">
        <v>9471</v>
      </c>
      <c r="AW13" s="528">
        <v>0</v>
      </c>
      <c r="AX13" s="528">
        <v>177872.77000000002</v>
      </c>
      <c r="AY13" s="528">
        <v>179233.66</v>
      </c>
      <c r="AZ13" s="528">
        <v>14536.06</v>
      </c>
      <c r="BA13" s="528">
        <v>304598.24999999994</v>
      </c>
      <c r="BB13" s="528">
        <v>0</v>
      </c>
      <c r="BC13" s="528">
        <v>0</v>
      </c>
      <c r="BD13" s="528">
        <v>0</v>
      </c>
      <c r="BE13" s="528">
        <v>3232107.0299999993</v>
      </c>
      <c r="BF13" s="528">
        <v>314425.75999999989</v>
      </c>
      <c r="BG13" s="528">
        <v>91061.180000001099</v>
      </c>
      <c r="BH13" s="528">
        <v>405486.94000000099</v>
      </c>
      <c r="BI13" s="528">
        <v>9010.75</v>
      </c>
      <c r="BJ13" s="528">
        <v>0</v>
      </c>
      <c r="BK13" s="528">
        <v>0</v>
      </c>
      <c r="BL13" s="528">
        <v>9010.75</v>
      </c>
      <c r="BM13" s="528">
        <v>0</v>
      </c>
      <c r="BN13" s="528">
        <v>0</v>
      </c>
      <c r="BO13" s="528">
        <v>0</v>
      </c>
      <c r="BP13" s="528">
        <v>0</v>
      </c>
      <c r="BQ13" s="528">
        <v>0</v>
      </c>
      <c r="BR13" s="528">
        <v>16833.259999999998</v>
      </c>
      <c r="BS13" s="528">
        <v>9010.75</v>
      </c>
      <c r="BT13" s="528">
        <v>25844.01</v>
      </c>
      <c r="BU13" s="528">
        <v>0</v>
      </c>
      <c r="BV13" s="528">
        <v>0</v>
      </c>
      <c r="BW13" s="528">
        <v>0</v>
      </c>
      <c r="BX13" s="528">
        <v>0</v>
      </c>
      <c r="BY13" s="528">
        <v>0</v>
      </c>
      <c r="BZ13" s="528">
        <v>0</v>
      </c>
      <c r="CA13" s="528">
        <v>0</v>
      </c>
      <c r="CB13" s="528">
        <v>0</v>
      </c>
      <c r="CC13" s="528">
        <v>0</v>
      </c>
      <c r="CD13" s="528">
        <v>405486.94000000099</v>
      </c>
      <c r="CE13" s="528">
        <v>0</v>
      </c>
      <c r="CF13" s="528">
        <v>25844.01</v>
      </c>
      <c r="CG13" s="528">
        <v>0</v>
      </c>
      <c r="CH13" s="528">
        <v>0</v>
      </c>
      <c r="CI13" s="528">
        <f t="shared" si="0"/>
        <v>431330.950000001</v>
      </c>
      <c r="CJ13" s="528">
        <v>205906.23</v>
      </c>
      <c r="CK13" s="528">
        <v>0</v>
      </c>
      <c r="CL13" s="528">
        <v>0</v>
      </c>
      <c r="CM13" s="528">
        <v>205906.23</v>
      </c>
      <c r="CN13" s="528">
        <v>0</v>
      </c>
      <c r="CO13" s="528">
        <v>0</v>
      </c>
      <c r="CP13" s="528">
        <v>9098.75</v>
      </c>
      <c r="CQ13" s="528">
        <v>0</v>
      </c>
      <c r="CR13" s="528">
        <v>306619.03999999998</v>
      </c>
      <c r="CS13" s="528">
        <v>521624.02</v>
      </c>
      <c r="CT13" s="528">
        <v>0</v>
      </c>
      <c r="CU13" s="528">
        <v>0</v>
      </c>
      <c r="CV13" s="528">
        <v>0</v>
      </c>
      <c r="CW13" s="528">
        <v>0</v>
      </c>
      <c r="CX13" s="528"/>
      <c r="CY13" s="528"/>
      <c r="CZ13" s="528"/>
      <c r="DA13" s="528">
        <v>0</v>
      </c>
      <c r="DB13" s="528">
        <v>0</v>
      </c>
      <c r="DC13" s="528">
        <v>0</v>
      </c>
      <c r="DD13" s="528">
        <v>10380.33</v>
      </c>
      <c r="DE13" s="528">
        <v>0</v>
      </c>
      <c r="DF13" s="528">
        <v>0</v>
      </c>
      <c r="DG13" s="528">
        <v>-55209.74</v>
      </c>
      <c r="DH13" s="528">
        <v>-45463.66</v>
      </c>
      <c r="DI13" s="528">
        <v>0</v>
      </c>
      <c r="DJ13" s="528">
        <v>0</v>
      </c>
      <c r="DK13" s="528">
        <v>-90293.07</v>
      </c>
      <c r="DL13" s="528">
        <v>0</v>
      </c>
      <c r="DM13" s="528">
        <v>0</v>
      </c>
      <c r="DN13" s="528">
        <v>0</v>
      </c>
      <c r="DO13" s="528">
        <v>0</v>
      </c>
      <c r="DP13" s="528">
        <v>0</v>
      </c>
      <c r="DQ13" s="529">
        <v>0</v>
      </c>
      <c r="DR13" s="530">
        <v>2186078.25</v>
      </c>
      <c r="DS13" s="531">
        <v>1046028.7799999993</v>
      </c>
      <c r="DT13" s="530">
        <v>179233.66</v>
      </c>
      <c r="DU13" s="530">
        <v>95139.66</v>
      </c>
      <c r="DV13" s="530">
        <v>0</v>
      </c>
      <c r="DW13" s="530">
        <v>0</v>
      </c>
    </row>
    <row r="14" spans="1:130" s="103" customFormat="1">
      <c r="A14" s="525">
        <v>2479</v>
      </c>
      <c r="B14" s="526" t="s">
        <v>548</v>
      </c>
      <c r="C14" s="525">
        <v>2479</v>
      </c>
      <c r="D14" s="527" t="s">
        <v>1284</v>
      </c>
      <c r="E14" s="527" t="s">
        <v>538</v>
      </c>
      <c r="F14" s="527" t="s">
        <v>5</v>
      </c>
      <c r="G14" s="527" t="s">
        <v>535</v>
      </c>
      <c r="H14" s="528">
        <v>4194031.43</v>
      </c>
      <c r="I14" s="528">
        <v>0</v>
      </c>
      <c r="J14" s="528">
        <v>239493.52</v>
      </c>
      <c r="K14" s="528">
        <v>0</v>
      </c>
      <c r="L14" s="528">
        <v>477160</v>
      </c>
      <c r="M14" s="528">
        <v>9113.86</v>
      </c>
      <c r="N14" s="528">
        <v>0</v>
      </c>
      <c r="O14" s="528">
        <v>0</v>
      </c>
      <c r="P14" s="528">
        <v>94439.340000000026</v>
      </c>
      <c r="Q14" s="528">
        <v>0</v>
      </c>
      <c r="R14" s="528">
        <v>0</v>
      </c>
      <c r="S14" s="528">
        <v>0</v>
      </c>
      <c r="T14" s="528">
        <v>0</v>
      </c>
      <c r="U14" s="528">
        <v>0</v>
      </c>
      <c r="V14" s="528">
        <v>0</v>
      </c>
      <c r="W14" s="528">
        <v>27255.55</v>
      </c>
      <c r="X14" s="528">
        <v>89576</v>
      </c>
      <c r="Y14" s="528">
        <v>5131069.7</v>
      </c>
      <c r="Z14" s="528">
        <v>1974496.9500000032</v>
      </c>
      <c r="AA14" s="528">
        <v>1274.8799999999999</v>
      </c>
      <c r="AB14" s="528">
        <v>-7459.6500000000051</v>
      </c>
      <c r="AC14" s="528">
        <v>951064.84999999939</v>
      </c>
      <c r="AD14" s="528">
        <v>207.64000000000004</v>
      </c>
      <c r="AE14" s="528">
        <v>0</v>
      </c>
      <c r="AF14" s="528">
        <v>972253.80000000261</v>
      </c>
      <c r="AG14" s="528">
        <v>-2238.6099999995354</v>
      </c>
      <c r="AH14" s="528">
        <v>4468.7</v>
      </c>
      <c r="AI14" s="528">
        <v>0</v>
      </c>
      <c r="AJ14" s="528">
        <v>0</v>
      </c>
      <c r="AK14" s="528">
        <v>-4036</v>
      </c>
      <c r="AL14" s="528">
        <v>650</v>
      </c>
      <c r="AM14" s="528">
        <v>60827.42000000002</v>
      </c>
      <c r="AN14" s="528">
        <v>2921.66</v>
      </c>
      <c r="AO14" s="528">
        <v>99600.700000000012</v>
      </c>
      <c r="AP14" s="528">
        <v>36131.910000000003</v>
      </c>
      <c r="AQ14" s="528">
        <v>41020.15</v>
      </c>
      <c r="AR14" s="528">
        <v>662922.59</v>
      </c>
      <c r="AS14" s="528">
        <v>42904.33</v>
      </c>
      <c r="AT14" s="528">
        <v>12.02</v>
      </c>
      <c r="AU14" s="528">
        <v>12611.150000000003</v>
      </c>
      <c r="AV14" s="528">
        <v>18745.650000000001</v>
      </c>
      <c r="AW14" s="528">
        <v>0</v>
      </c>
      <c r="AX14" s="528">
        <v>234753.49000000002</v>
      </c>
      <c r="AY14" s="528">
        <v>299982.2</v>
      </c>
      <c r="AZ14" s="528">
        <v>22435.86</v>
      </c>
      <c r="BA14" s="528">
        <v>60085.75</v>
      </c>
      <c r="BB14" s="528">
        <v>0</v>
      </c>
      <c r="BC14" s="528">
        <v>0</v>
      </c>
      <c r="BD14" s="528">
        <v>0</v>
      </c>
      <c r="BE14" s="528">
        <v>5485637.4400000079</v>
      </c>
      <c r="BF14" s="528">
        <v>459661.59000000102</v>
      </c>
      <c r="BG14" s="528">
        <v>-354567.74000000767</v>
      </c>
      <c r="BH14" s="528">
        <v>105093.84999999334</v>
      </c>
      <c r="BI14" s="528">
        <v>11987.5</v>
      </c>
      <c r="BJ14" s="528">
        <v>0</v>
      </c>
      <c r="BK14" s="528">
        <v>0</v>
      </c>
      <c r="BL14" s="528">
        <v>11987.5</v>
      </c>
      <c r="BM14" s="528">
        <v>0</v>
      </c>
      <c r="BN14" s="528">
        <v>10476</v>
      </c>
      <c r="BO14" s="528">
        <v>0</v>
      </c>
      <c r="BP14" s="528">
        <v>0</v>
      </c>
      <c r="BQ14" s="528">
        <v>10476</v>
      </c>
      <c r="BR14" s="528">
        <v>25324.150000000005</v>
      </c>
      <c r="BS14" s="528">
        <v>1511.5</v>
      </c>
      <c r="BT14" s="528">
        <v>26835.650000000005</v>
      </c>
      <c r="BU14" s="528">
        <v>0</v>
      </c>
      <c r="BV14" s="528">
        <v>0</v>
      </c>
      <c r="BW14" s="528">
        <v>0</v>
      </c>
      <c r="BX14" s="528">
        <v>0</v>
      </c>
      <c r="BY14" s="528">
        <v>0</v>
      </c>
      <c r="BZ14" s="528">
        <v>0</v>
      </c>
      <c r="CA14" s="528">
        <v>0</v>
      </c>
      <c r="CB14" s="528">
        <v>0</v>
      </c>
      <c r="CC14" s="528">
        <v>0</v>
      </c>
      <c r="CD14" s="528">
        <v>105093.84999999334</v>
      </c>
      <c r="CE14" s="528">
        <v>0</v>
      </c>
      <c r="CF14" s="528">
        <v>26835.650000000005</v>
      </c>
      <c r="CG14" s="528">
        <v>0</v>
      </c>
      <c r="CH14" s="528">
        <v>0</v>
      </c>
      <c r="CI14" s="528">
        <f t="shared" si="0"/>
        <v>131929.49999999334</v>
      </c>
      <c r="CJ14" s="528">
        <v>490704.43</v>
      </c>
      <c r="CK14" s="528">
        <v>0</v>
      </c>
      <c r="CL14" s="528">
        <v>0</v>
      </c>
      <c r="CM14" s="528">
        <v>490704.43</v>
      </c>
      <c r="CN14" s="528">
        <v>0</v>
      </c>
      <c r="CO14" s="528">
        <v>0</v>
      </c>
      <c r="CP14" s="528">
        <v>11925.42</v>
      </c>
      <c r="CQ14" s="528">
        <v>0</v>
      </c>
      <c r="CR14" s="528">
        <v>-330163.27</v>
      </c>
      <c r="CS14" s="528">
        <v>172466.57999999996</v>
      </c>
      <c r="CT14" s="528">
        <v>0</v>
      </c>
      <c r="CU14" s="528">
        <v>0</v>
      </c>
      <c r="CV14" s="528">
        <v>0</v>
      </c>
      <c r="CW14" s="528">
        <v>0</v>
      </c>
      <c r="CX14" s="528"/>
      <c r="CY14" s="528"/>
      <c r="CZ14" s="528"/>
      <c r="DA14" s="528">
        <v>0</v>
      </c>
      <c r="DB14" s="528">
        <v>0</v>
      </c>
      <c r="DC14" s="528">
        <v>0</v>
      </c>
      <c r="DD14" s="528">
        <v>17912.53</v>
      </c>
      <c r="DE14" s="528">
        <v>0</v>
      </c>
      <c r="DF14" s="528">
        <v>0</v>
      </c>
      <c r="DG14" s="528">
        <v>-58318.71</v>
      </c>
      <c r="DH14" s="528">
        <v>-130.9</v>
      </c>
      <c r="DI14" s="528">
        <v>0</v>
      </c>
      <c r="DJ14" s="528">
        <v>0</v>
      </c>
      <c r="DK14" s="528">
        <v>-40537.08</v>
      </c>
      <c r="DL14" s="528">
        <v>0</v>
      </c>
      <c r="DM14" s="528">
        <v>0</v>
      </c>
      <c r="DN14" s="528">
        <v>0</v>
      </c>
      <c r="DO14" s="528">
        <v>0</v>
      </c>
      <c r="DP14" s="528">
        <v>0</v>
      </c>
      <c r="DQ14" s="529">
        <v>0</v>
      </c>
      <c r="DR14" s="530">
        <v>3889599.8600000059</v>
      </c>
      <c r="DS14" s="531">
        <v>1596037.5800000019</v>
      </c>
      <c r="DT14" s="530">
        <v>299982.2</v>
      </c>
      <c r="DU14" s="530">
        <v>94439.340000000026</v>
      </c>
      <c r="DV14" s="530">
        <v>0</v>
      </c>
      <c r="DW14" s="530">
        <v>0</v>
      </c>
    </row>
    <row r="15" spans="1:130" s="103" customFormat="1">
      <c r="A15" s="525">
        <v>2300</v>
      </c>
      <c r="B15" s="526" t="s">
        <v>550</v>
      </c>
      <c r="C15" s="525">
        <v>2300</v>
      </c>
      <c r="D15" s="527" t="s">
        <v>1284</v>
      </c>
      <c r="E15" s="527" t="s">
        <v>538</v>
      </c>
      <c r="F15" s="527" t="s">
        <v>5</v>
      </c>
      <c r="G15" s="527" t="s">
        <v>535</v>
      </c>
      <c r="H15" s="528">
        <v>3948747.82</v>
      </c>
      <c r="I15" s="528">
        <v>0</v>
      </c>
      <c r="J15" s="528">
        <v>246518.13</v>
      </c>
      <c r="K15" s="528">
        <v>0</v>
      </c>
      <c r="L15" s="528">
        <v>444000</v>
      </c>
      <c r="M15" s="528">
        <v>7200</v>
      </c>
      <c r="N15" s="528">
        <v>0</v>
      </c>
      <c r="O15" s="528">
        <v>0</v>
      </c>
      <c r="P15" s="528">
        <v>314253.08</v>
      </c>
      <c r="Q15" s="528">
        <v>42218.41</v>
      </c>
      <c r="R15" s="528">
        <v>0</v>
      </c>
      <c r="S15" s="528">
        <v>0</v>
      </c>
      <c r="T15" s="528">
        <v>19689.12</v>
      </c>
      <c r="U15" s="528">
        <v>0</v>
      </c>
      <c r="V15" s="528">
        <v>0</v>
      </c>
      <c r="W15" s="528">
        <v>22382.58</v>
      </c>
      <c r="X15" s="528">
        <v>92115</v>
      </c>
      <c r="Y15" s="528">
        <v>5137124.1400000006</v>
      </c>
      <c r="Z15" s="528">
        <v>2157721.39</v>
      </c>
      <c r="AA15" s="528">
        <v>0</v>
      </c>
      <c r="AB15" s="528">
        <v>974956.82</v>
      </c>
      <c r="AC15" s="528">
        <v>0</v>
      </c>
      <c r="AD15" s="528">
        <v>244312.14</v>
      </c>
      <c r="AE15" s="528">
        <v>167684.88</v>
      </c>
      <c r="AF15" s="528">
        <v>189668.45</v>
      </c>
      <c r="AG15" s="528">
        <v>0</v>
      </c>
      <c r="AH15" s="528">
        <v>0</v>
      </c>
      <c r="AI15" s="528">
        <v>0</v>
      </c>
      <c r="AJ15" s="528">
        <v>0</v>
      </c>
      <c r="AK15" s="528">
        <v>3207.64</v>
      </c>
      <c r="AL15" s="528">
        <v>0</v>
      </c>
      <c r="AM15" s="528">
        <v>0</v>
      </c>
      <c r="AN15" s="528">
        <v>26224.48</v>
      </c>
      <c r="AO15" s="528">
        <v>88165.54</v>
      </c>
      <c r="AP15" s="528">
        <v>75856.23</v>
      </c>
      <c r="AQ15" s="528">
        <v>20945.13</v>
      </c>
      <c r="AR15" s="528">
        <v>59505.74</v>
      </c>
      <c r="AS15" s="528">
        <v>3401</v>
      </c>
      <c r="AT15" s="528">
        <v>0</v>
      </c>
      <c r="AU15" s="528">
        <v>99071.65</v>
      </c>
      <c r="AV15" s="528">
        <v>39759.380000000005</v>
      </c>
      <c r="AW15" s="528">
        <v>0</v>
      </c>
      <c r="AX15" s="528">
        <v>134353.01</v>
      </c>
      <c r="AY15" s="528">
        <v>115967.97</v>
      </c>
      <c r="AZ15" s="528">
        <v>16287.45</v>
      </c>
      <c r="BA15" s="528">
        <v>130.9</v>
      </c>
      <c r="BB15" s="528">
        <v>581413.05000000005</v>
      </c>
      <c r="BC15" s="528">
        <v>13951.27</v>
      </c>
      <c r="BD15" s="528">
        <v>0</v>
      </c>
      <c r="BE15" s="528">
        <v>5012584.12</v>
      </c>
      <c r="BF15" s="528">
        <v>132869.09999999974</v>
      </c>
      <c r="BG15" s="528">
        <v>124540.02000000048</v>
      </c>
      <c r="BH15" s="528">
        <v>257409.12000000023</v>
      </c>
      <c r="BI15" s="528">
        <v>68505.350000000006</v>
      </c>
      <c r="BJ15" s="528">
        <v>0</v>
      </c>
      <c r="BK15" s="528">
        <v>0</v>
      </c>
      <c r="BL15" s="528">
        <v>68505.350000000006</v>
      </c>
      <c r="BM15" s="528">
        <v>0</v>
      </c>
      <c r="BN15" s="528">
        <v>0</v>
      </c>
      <c r="BO15" s="528">
        <v>45986.16</v>
      </c>
      <c r="BP15" s="528">
        <v>0</v>
      </c>
      <c r="BQ15" s="528">
        <v>45986.16</v>
      </c>
      <c r="BR15" s="528">
        <v>34995.35</v>
      </c>
      <c r="BS15" s="528">
        <v>22519.190000000002</v>
      </c>
      <c r="BT15" s="528">
        <v>57514.54</v>
      </c>
      <c r="BU15" s="528">
        <v>0</v>
      </c>
      <c r="BV15" s="528">
        <v>0</v>
      </c>
      <c r="BW15" s="528">
        <v>0</v>
      </c>
      <c r="BX15" s="528">
        <v>0</v>
      </c>
      <c r="BY15" s="528">
        <v>0</v>
      </c>
      <c r="BZ15" s="528">
        <v>0</v>
      </c>
      <c r="CA15" s="528">
        <v>0</v>
      </c>
      <c r="CB15" s="528">
        <v>0</v>
      </c>
      <c r="CC15" s="528">
        <v>0</v>
      </c>
      <c r="CD15" s="528">
        <v>257409.12000000023</v>
      </c>
      <c r="CE15" s="528">
        <v>0</v>
      </c>
      <c r="CF15" s="528">
        <v>57514.54</v>
      </c>
      <c r="CG15" s="528">
        <v>0</v>
      </c>
      <c r="CH15" s="528">
        <v>0</v>
      </c>
      <c r="CI15" s="528">
        <f t="shared" si="0"/>
        <v>314923.66000000021</v>
      </c>
      <c r="CJ15" s="528">
        <v>704734.33</v>
      </c>
      <c r="CK15" s="528">
        <v>225381.92</v>
      </c>
      <c r="CL15" s="528">
        <v>0</v>
      </c>
      <c r="CM15" s="528">
        <v>479352.40999999992</v>
      </c>
      <c r="CN15" s="528">
        <v>0</v>
      </c>
      <c r="CO15" s="528">
        <v>0</v>
      </c>
      <c r="CP15" s="528">
        <v>15829.09</v>
      </c>
      <c r="CQ15" s="528">
        <v>15062.81</v>
      </c>
      <c r="CR15" s="528">
        <v>0</v>
      </c>
      <c r="CS15" s="528">
        <v>510244.30999999994</v>
      </c>
      <c r="CT15" s="528">
        <v>110000</v>
      </c>
      <c r="CU15" s="528">
        <v>10039.200000000001</v>
      </c>
      <c r="CV15" s="528">
        <v>0</v>
      </c>
      <c r="CW15" s="528">
        <v>99960.8</v>
      </c>
      <c r="CX15" s="528"/>
      <c r="CY15" s="528"/>
      <c r="CZ15" s="528"/>
      <c r="DA15" s="528">
        <v>0</v>
      </c>
      <c r="DB15" s="528">
        <v>99960.8</v>
      </c>
      <c r="DC15" s="528">
        <v>0</v>
      </c>
      <c r="DD15" s="528">
        <v>2270.62</v>
      </c>
      <c r="DE15" s="528">
        <v>0</v>
      </c>
      <c r="DF15" s="528">
        <v>0</v>
      </c>
      <c r="DG15" s="528">
        <v>-9728.4599999999991</v>
      </c>
      <c r="DH15" s="528">
        <v>-4147.8999999999996</v>
      </c>
      <c r="DI15" s="528">
        <v>0</v>
      </c>
      <c r="DJ15" s="528">
        <v>0</v>
      </c>
      <c r="DK15" s="528">
        <v>-11605.739999999998</v>
      </c>
      <c r="DL15" s="528">
        <v>0</v>
      </c>
      <c r="DM15" s="528">
        <v>26928.11</v>
      </c>
      <c r="DN15" s="528">
        <v>0</v>
      </c>
      <c r="DO15" s="528">
        <v>-310603.82</v>
      </c>
      <c r="DP15" s="528">
        <v>0</v>
      </c>
      <c r="DQ15" s="529">
        <v>0</v>
      </c>
      <c r="DR15" s="530">
        <v>3734343.6800000002</v>
      </c>
      <c r="DS15" s="531">
        <v>1278240.44</v>
      </c>
      <c r="DT15" s="530">
        <v>115967.97</v>
      </c>
      <c r="DU15" s="530">
        <v>376160.61</v>
      </c>
      <c r="DV15" s="530">
        <v>0</v>
      </c>
      <c r="DW15" s="530">
        <v>-283675.71000000002</v>
      </c>
    </row>
    <row r="16" spans="1:130" s="103" customFormat="1">
      <c r="A16" s="525">
        <v>2014</v>
      </c>
      <c r="B16" s="526" t="s">
        <v>877</v>
      </c>
      <c r="C16" s="525">
        <v>2014</v>
      </c>
      <c r="D16" s="527" t="s">
        <v>1284</v>
      </c>
      <c r="E16" s="527" t="s">
        <v>538</v>
      </c>
      <c r="F16" s="527" t="s">
        <v>5</v>
      </c>
      <c r="G16" s="527" t="s">
        <v>958</v>
      </c>
      <c r="H16" s="528">
        <v>2443253.29</v>
      </c>
      <c r="I16" s="528">
        <v>0</v>
      </c>
      <c r="J16" s="528">
        <v>49556.5</v>
      </c>
      <c r="K16" s="528">
        <v>0</v>
      </c>
      <c r="L16" s="528">
        <v>242480</v>
      </c>
      <c r="M16" s="528">
        <v>6171.29</v>
      </c>
      <c r="N16" s="528">
        <v>0</v>
      </c>
      <c r="O16" s="528">
        <v>0</v>
      </c>
      <c r="P16" s="528">
        <v>115931.61</v>
      </c>
      <c r="Q16" s="528">
        <v>787.32</v>
      </c>
      <c r="R16" s="528">
        <v>0</v>
      </c>
      <c r="S16" s="528">
        <v>0</v>
      </c>
      <c r="T16" s="528">
        <v>1752.3299999999997</v>
      </c>
      <c r="U16" s="528">
        <v>0</v>
      </c>
      <c r="V16" s="528">
        <v>0</v>
      </c>
      <c r="W16" s="528">
        <v>15124.58</v>
      </c>
      <c r="X16" s="528">
        <v>71370</v>
      </c>
      <c r="Y16" s="528">
        <v>2946426.92</v>
      </c>
      <c r="Z16" s="528">
        <v>971204.00000000058</v>
      </c>
      <c r="AA16" s="528">
        <v>2439.5300000000002</v>
      </c>
      <c r="AB16" s="528">
        <v>-6566.0399999999991</v>
      </c>
      <c r="AC16" s="528">
        <v>528082.94000000088</v>
      </c>
      <c r="AD16" s="528">
        <v>1926.8200000000008</v>
      </c>
      <c r="AE16" s="528">
        <v>124.79999999999988</v>
      </c>
      <c r="AF16" s="528">
        <v>725436.66000000085</v>
      </c>
      <c r="AG16" s="528">
        <v>16121.860000000072</v>
      </c>
      <c r="AH16" s="528">
        <v>12965.1</v>
      </c>
      <c r="AI16" s="528">
        <v>0</v>
      </c>
      <c r="AJ16" s="528">
        <v>1215.03</v>
      </c>
      <c r="AK16" s="528">
        <v>12372.28</v>
      </c>
      <c r="AL16" s="528">
        <v>90.000000000000028</v>
      </c>
      <c r="AM16" s="528">
        <v>8561.5800000000017</v>
      </c>
      <c r="AN16" s="528">
        <v>26569.920000000002</v>
      </c>
      <c r="AO16" s="528">
        <v>72149.280000000013</v>
      </c>
      <c r="AP16" s="528">
        <v>34184.79</v>
      </c>
      <c r="AQ16" s="528">
        <v>6757.75</v>
      </c>
      <c r="AR16" s="528">
        <v>76939.319999999992</v>
      </c>
      <c r="AS16" s="528">
        <v>27529.85</v>
      </c>
      <c r="AT16" s="528">
        <v>14717.700000000004</v>
      </c>
      <c r="AU16" s="528">
        <v>115201.97999999998</v>
      </c>
      <c r="AV16" s="528">
        <v>9471</v>
      </c>
      <c r="AW16" s="528">
        <v>-4140</v>
      </c>
      <c r="AX16" s="528">
        <v>83604.350000000006</v>
      </c>
      <c r="AY16" s="528">
        <v>33414.69</v>
      </c>
      <c r="AZ16" s="528">
        <v>9852.51</v>
      </c>
      <c r="BA16" s="528">
        <v>120753.38999999998</v>
      </c>
      <c r="BB16" s="528">
        <v>0</v>
      </c>
      <c r="BC16" s="528">
        <v>0</v>
      </c>
      <c r="BD16" s="528">
        <v>0</v>
      </c>
      <c r="BE16" s="528">
        <v>2900981.0900000022</v>
      </c>
      <c r="BF16" s="528">
        <v>-362814.89000000007</v>
      </c>
      <c r="BG16" s="528">
        <v>45445.829999997746</v>
      </c>
      <c r="BH16" s="528">
        <v>-317369.06000000233</v>
      </c>
      <c r="BI16" s="528">
        <v>8587.75</v>
      </c>
      <c r="BJ16" s="528">
        <v>0</v>
      </c>
      <c r="BK16" s="528">
        <v>0</v>
      </c>
      <c r="BL16" s="528">
        <v>8587.75</v>
      </c>
      <c r="BM16" s="528">
        <v>0</v>
      </c>
      <c r="BN16" s="528">
        <v>0</v>
      </c>
      <c r="BO16" s="528">
        <v>0</v>
      </c>
      <c r="BP16" s="528">
        <v>0</v>
      </c>
      <c r="BQ16" s="528">
        <v>0</v>
      </c>
      <c r="BR16" s="528">
        <v>0</v>
      </c>
      <c r="BS16" s="528">
        <v>8587.75</v>
      </c>
      <c r="BT16" s="528">
        <v>8587.75</v>
      </c>
      <c r="BU16" s="528">
        <v>0</v>
      </c>
      <c r="BV16" s="528">
        <v>0</v>
      </c>
      <c r="BW16" s="528">
        <v>0</v>
      </c>
      <c r="BX16" s="528">
        <v>0</v>
      </c>
      <c r="BY16" s="528">
        <v>0</v>
      </c>
      <c r="BZ16" s="528">
        <v>0</v>
      </c>
      <c r="CA16" s="528">
        <v>0</v>
      </c>
      <c r="CB16" s="528">
        <v>0</v>
      </c>
      <c r="CC16" s="528">
        <v>0</v>
      </c>
      <c r="CD16" s="528">
        <v>-317369.06000000233</v>
      </c>
      <c r="CE16" s="528">
        <v>0</v>
      </c>
      <c r="CF16" s="528">
        <v>8587.75</v>
      </c>
      <c r="CG16" s="528">
        <v>0</v>
      </c>
      <c r="CH16" s="528">
        <v>0</v>
      </c>
      <c r="CI16" s="528">
        <f t="shared" si="0"/>
        <v>-308781.31000000233</v>
      </c>
      <c r="CJ16" s="528">
        <v>0</v>
      </c>
      <c r="CK16" s="528">
        <v>0</v>
      </c>
      <c r="CL16" s="528">
        <v>0</v>
      </c>
      <c r="CM16" s="528">
        <v>0</v>
      </c>
      <c r="CN16" s="528">
        <v>0</v>
      </c>
      <c r="CO16" s="528">
        <v>0</v>
      </c>
      <c r="CP16" s="528">
        <v>0</v>
      </c>
      <c r="CQ16" s="528">
        <v>0</v>
      </c>
      <c r="CR16" s="528">
        <v>0</v>
      </c>
      <c r="CS16" s="528">
        <v>0</v>
      </c>
      <c r="CT16" s="528">
        <v>0</v>
      </c>
      <c r="CU16" s="528">
        <v>0</v>
      </c>
      <c r="CV16" s="528">
        <v>0</v>
      </c>
      <c r="CW16" s="528">
        <v>0</v>
      </c>
      <c r="CX16" s="528"/>
      <c r="CY16" s="528"/>
      <c r="CZ16" s="528"/>
      <c r="DA16" s="528">
        <v>-285604.96000000206</v>
      </c>
      <c r="DB16" s="528">
        <v>-285604.96000000206</v>
      </c>
      <c r="DC16" s="528">
        <v>0</v>
      </c>
      <c r="DD16" s="528">
        <v>1715.68</v>
      </c>
      <c r="DE16" s="528">
        <v>0</v>
      </c>
      <c r="DF16" s="528">
        <v>0</v>
      </c>
      <c r="DG16" s="528">
        <v>0</v>
      </c>
      <c r="DH16" s="528">
        <v>-50007.06</v>
      </c>
      <c r="DI16" s="528">
        <v>0</v>
      </c>
      <c r="DJ16" s="528">
        <v>0</v>
      </c>
      <c r="DK16" s="528">
        <v>-48291.38</v>
      </c>
      <c r="DL16" s="528">
        <v>0</v>
      </c>
      <c r="DM16" s="528">
        <v>0</v>
      </c>
      <c r="DN16" s="528">
        <v>0</v>
      </c>
      <c r="DO16" s="528">
        <v>0</v>
      </c>
      <c r="DP16" s="528">
        <v>0</v>
      </c>
      <c r="DQ16" s="529">
        <v>2.0372681319713593E-9</v>
      </c>
      <c r="DR16" s="530">
        <v>2238770.5700000026</v>
      </c>
      <c r="DS16" s="531">
        <v>662210.51999999955</v>
      </c>
      <c r="DT16" s="530">
        <v>33414.69</v>
      </c>
      <c r="DU16" s="530">
        <v>118471.26000000001</v>
      </c>
      <c r="DV16" s="530">
        <v>0</v>
      </c>
      <c r="DW16" s="530">
        <v>0</v>
      </c>
    </row>
    <row r="17" spans="1:127" s="103" customFormat="1">
      <c r="A17" s="532">
        <v>7016</v>
      </c>
      <c r="B17" s="533" t="s">
        <v>552</v>
      </c>
      <c r="C17" s="532">
        <v>7016</v>
      </c>
      <c r="D17" s="527" t="s">
        <v>1284</v>
      </c>
      <c r="E17" s="527" t="s">
        <v>553</v>
      </c>
      <c r="F17" s="527" t="s">
        <v>5</v>
      </c>
      <c r="G17" s="527" t="s">
        <v>535</v>
      </c>
      <c r="H17" s="528">
        <v>2220370</v>
      </c>
      <c r="I17" s="528">
        <v>0</v>
      </c>
      <c r="J17" s="528">
        <v>4662886</v>
      </c>
      <c r="K17" s="528">
        <v>0</v>
      </c>
      <c r="L17" s="528">
        <v>72790</v>
      </c>
      <c r="M17" s="528">
        <v>200</v>
      </c>
      <c r="N17" s="528">
        <v>70134</v>
      </c>
      <c r="O17" s="528">
        <v>0</v>
      </c>
      <c r="P17" s="528">
        <v>8596</v>
      </c>
      <c r="Q17" s="528">
        <v>0</v>
      </c>
      <c r="R17" s="528">
        <v>0</v>
      </c>
      <c r="S17" s="528">
        <v>0</v>
      </c>
      <c r="T17" s="528">
        <v>0</v>
      </c>
      <c r="U17" s="528">
        <v>0</v>
      </c>
      <c r="V17" s="528">
        <v>0</v>
      </c>
      <c r="W17" s="528">
        <v>19637</v>
      </c>
      <c r="X17" s="528">
        <v>0</v>
      </c>
      <c r="Y17" s="528">
        <v>7054613</v>
      </c>
      <c r="Z17" s="528">
        <v>2217351</v>
      </c>
      <c r="AA17" s="528">
        <v>0</v>
      </c>
      <c r="AB17" s="528">
        <v>1120493</v>
      </c>
      <c r="AC17" s="528">
        <v>233529</v>
      </c>
      <c r="AD17" s="528">
        <v>291103</v>
      </c>
      <c r="AE17" s="528">
        <v>61854</v>
      </c>
      <c r="AF17" s="528">
        <v>896884</v>
      </c>
      <c r="AG17" s="528">
        <v>50222</v>
      </c>
      <c r="AH17" s="528">
        <v>20914</v>
      </c>
      <c r="AI17" s="528">
        <v>0</v>
      </c>
      <c r="AJ17" s="528">
        <v>0</v>
      </c>
      <c r="AK17" s="528">
        <v>212941</v>
      </c>
      <c r="AL17" s="528">
        <v>4958</v>
      </c>
      <c r="AM17" s="528">
        <v>28260</v>
      </c>
      <c r="AN17" s="528">
        <v>6068</v>
      </c>
      <c r="AO17" s="528">
        <v>50475</v>
      </c>
      <c r="AP17" s="528">
        <v>0</v>
      </c>
      <c r="AQ17" s="528">
        <v>45811</v>
      </c>
      <c r="AR17" s="528">
        <v>296983</v>
      </c>
      <c r="AS17" s="528">
        <v>135383</v>
      </c>
      <c r="AT17" s="528">
        <v>6311</v>
      </c>
      <c r="AU17" s="528">
        <v>68479</v>
      </c>
      <c r="AV17" s="528">
        <v>4700</v>
      </c>
      <c r="AW17" s="528">
        <v>289</v>
      </c>
      <c r="AX17" s="528">
        <v>54231</v>
      </c>
      <c r="AY17" s="528">
        <v>160720</v>
      </c>
      <c r="AZ17" s="528">
        <v>6694</v>
      </c>
      <c r="BA17" s="528">
        <v>1448994</v>
      </c>
      <c r="BB17" s="528">
        <v>0</v>
      </c>
      <c r="BC17" s="528">
        <v>0</v>
      </c>
      <c r="BD17" s="528">
        <v>0</v>
      </c>
      <c r="BE17" s="528">
        <v>7423647</v>
      </c>
      <c r="BF17" s="528">
        <v>744463</v>
      </c>
      <c r="BG17" s="528">
        <v>-369034</v>
      </c>
      <c r="BH17" s="528">
        <v>375429</v>
      </c>
      <c r="BI17" s="528">
        <v>12910</v>
      </c>
      <c r="BJ17" s="528">
        <v>0</v>
      </c>
      <c r="BK17" s="528">
        <v>0</v>
      </c>
      <c r="BL17" s="528">
        <v>12910</v>
      </c>
      <c r="BM17" s="528">
        <v>0</v>
      </c>
      <c r="BN17" s="528">
        <v>0</v>
      </c>
      <c r="BO17" s="528">
        <v>0</v>
      </c>
      <c r="BP17" s="528">
        <v>0</v>
      </c>
      <c r="BQ17" s="528">
        <v>0</v>
      </c>
      <c r="BR17" s="528">
        <v>57393</v>
      </c>
      <c r="BS17" s="528">
        <v>12910</v>
      </c>
      <c r="BT17" s="528">
        <v>70303</v>
      </c>
      <c r="BU17" s="528">
        <v>0</v>
      </c>
      <c r="BV17" s="528">
        <v>0</v>
      </c>
      <c r="BW17" s="528">
        <v>0</v>
      </c>
      <c r="BX17" s="528">
        <v>0</v>
      </c>
      <c r="BY17" s="528">
        <v>0</v>
      </c>
      <c r="BZ17" s="528">
        <v>0</v>
      </c>
      <c r="CA17" s="528">
        <v>0</v>
      </c>
      <c r="CB17" s="528">
        <v>0</v>
      </c>
      <c r="CC17" s="528">
        <v>0</v>
      </c>
      <c r="CD17" s="528">
        <v>375429</v>
      </c>
      <c r="CE17" s="528">
        <v>0</v>
      </c>
      <c r="CF17" s="528">
        <v>70303</v>
      </c>
      <c r="CG17" s="528">
        <v>0</v>
      </c>
      <c r="CH17" s="528">
        <v>0</v>
      </c>
      <c r="CI17" s="528">
        <f t="shared" si="0"/>
        <v>445732</v>
      </c>
      <c r="CJ17" s="528">
        <v>960615</v>
      </c>
      <c r="CK17" s="528">
        <v>489727</v>
      </c>
      <c r="CL17" s="528">
        <v>585088</v>
      </c>
      <c r="CM17" s="528">
        <v>1055976</v>
      </c>
      <c r="CN17" s="528">
        <v>0</v>
      </c>
      <c r="CO17" s="528">
        <v>0</v>
      </c>
      <c r="CP17" s="528">
        <v>41461</v>
      </c>
      <c r="CQ17" s="528">
        <v>189420</v>
      </c>
      <c r="CR17" s="528">
        <v>-745489</v>
      </c>
      <c r="CS17" s="528">
        <v>541368</v>
      </c>
      <c r="CT17" s="528">
        <v>0</v>
      </c>
      <c r="CU17" s="528">
        <v>0</v>
      </c>
      <c r="CV17" s="528">
        <v>0</v>
      </c>
      <c r="CW17" s="528">
        <v>0</v>
      </c>
      <c r="CX17" s="528"/>
      <c r="CY17" s="528"/>
      <c r="CZ17" s="528"/>
      <c r="DA17" s="528">
        <v>0</v>
      </c>
      <c r="DB17" s="528">
        <v>0</v>
      </c>
      <c r="DC17" s="528">
        <v>0</v>
      </c>
      <c r="DD17" s="528">
        <v>8596</v>
      </c>
      <c r="DE17" s="528">
        <v>19311</v>
      </c>
      <c r="DF17" s="528">
        <v>0</v>
      </c>
      <c r="DG17" s="528">
        <v>-118705</v>
      </c>
      <c r="DH17" s="528">
        <v>-2503</v>
      </c>
      <c r="DI17" s="528">
        <v>0</v>
      </c>
      <c r="DJ17" s="528">
        <v>0</v>
      </c>
      <c r="DK17" s="528">
        <v>-93301</v>
      </c>
      <c r="DL17" s="528">
        <v>0</v>
      </c>
      <c r="DM17" s="528">
        <v>0</v>
      </c>
      <c r="DN17" s="528">
        <v>0</v>
      </c>
      <c r="DO17" s="528">
        <v>-2335</v>
      </c>
      <c r="DP17" s="528">
        <v>0</v>
      </c>
      <c r="DQ17" s="529">
        <v>-0.04</v>
      </c>
      <c r="DR17" s="530">
        <v>4871436</v>
      </c>
      <c r="DS17" s="531">
        <v>2552211</v>
      </c>
      <c r="DT17" s="530">
        <v>160720</v>
      </c>
      <c r="DU17" s="530">
        <v>8596</v>
      </c>
      <c r="DV17" s="530">
        <v>0</v>
      </c>
      <c r="DW17" s="530">
        <v>-2335</v>
      </c>
    </row>
    <row r="18" spans="1:127" s="103" customFormat="1">
      <c r="A18" s="525">
        <v>7052</v>
      </c>
      <c r="B18" s="526" t="s">
        <v>879</v>
      </c>
      <c r="C18" s="525">
        <v>7052</v>
      </c>
      <c r="D18" s="527" t="s">
        <v>1284</v>
      </c>
      <c r="E18" s="527" t="s">
        <v>553</v>
      </c>
      <c r="F18" s="527" t="s">
        <v>5</v>
      </c>
      <c r="G18" s="527" t="s">
        <v>958</v>
      </c>
      <c r="H18" s="528">
        <v>1119137.97</v>
      </c>
      <c r="I18" s="528">
        <v>0</v>
      </c>
      <c r="J18" s="528">
        <v>1599557.9</v>
      </c>
      <c r="K18" s="528">
        <v>0</v>
      </c>
      <c r="L18" s="528">
        <v>71690</v>
      </c>
      <c r="M18" s="528">
        <v>8285.15</v>
      </c>
      <c r="N18" s="528">
        <v>0</v>
      </c>
      <c r="O18" s="528">
        <v>0</v>
      </c>
      <c r="P18" s="528">
        <v>30610.68</v>
      </c>
      <c r="Q18" s="528">
        <v>14787.170000000002</v>
      </c>
      <c r="R18" s="528">
        <v>0</v>
      </c>
      <c r="S18" s="528">
        <v>0</v>
      </c>
      <c r="T18" s="528">
        <v>2412.16</v>
      </c>
      <c r="U18" s="528">
        <v>0</v>
      </c>
      <c r="V18" s="528">
        <v>0</v>
      </c>
      <c r="W18" s="528">
        <v>6151.77</v>
      </c>
      <c r="X18" s="528">
        <v>28732.6</v>
      </c>
      <c r="Y18" s="528">
        <v>2881365.4000000004</v>
      </c>
      <c r="Z18" s="528">
        <v>805771.99999999523</v>
      </c>
      <c r="AA18" s="528">
        <v>0</v>
      </c>
      <c r="AB18" s="528">
        <v>1050960</v>
      </c>
      <c r="AC18" s="528">
        <v>28008.999999999593</v>
      </c>
      <c r="AD18" s="528">
        <v>94702.94</v>
      </c>
      <c r="AE18" s="528">
        <v>0</v>
      </c>
      <c r="AF18" s="528">
        <v>154605.80000000005</v>
      </c>
      <c r="AG18" s="528">
        <v>-1.0186340659856796E-10</v>
      </c>
      <c r="AH18" s="528">
        <v>11469.4</v>
      </c>
      <c r="AI18" s="528">
        <v>0</v>
      </c>
      <c r="AJ18" s="528">
        <v>3529.86</v>
      </c>
      <c r="AK18" s="528">
        <v>5107.3399999999965</v>
      </c>
      <c r="AL18" s="528">
        <v>0</v>
      </c>
      <c r="AM18" s="528">
        <v>1997.28</v>
      </c>
      <c r="AN18" s="528">
        <v>0</v>
      </c>
      <c r="AO18" s="528">
        <v>-80.97</v>
      </c>
      <c r="AP18" s="528">
        <v>0</v>
      </c>
      <c r="AQ18" s="528">
        <v>170650.82</v>
      </c>
      <c r="AR18" s="528">
        <v>48145.470000000038</v>
      </c>
      <c r="AS18" s="528">
        <v>52</v>
      </c>
      <c r="AT18" s="528">
        <v>-923.46</v>
      </c>
      <c r="AU18" s="528">
        <v>14097.479999999998</v>
      </c>
      <c r="AV18" s="528">
        <v>3291.75</v>
      </c>
      <c r="AW18" s="528">
        <v>4902.5</v>
      </c>
      <c r="AX18" s="528">
        <v>37842.270000000004</v>
      </c>
      <c r="AY18" s="528">
        <v>518087.47999999992</v>
      </c>
      <c r="AZ18" s="528">
        <v>0</v>
      </c>
      <c r="BA18" s="528">
        <v>176244.60000000003</v>
      </c>
      <c r="BB18" s="528">
        <v>0</v>
      </c>
      <c r="BC18" s="528">
        <v>0</v>
      </c>
      <c r="BD18" s="528">
        <v>0</v>
      </c>
      <c r="BE18" s="528">
        <v>3128463.559999994</v>
      </c>
      <c r="BF18" s="528">
        <v>-298745.87000000029</v>
      </c>
      <c r="BG18" s="528">
        <v>-247098.15999999363</v>
      </c>
      <c r="BH18" s="528">
        <v>-545844.02999999397</v>
      </c>
      <c r="BI18" s="528">
        <v>39750.75</v>
      </c>
      <c r="BJ18" s="528">
        <v>0</v>
      </c>
      <c r="BK18" s="528">
        <v>0</v>
      </c>
      <c r="BL18" s="528">
        <v>39750.75</v>
      </c>
      <c r="BM18" s="528">
        <v>0</v>
      </c>
      <c r="BN18" s="528">
        <v>30911</v>
      </c>
      <c r="BO18" s="528">
        <v>0</v>
      </c>
      <c r="BP18" s="528">
        <v>0</v>
      </c>
      <c r="BQ18" s="528">
        <v>30911</v>
      </c>
      <c r="BR18" s="528">
        <v>0</v>
      </c>
      <c r="BS18" s="528">
        <v>8839.75</v>
      </c>
      <c r="BT18" s="528">
        <v>8839.75</v>
      </c>
      <c r="BU18" s="528">
        <v>0</v>
      </c>
      <c r="BV18" s="528">
        <v>0</v>
      </c>
      <c r="BW18" s="528">
        <v>0</v>
      </c>
      <c r="BX18" s="528">
        <v>0</v>
      </c>
      <c r="BY18" s="528">
        <v>0</v>
      </c>
      <c r="BZ18" s="528">
        <v>0</v>
      </c>
      <c r="CA18" s="528">
        <v>0</v>
      </c>
      <c r="CB18" s="528">
        <v>0</v>
      </c>
      <c r="CC18" s="528">
        <v>0</v>
      </c>
      <c r="CD18" s="528">
        <v>-545844.02999999397</v>
      </c>
      <c r="CE18" s="528">
        <v>0</v>
      </c>
      <c r="CF18" s="528">
        <v>8839.75</v>
      </c>
      <c r="CG18" s="528">
        <v>0</v>
      </c>
      <c r="CH18" s="528">
        <v>0</v>
      </c>
      <c r="CI18" s="528">
        <f t="shared" si="0"/>
        <v>-537004.27999999397</v>
      </c>
      <c r="CJ18" s="528">
        <v>0</v>
      </c>
      <c r="CK18" s="528">
        <v>0</v>
      </c>
      <c r="CL18" s="528">
        <v>0</v>
      </c>
      <c r="CM18" s="528">
        <v>0</v>
      </c>
      <c r="CN18" s="528">
        <v>0</v>
      </c>
      <c r="CO18" s="528">
        <v>0</v>
      </c>
      <c r="CP18" s="528">
        <v>0</v>
      </c>
      <c r="CQ18" s="528">
        <v>0</v>
      </c>
      <c r="CR18" s="528">
        <v>0</v>
      </c>
      <c r="CS18" s="528">
        <v>0</v>
      </c>
      <c r="CT18" s="528">
        <v>0</v>
      </c>
      <c r="CU18" s="528">
        <v>0</v>
      </c>
      <c r="CV18" s="528">
        <v>0</v>
      </c>
      <c r="CW18" s="528">
        <v>0</v>
      </c>
      <c r="CX18" s="528"/>
      <c r="CY18" s="528"/>
      <c r="CZ18" s="528"/>
      <c r="DA18" s="528">
        <v>-340054.20999999379</v>
      </c>
      <c r="DB18" s="528">
        <v>-340054.20999999379</v>
      </c>
      <c r="DC18" s="528">
        <v>0</v>
      </c>
      <c r="DD18" s="528">
        <v>7337.58</v>
      </c>
      <c r="DE18" s="528">
        <v>0</v>
      </c>
      <c r="DF18" s="528">
        <v>0</v>
      </c>
      <c r="DG18" s="528">
        <v>-193077.72</v>
      </c>
      <c r="DH18" s="528">
        <v>-11209.93</v>
      </c>
      <c r="DI18" s="528">
        <v>0</v>
      </c>
      <c r="DJ18" s="528">
        <v>0</v>
      </c>
      <c r="DK18" s="528">
        <v>-196950.07</v>
      </c>
      <c r="DL18" s="528">
        <v>0</v>
      </c>
      <c r="DM18" s="528">
        <v>0</v>
      </c>
      <c r="DN18" s="528">
        <v>0</v>
      </c>
      <c r="DO18" s="528">
        <v>0</v>
      </c>
      <c r="DP18" s="528">
        <v>0</v>
      </c>
      <c r="DQ18" s="529">
        <v>-6.1700120568275452E-9</v>
      </c>
      <c r="DR18" s="530">
        <v>2134049.7399999946</v>
      </c>
      <c r="DS18" s="531">
        <v>994413.81999999937</v>
      </c>
      <c r="DT18" s="530">
        <v>518087.47999999992</v>
      </c>
      <c r="DU18" s="530">
        <v>47810.010000000009</v>
      </c>
      <c r="DV18" s="530">
        <v>0</v>
      </c>
      <c r="DW18" s="530">
        <v>0</v>
      </c>
    </row>
    <row r="19" spans="1:127" s="103" customFormat="1">
      <c r="A19" s="525">
        <v>2017</v>
      </c>
      <c r="B19" s="526" t="s">
        <v>555</v>
      </c>
      <c r="C19" s="525">
        <v>2017</v>
      </c>
      <c r="D19" s="527" t="s">
        <v>1284</v>
      </c>
      <c r="E19" s="527" t="s">
        <v>538</v>
      </c>
      <c r="F19" s="527" t="s">
        <v>5</v>
      </c>
      <c r="G19" s="527" t="s">
        <v>535</v>
      </c>
      <c r="H19" s="528">
        <v>1752496.35</v>
      </c>
      <c r="I19" s="528">
        <v>0</v>
      </c>
      <c r="J19" s="528">
        <v>135845.51999999999</v>
      </c>
      <c r="K19" s="528">
        <v>0</v>
      </c>
      <c r="L19" s="528">
        <v>133460</v>
      </c>
      <c r="M19" s="528">
        <v>3856.93</v>
      </c>
      <c r="N19" s="528">
        <v>0</v>
      </c>
      <c r="O19" s="528">
        <v>0</v>
      </c>
      <c r="P19" s="528">
        <v>23574.59</v>
      </c>
      <c r="Q19" s="528">
        <v>2419.86</v>
      </c>
      <c r="R19" s="528">
        <v>0</v>
      </c>
      <c r="S19" s="528">
        <v>0</v>
      </c>
      <c r="T19" s="528">
        <v>1062.2</v>
      </c>
      <c r="U19" s="528">
        <v>0</v>
      </c>
      <c r="V19" s="528">
        <v>0</v>
      </c>
      <c r="W19" s="528">
        <v>2787.71</v>
      </c>
      <c r="X19" s="528">
        <v>83115</v>
      </c>
      <c r="Y19" s="528">
        <v>2138618.16</v>
      </c>
      <c r="Z19" s="528">
        <v>990382.32</v>
      </c>
      <c r="AA19" s="528">
        <v>534.18000000000006</v>
      </c>
      <c r="AB19" s="528">
        <v>257747.35</v>
      </c>
      <c r="AC19" s="528">
        <v>0</v>
      </c>
      <c r="AD19" s="528">
        <v>131137.46</v>
      </c>
      <c r="AE19" s="528">
        <v>0</v>
      </c>
      <c r="AF19" s="528">
        <v>0</v>
      </c>
      <c r="AG19" s="528">
        <v>0</v>
      </c>
      <c r="AH19" s="528">
        <v>0</v>
      </c>
      <c r="AI19" s="528">
        <v>0</v>
      </c>
      <c r="AJ19" s="528">
        <v>0</v>
      </c>
      <c r="AK19" s="528">
        <v>51991.08</v>
      </c>
      <c r="AL19" s="528">
        <v>0</v>
      </c>
      <c r="AM19" s="528">
        <v>0</v>
      </c>
      <c r="AN19" s="528">
        <v>0</v>
      </c>
      <c r="AO19" s="528">
        <v>22078.02</v>
      </c>
      <c r="AP19" s="528">
        <v>28407.83</v>
      </c>
      <c r="AQ19" s="528">
        <v>2485.88</v>
      </c>
      <c r="AR19" s="528">
        <v>83870.75999999998</v>
      </c>
      <c r="AS19" s="528">
        <v>7640.13</v>
      </c>
      <c r="AT19" s="528">
        <v>84.139999999999986</v>
      </c>
      <c r="AU19" s="528">
        <v>12052.990000000002</v>
      </c>
      <c r="AV19" s="528">
        <v>5139.75</v>
      </c>
      <c r="AW19" s="528">
        <v>0</v>
      </c>
      <c r="AX19" s="528">
        <v>99424.79</v>
      </c>
      <c r="AY19" s="528">
        <v>124704.14999999997</v>
      </c>
      <c r="AZ19" s="528">
        <v>6618.48</v>
      </c>
      <c r="BA19" s="528">
        <v>55292.26</v>
      </c>
      <c r="BB19" s="528">
        <v>367531</v>
      </c>
      <c r="BC19" s="528">
        <v>0</v>
      </c>
      <c r="BD19" s="528">
        <v>0</v>
      </c>
      <c r="BE19" s="528">
        <v>2247122.5699999998</v>
      </c>
      <c r="BF19" s="528">
        <v>8143.0000000002328</v>
      </c>
      <c r="BG19" s="528">
        <v>-108504.40999999968</v>
      </c>
      <c r="BH19" s="528">
        <v>-100361.40999999945</v>
      </c>
      <c r="BI19" s="528">
        <v>7026.25</v>
      </c>
      <c r="BJ19" s="528">
        <v>0</v>
      </c>
      <c r="BK19" s="528">
        <v>0</v>
      </c>
      <c r="BL19" s="528">
        <v>7026.25</v>
      </c>
      <c r="BM19" s="528">
        <v>0</v>
      </c>
      <c r="BN19" s="528">
        <v>2771.4</v>
      </c>
      <c r="BO19" s="528">
        <v>0</v>
      </c>
      <c r="BP19" s="528">
        <v>6040.8</v>
      </c>
      <c r="BQ19" s="528">
        <v>8812.2000000000007</v>
      </c>
      <c r="BR19" s="528">
        <v>15080.77</v>
      </c>
      <c r="BS19" s="528">
        <v>-1785.9500000000007</v>
      </c>
      <c r="BT19" s="528">
        <v>13294.82</v>
      </c>
      <c r="BU19" s="528">
        <v>0</v>
      </c>
      <c r="BV19" s="528">
        <v>0</v>
      </c>
      <c r="BW19" s="528">
        <v>0</v>
      </c>
      <c r="BX19" s="528">
        <v>0</v>
      </c>
      <c r="BY19" s="528">
        <v>0</v>
      </c>
      <c r="BZ19" s="528">
        <v>0</v>
      </c>
      <c r="CA19" s="528">
        <v>0</v>
      </c>
      <c r="CB19" s="528">
        <v>0</v>
      </c>
      <c r="CC19" s="528">
        <v>0</v>
      </c>
      <c r="CD19" s="528">
        <v>-100361.40999999945</v>
      </c>
      <c r="CE19" s="528">
        <v>0</v>
      </c>
      <c r="CF19" s="528">
        <v>13294.82</v>
      </c>
      <c r="CG19" s="528">
        <v>0</v>
      </c>
      <c r="CH19" s="528">
        <v>0</v>
      </c>
      <c r="CI19" s="528">
        <f t="shared" si="0"/>
        <v>-87066.589999999444</v>
      </c>
      <c r="CJ19" s="528">
        <v>123084.6</v>
      </c>
      <c r="CK19" s="528">
        <v>0</v>
      </c>
      <c r="CL19" s="528">
        <v>0</v>
      </c>
      <c r="CM19" s="528">
        <v>123084.6</v>
      </c>
      <c r="CN19" s="528">
        <v>0</v>
      </c>
      <c r="CO19" s="528">
        <v>0</v>
      </c>
      <c r="CP19" s="528">
        <v>7555</v>
      </c>
      <c r="CQ19" s="528">
        <v>0</v>
      </c>
      <c r="CR19" s="528">
        <v>-181536.78999999998</v>
      </c>
      <c r="CS19" s="528">
        <v>-50897.189999999973</v>
      </c>
      <c r="CT19" s="528">
        <v>0</v>
      </c>
      <c r="CU19" s="528">
        <v>0</v>
      </c>
      <c r="CV19" s="528">
        <v>0</v>
      </c>
      <c r="CW19" s="528">
        <v>0</v>
      </c>
      <c r="CX19" s="528"/>
      <c r="CY19" s="528"/>
      <c r="CZ19" s="528"/>
      <c r="DA19" s="528">
        <v>0</v>
      </c>
      <c r="DB19" s="528">
        <v>0</v>
      </c>
      <c r="DC19" s="528">
        <v>0</v>
      </c>
      <c r="DD19" s="528">
        <v>306.89</v>
      </c>
      <c r="DE19" s="528">
        <v>0</v>
      </c>
      <c r="DF19" s="528">
        <v>0</v>
      </c>
      <c r="DG19" s="528">
        <v>-36476.29</v>
      </c>
      <c r="DH19" s="528">
        <v>0</v>
      </c>
      <c r="DI19" s="528">
        <v>0</v>
      </c>
      <c r="DJ19" s="528">
        <v>0</v>
      </c>
      <c r="DK19" s="528">
        <v>-36169.4</v>
      </c>
      <c r="DL19" s="528">
        <v>0</v>
      </c>
      <c r="DM19" s="528">
        <v>0</v>
      </c>
      <c r="DN19" s="528">
        <v>0</v>
      </c>
      <c r="DO19" s="528">
        <v>0</v>
      </c>
      <c r="DP19" s="528">
        <v>0</v>
      </c>
      <c r="DQ19" s="529">
        <v>0</v>
      </c>
      <c r="DR19" s="530">
        <v>1379801.31</v>
      </c>
      <c r="DS19" s="531">
        <v>867321.25999999978</v>
      </c>
      <c r="DT19" s="530">
        <v>124704.14999999997</v>
      </c>
      <c r="DU19" s="530">
        <v>27056.65</v>
      </c>
      <c r="DV19" s="530">
        <v>0</v>
      </c>
      <c r="DW19" s="530">
        <v>0</v>
      </c>
    </row>
    <row r="20" spans="1:127" s="103" customFormat="1">
      <c r="A20" s="525">
        <v>2016</v>
      </c>
      <c r="B20" s="526" t="s">
        <v>557</v>
      </c>
      <c r="C20" s="525">
        <v>2016</v>
      </c>
      <c r="D20" s="527" t="s">
        <v>1284</v>
      </c>
      <c r="E20" s="527" t="s">
        <v>538</v>
      </c>
      <c r="F20" s="527" t="s">
        <v>5</v>
      </c>
      <c r="G20" s="527" t="s">
        <v>535</v>
      </c>
      <c r="H20" s="528">
        <v>2237895</v>
      </c>
      <c r="I20" s="528">
        <v>0</v>
      </c>
      <c r="J20" s="528">
        <v>147363</v>
      </c>
      <c r="K20" s="528">
        <v>0</v>
      </c>
      <c r="L20" s="528">
        <v>223070</v>
      </c>
      <c r="M20" s="528">
        <v>1914</v>
      </c>
      <c r="N20" s="528">
        <v>1110</v>
      </c>
      <c r="O20" s="528">
        <v>0</v>
      </c>
      <c r="P20" s="528">
        <v>114737</v>
      </c>
      <c r="Q20" s="528">
        <v>348</v>
      </c>
      <c r="R20" s="528">
        <v>0</v>
      </c>
      <c r="S20" s="528">
        <v>0</v>
      </c>
      <c r="T20" s="528">
        <v>39284</v>
      </c>
      <c r="U20" s="528">
        <v>0</v>
      </c>
      <c r="V20" s="528">
        <v>0</v>
      </c>
      <c r="W20" s="528">
        <v>2707</v>
      </c>
      <c r="X20" s="528">
        <v>19595</v>
      </c>
      <c r="Y20" s="528">
        <v>2788023</v>
      </c>
      <c r="Z20" s="528">
        <v>1159025</v>
      </c>
      <c r="AA20" s="528">
        <v>0</v>
      </c>
      <c r="AB20" s="528">
        <v>302571</v>
      </c>
      <c r="AC20" s="528">
        <v>0</v>
      </c>
      <c r="AD20" s="528">
        <v>230718</v>
      </c>
      <c r="AE20" s="528">
        <v>0</v>
      </c>
      <c r="AF20" s="528">
        <v>106902</v>
      </c>
      <c r="AG20" s="528">
        <v>7380</v>
      </c>
      <c r="AH20" s="528">
        <v>9145</v>
      </c>
      <c r="AI20" s="528">
        <v>0</v>
      </c>
      <c r="AJ20" s="528">
        <v>0</v>
      </c>
      <c r="AK20" s="528">
        <v>18898</v>
      </c>
      <c r="AL20" s="528">
        <v>2337</v>
      </c>
      <c r="AM20" s="528">
        <v>260</v>
      </c>
      <c r="AN20" s="528">
        <v>6364</v>
      </c>
      <c r="AO20" s="528">
        <v>53782</v>
      </c>
      <c r="AP20" s="528">
        <v>42612</v>
      </c>
      <c r="AQ20" s="528">
        <v>-6128</v>
      </c>
      <c r="AR20" s="528">
        <v>114168</v>
      </c>
      <c r="AS20" s="528">
        <v>8102</v>
      </c>
      <c r="AT20" s="528">
        <v>0</v>
      </c>
      <c r="AU20" s="528">
        <v>7761</v>
      </c>
      <c r="AV20" s="528">
        <v>9471</v>
      </c>
      <c r="AW20" s="528">
        <v>9430</v>
      </c>
      <c r="AX20" s="528">
        <v>75164</v>
      </c>
      <c r="AY20" s="528">
        <v>107407</v>
      </c>
      <c r="AZ20" s="528">
        <v>9444</v>
      </c>
      <c r="BA20" s="528">
        <v>54470</v>
      </c>
      <c r="BB20" s="528">
        <v>386831</v>
      </c>
      <c r="BC20" s="528">
        <v>0</v>
      </c>
      <c r="BD20" s="528">
        <v>0</v>
      </c>
      <c r="BE20" s="528">
        <v>2716114</v>
      </c>
      <c r="BF20" s="528">
        <v>83075</v>
      </c>
      <c r="BG20" s="528">
        <v>71909</v>
      </c>
      <c r="BH20" s="528">
        <v>154984</v>
      </c>
      <c r="BI20" s="528">
        <v>8039</v>
      </c>
      <c r="BJ20" s="528">
        <v>0</v>
      </c>
      <c r="BK20" s="528">
        <v>0</v>
      </c>
      <c r="BL20" s="528">
        <v>8039</v>
      </c>
      <c r="BM20" s="528">
        <v>0</v>
      </c>
      <c r="BN20" s="528">
        <v>0</v>
      </c>
      <c r="BO20" s="528">
        <v>0</v>
      </c>
      <c r="BP20" s="528">
        <v>0</v>
      </c>
      <c r="BQ20" s="528">
        <v>0</v>
      </c>
      <c r="BR20" s="528">
        <v>0</v>
      </c>
      <c r="BS20" s="528">
        <v>8039</v>
      </c>
      <c r="BT20" s="528">
        <v>8039</v>
      </c>
      <c r="BU20" s="528">
        <v>0</v>
      </c>
      <c r="BV20" s="528">
        <v>0</v>
      </c>
      <c r="BW20" s="528">
        <v>0</v>
      </c>
      <c r="BX20" s="528">
        <v>0</v>
      </c>
      <c r="BY20" s="528">
        <v>0</v>
      </c>
      <c r="BZ20" s="528">
        <v>0</v>
      </c>
      <c r="CA20" s="528">
        <v>0</v>
      </c>
      <c r="CB20" s="528">
        <v>0</v>
      </c>
      <c r="CC20" s="528">
        <v>0</v>
      </c>
      <c r="CD20" s="528">
        <v>154984</v>
      </c>
      <c r="CE20" s="528">
        <v>0</v>
      </c>
      <c r="CF20" s="528">
        <v>8039</v>
      </c>
      <c r="CG20" s="528">
        <v>0</v>
      </c>
      <c r="CH20" s="528">
        <v>0</v>
      </c>
      <c r="CI20" s="528">
        <f t="shared" si="0"/>
        <v>163023</v>
      </c>
      <c r="CJ20" s="528">
        <v>356398</v>
      </c>
      <c r="CK20" s="528">
        <v>0</v>
      </c>
      <c r="CL20" s="528">
        <v>0</v>
      </c>
      <c r="CM20" s="528">
        <v>356398</v>
      </c>
      <c r="CN20" s="528">
        <v>0</v>
      </c>
      <c r="CO20" s="528">
        <v>0</v>
      </c>
      <c r="CP20" s="528">
        <v>1695</v>
      </c>
      <c r="CQ20" s="528">
        <v>0</v>
      </c>
      <c r="CR20" s="528">
        <v>0</v>
      </c>
      <c r="CS20" s="528">
        <v>358093</v>
      </c>
      <c r="CT20" s="528">
        <v>0</v>
      </c>
      <c r="CU20" s="528">
        <v>0</v>
      </c>
      <c r="CV20" s="528">
        <v>0</v>
      </c>
      <c r="CW20" s="528">
        <v>0</v>
      </c>
      <c r="CX20" s="528"/>
      <c r="CY20" s="528"/>
      <c r="CZ20" s="528"/>
      <c r="DA20" s="528">
        <v>0</v>
      </c>
      <c r="DB20" s="528">
        <v>0</v>
      </c>
      <c r="DC20" s="528">
        <v>1110</v>
      </c>
      <c r="DD20" s="528">
        <v>3889</v>
      </c>
      <c r="DE20" s="528">
        <v>17499</v>
      </c>
      <c r="DF20" s="528">
        <v>960</v>
      </c>
      <c r="DG20" s="528">
        <v>-27389</v>
      </c>
      <c r="DH20" s="528">
        <v>-15300</v>
      </c>
      <c r="DI20" s="528">
        <v>0</v>
      </c>
      <c r="DJ20" s="528">
        <v>-4605</v>
      </c>
      <c r="DK20" s="528">
        <v>-23836</v>
      </c>
      <c r="DL20" s="528">
        <v>0</v>
      </c>
      <c r="DM20" s="528">
        <v>0</v>
      </c>
      <c r="DN20" s="528">
        <v>-8566</v>
      </c>
      <c r="DO20" s="528">
        <v>-162669</v>
      </c>
      <c r="DP20" s="528">
        <v>0</v>
      </c>
      <c r="DQ20" s="529">
        <v>-0.12</v>
      </c>
      <c r="DR20" s="530">
        <v>1806596</v>
      </c>
      <c r="DS20" s="531">
        <v>909518</v>
      </c>
      <c r="DT20" s="530">
        <v>107407</v>
      </c>
      <c r="DU20" s="530">
        <v>154369</v>
      </c>
      <c r="DV20" s="530">
        <v>0</v>
      </c>
      <c r="DW20" s="530">
        <v>-171235</v>
      </c>
    </row>
    <row r="21" spans="1:127" s="103" customFormat="1">
      <c r="A21" s="525">
        <v>2239</v>
      </c>
      <c r="B21" s="526" t="s">
        <v>559</v>
      </c>
      <c r="C21" s="525">
        <v>2239</v>
      </c>
      <c r="D21" s="527" t="s">
        <v>1284</v>
      </c>
      <c r="E21" s="527" t="s">
        <v>538</v>
      </c>
      <c r="F21" s="527" t="s">
        <v>5</v>
      </c>
      <c r="G21" s="527" t="s">
        <v>535</v>
      </c>
      <c r="H21" s="528">
        <v>1240610.04</v>
      </c>
      <c r="I21" s="528">
        <v>0</v>
      </c>
      <c r="J21" s="528">
        <v>70377.649999999994</v>
      </c>
      <c r="K21" s="528">
        <v>0</v>
      </c>
      <c r="L21" s="528">
        <v>158873.96</v>
      </c>
      <c r="M21" s="528">
        <v>600</v>
      </c>
      <c r="N21" s="528">
        <v>0</v>
      </c>
      <c r="O21" s="528">
        <v>0</v>
      </c>
      <c r="P21" s="528">
        <v>75481.53</v>
      </c>
      <c r="Q21" s="528">
        <v>27855.53</v>
      </c>
      <c r="R21" s="528">
        <v>0</v>
      </c>
      <c r="S21" s="528">
        <v>0</v>
      </c>
      <c r="T21" s="528">
        <v>83769.189999999886</v>
      </c>
      <c r="U21" s="528">
        <v>65612.710000000006</v>
      </c>
      <c r="V21" s="528">
        <v>0</v>
      </c>
      <c r="W21" s="528">
        <v>2083.75</v>
      </c>
      <c r="X21" s="528">
        <v>61563</v>
      </c>
      <c r="Y21" s="528">
        <v>1786827.3599999999</v>
      </c>
      <c r="Z21" s="528">
        <v>605004.85000000056</v>
      </c>
      <c r="AA21" s="528">
        <v>0</v>
      </c>
      <c r="AB21" s="528">
        <v>373955.64</v>
      </c>
      <c r="AC21" s="528">
        <v>39369.919999999634</v>
      </c>
      <c r="AD21" s="528">
        <v>134665.14000000001</v>
      </c>
      <c r="AE21" s="528">
        <v>0</v>
      </c>
      <c r="AF21" s="528">
        <v>278616.85999999987</v>
      </c>
      <c r="AG21" s="528">
        <v>-8.0035533756017685E-11</v>
      </c>
      <c r="AH21" s="528">
        <v>16</v>
      </c>
      <c r="AI21" s="528">
        <v>0</v>
      </c>
      <c r="AJ21" s="528">
        <v>0</v>
      </c>
      <c r="AK21" s="528">
        <v>-1715.42</v>
      </c>
      <c r="AL21" s="528">
        <v>0</v>
      </c>
      <c r="AM21" s="528">
        <v>433.4</v>
      </c>
      <c r="AN21" s="528">
        <v>3348.67</v>
      </c>
      <c r="AO21" s="528">
        <v>28066.91</v>
      </c>
      <c r="AP21" s="528">
        <v>11105.6</v>
      </c>
      <c r="AQ21" s="528">
        <v>4443.18</v>
      </c>
      <c r="AR21" s="528">
        <v>138463.67000000001</v>
      </c>
      <c r="AS21" s="528">
        <v>160.82999999999998</v>
      </c>
      <c r="AT21" s="528">
        <v>144.23999999999998</v>
      </c>
      <c r="AU21" s="528">
        <v>67490.13</v>
      </c>
      <c r="AV21" s="528">
        <v>5139.75</v>
      </c>
      <c r="AW21" s="528">
        <v>0</v>
      </c>
      <c r="AX21" s="528">
        <v>79804.099999999991</v>
      </c>
      <c r="AY21" s="528">
        <v>38539.589999999997</v>
      </c>
      <c r="AZ21" s="528">
        <v>4186.6899999999996</v>
      </c>
      <c r="BA21" s="528">
        <v>32237.340000000004</v>
      </c>
      <c r="BB21" s="528">
        <v>0</v>
      </c>
      <c r="BC21" s="528">
        <v>0</v>
      </c>
      <c r="BD21" s="528">
        <v>0</v>
      </c>
      <c r="BE21" s="528">
        <v>1843477.0900000003</v>
      </c>
      <c r="BF21" s="528">
        <v>61452.890000000509</v>
      </c>
      <c r="BG21" s="528">
        <v>-56649.730000000447</v>
      </c>
      <c r="BH21" s="528">
        <v>4803.1600000000617</v>
      </c>
      <c r="BI21" s="528">
        <v>6198.25</v>
      </c>
      <c r="BJ21" s="528">
        <v>0</v>
      </c>
      <c r="BK21" s="528">
        <v>0</v>
      </c>
      <c r="BL21" s="528">
        <v>6198.25</v>
      </c>
      <c r="BM21" s="528">
        <v>0</v>
      </c>
      <c r="BN21" s="528">
        <v>6100</v>
      </c>
      <c r="BO21" s="528">
        <v>0</v>
      </c>
      <c r="BP21" s="528">
        <v>0</v>
      </c>
      <c r="BQ21" s="528">
        <v>6100</v>
      </c>
      <c r="BR21" s="528">
        <v>8773.4199999999983</v>
      </c>
      <c r="BS21" s="528">
        <v>98.25</v>
      </c>
      <c r="BT21" s="528">
        <v>8871.6699999999983</v>
      </c>
      <c r="BU21" s="528">
        <v>0</v>
      </c>
      <c r="BV21" s="528">
        <v>0</v>
      </c>
      <c r="BW21" s="528">
        <v>0</v>
      </c>
      <c r="BX21" s="528">
        <v>0</v>
      </c>
      <c r="BY21" s="528">
        <v>0</v>
      </c>
      <c r="BZ21" s="528">
        <v>0</v>
      </c>
      <c r="CA21" s="528">
        <v>0</v>
      </c>
      <c r="CB21" s="528">
        <v>0</v>
      </c>
      <c r="CC21" s="528">
        <v>0</v>
      </c>
      <c r="CD21" s="528">
        <v>4803.1600000000617</v>
      </c>
      <c r="CE21" s="528">
        <v>0</v>
      </c>
      <c r="CF21" s="528">
        <v>8871.6699999999983</v>
      </c>
      <c r="CG21" s="528">
        <v>0</v>
      </c>
      <c r="CH21" s="528">
        <v>0</v>
      </c>
      <c r="CI21" s="528">
        <f t="shared" si="0"/>
        <v>13674.83000000006</v>
      </c>
      <c r="CJ21" s="528">
        <v>148350.37</v>
      </c>
      <c r="CK21" s="528">
        <v>14769.81</v>
      </c>
      <c r="CL21" s="528">
        <v>0</v>
      </c>
      <c r="CM21" s="528">
        <v>133580.56</v>
      </c>
      <c r="CN21" s="528">
        <v>0</v>
      </c>
      <c r="CO21" s="528">
        <v>0</v>
      </c>
      <c r="CP21" s="528">
        <v>5034.8100000000004</v>
      </c>
      <c r="CQ21" s="528">
        <v>0</v>
      </c>
      <c r="CR21" s="528">
        <v>-160228.96000000002</v>
      </c>
      <c r="CS21" s="528">
        <v>-21613.590000000026</v>
      </c>
      <c r="CT21" s="528">
        <v>0</v>
      </c>
      <c r="CU21" s="528">
        <v>0</v>
      </c>
      <c r="CV21" s="528">
        <v>0</v>
      </c>
      <c r="CW21" s="528">
        <v>0</v>
      </c>
      <c r="CX21" s="528"/>
      <c r="CY21" s="528"/>
      <c r="CZ21" s="528"/>
      <c r="DA21" s="528">
        <v>0</v>
      </c>
      <c r="DB21" s="528">
        <v>0</v>
      </c>
      <c r="DC21" s="528">
        <v>55000</v>
      </c>
      <c r="DD21" s="528">
        <v>2861.87</v>
      </c>
      <c r="DE21" s="528">
        <v>0</v>
      </c>
      <c r="DF21" s="528">
        <v>0</v>
      </c>
      <c r="DG21" s="528">
        <v>-22572.959999999999</v>
      </c>
      <c r="DH21" s="528">
        <v>0</v>
      </c>
      <c r="DI21" s="528">
        <v>0</v>
      </c>
      <c r="DJ21" s="528">
        <v>0</v>
      </c>
      <c r="DK21" s="528">
        <v>35288.910000000003</v>
      </c>
      <c r="DL21" s="528">
        <v>0</v>
      </c>
      <c r="DM21" s="528">
        <v>0</v>
      </c>
      <c r="DN21" s="528">
        <v>0</v>
      </c>
      <c r="DO21" s="528">
        <v>0</v>
      </c>
      <c r="DP21" s="528">
        <v>0</v>
      </c>
      <c r="DQ21" s="529">
        <v>-0.19000000011874363</v>
      </c>
      <c r="DR21" s="530">
        <v>1431612.4100000001</v>
      </c>
      <c r="DS21" s="531">
        <v>411864.68000000017</v>
      </c>
      <c r="DT21" s="530">
        <v>38539.589999999997</v>
      </c>
      <c r="DU21" s="530">
        <v>187106.24999999988</v>
      </c>
      <c r="DV21" s="530">
        <v>65612.710000000006</v>
      </c>
      <c r="DW21" s="530">
        <v>0</v>
      </c>
    </row>
    <row r="22" spans="1:127" s="103" customFormat="1">
      <c r="A22" s="525">
        <v>2241</v>
      </c>
      <c r="B22" s="526" t="s">
        <v>561</v>
      </c>
      <c r="C22" s="525">
        <v>2241</v>
      </c>
      <c r="D22" s="527" t="s">
        <v>1284</v>
      </c>
      <c r="E22" s="527" t="s">
        <v>538</v>
      </c>
      <c r="F22" s="527" t="s">
        <v>5</v>
      </c>
      <c r="G22" s="527" t="s">
        <v>535</v>
      </c>
      <c r="H22" s="528">
        <v>1521367.2</v>
      </c>
      <c r="I22" s="528">
        <v>0</v>
      </c>
      <c r="J22" s="528">
        <v>62904.88</v>
      </c>
      <c r="K22" s="528">
        <v>0</v>
      </c>
      <c r="L22" s="528">
        <v>209430</v>
      </c>
      <c r="M22" s="528">
        <v>66976.73</v>
      </c>
      <c r="N22" s="528">
        <v>0</v>
      </c>
      <c r="O22" s="528">
        <v>0</v>
      </c>
      <c r="P22" s="528">
        <v>104243.98999999996</v>
      </c>
      <c r="Q22" s="528">
        <v>25508.39</v>
      </c>
      <c r="R22" s="528">
        <v>0</v>
      </c>
      <c r="S22" s="528">
        <v>0</v>
      </c>
      <c r="T22" s="528">
        <v>719.35</v>
      </c>
      <c r="U22" s="528">
        <v>0</v>
      </c>
      <c r="V22" s="528">
        <v>0</v>
      </c>
      <c r="W22" s="528">
        <v>13422.08</v>
      </c>
      <c r="X22" s="528">
        <v>18555</v>
      </c>
      <c r="Y22" s="528">
        <v>2023127.6199999999</v>
      </c>
      <c r="Z22" s="528">
        <v>957971.24999999977</v>
      </c>
      <c r="AA22" s="528">
        <v>5037.67</v>
      </c>
      <c r="AB22" s="528">
        <v>383458.39</v>
      </c>
      <c r="AC22" s="528">
        <v>64133.970000000205</v>
      </c>
      <c r="AD22" s="528">
        <v>148734.24</v>
      </c>
      <c r="AE22" s="528">
        <v>0</v>
      </c>
      <c r="AF22" s="528">
        <v>60331.050000000221</v>
      </c>
      <c r="AG22" s="528">
        <v>26115.359999999979</v>
      </c>
      <c r="AH22" s="528">
        <v>4415.74</v>
      </c>
      <c r="AI22" s="528">
        <v>0</v>
      </c>
      <c r="AJ22" s="528">
        <v>0</v>
      </c>
      <c r="AK22" s="528">
        <v>15564.039999999999</v>
      </c>
      <c r="AL22" s="528">
        <v>16394.75</v>
      </c>
      <c r="AM22" s="528">
        <v>18106.830000000002</v>
      </c>
      <c r="AN22" s="528">
        <v>2831.1699999999987</v>
      </c>
      <c r="AO22" s="528">
        <v>47303.069999999992</v>
      </c>
      <c r="AP22" s="528">
        <v>14721.39</v>
      </c>
      <c r="AQ22" s="528">
        <v>12863.670000000002</v>
      </c>
      <c r="AR22" s="528">
        <v>112974.59999999998</v>
      </c>
      <c r="AS22" s="528">
        <v>17656.829999999998</v>
      </c>
      <c r="AT22" s="528">
        <v>96.159999999999982</v>
      </c>
      <c r="AU22" s="528">
        <v>73515.449999999968</v>
      </c>
      <c r="AV22" s="528">
        <v>5139.75</v>
      </c>
      <c r="AW22" s="528">
        <v>3450</v>
      </c>
      <c r="AX22" s="528">
        <v>82179.440000000017</v>
      </c>
      <c r="AY22" s="528">
        <v>20678.139999999996</v>
      </c>
      <c r="AZ22" s="528">
        <v>6142.15</v>
      </c>
      <c r="BA22" s="528">
        <v>168677.79999999993</v>
      </c>
      <c r="BB22" s="528">
        <v>0</v>
      </c>
      <c r="BC22" s="528">
        <v>0</v>
      </c>
      <c r="BD22" s="528">
        <v>0</v>
      </c>
      <c r="BE22" s="528">
        <v>2268492.9099999997</v>
      </c>
      <c r="BF22" s="528">
        <v>186943.56</v>
      </c>
      <c r="BG22" s="528">
        <v>-245365.2899999998</v>
      </c>
      <c r="BH22" s="528">
        <v>-58421.729999999807</v>
      </c>
      <c r="BI22" s="528">
        <v>7037.5</v>
      </c>
      <c r="BJ22" s="528">
        <v>0</v>
      </c>
      <c r="BK22" s="528">
        <v>0</v>
      </c>
      <c r="BL22" s="528">
        <v>7037.5</v>
      </c>
      <c r="BM22" s="528">
        <v>0</v>
      </c>
      <c r="BN22" s="528">
        <v>0</v>
      </c>
      <c r="BO22" s="528">
        <v>15026.34</v>
      </c>
      <c r="BP22" s="528">
        <v>0</v>
      </c>
      <c r="BQ22" s="528">
        <v>15026.34</v>
      </c>
      <c r="BR22" s="528">
        <v>20714.71</v>
      </c>
      <c r="BS22" s="528">
        <v>-7988.84</v>
      </c>
      <c r="BT22" s="528">
        <v>12725.869999999999</v>
      </c>
      <c r="BU22" s="528">
        <v>0</v>
      </c>
      <c r="BV22" s="528">
        <v>0</v>
      </c>
      <c r="BW22" s="528">
        <v>0</v>
      </c>
      <c r="BX22" s="528">
        <v>0</v>
      </c>
      <c r="BY22" s="528">
        <v>0</v>
      </c>
      <c r="BZ22" s="528">
        <v>0</v>
      </c>
      <c r="CA22" s="528">
        <v>0</v>
      </c>
      <c r="CB22" s="528">
        <v>0</v>
      </c>
      <c r="CC22" s="528">
        <v>0</v>
      </c>
      <c r="CD22" s="528">
        <v>-58421.729999999807</v>
      </c>
      <c r="CE22" s="528">
        <v>0</v>
      </c>
      <c r="CF22" s="528">
        <v>12725.869999999999</v>
      </c>
      <c r="CG22" s="528">
        <v>0</v>
      </c>
      <c r="CH22" s="528">
        <v>0</v>
      </c>
      <c r="CI22" s="528">
        <f t="shared" si="0"/>
        <v>-45695.859999999811</v>
      </c>
      <c r="CJ22" s="528">
        <v>157094</v>
      </c>
      <c r="CK22" s="528">
        <v>0</v>
      </c>
      <c r="CL22" s="528">
        <v>0</v>
      </c>
      <c r="CM22" s="528">
        <v>157094</v>
      </c>
      <c r="CN22" s="528">
        <v>0</v>
      </c>
      <c r="CO22" s="528">
        <v>0</v>
      </c>
      <c r="CP22" s="528">
        <v>3984</v>
      </c>
      <c r="CQ22" s="528">
        <v>0</v>
      </c>
      <c r="CR22" s="528">
        <v>-184191.84</v>
      </c>
      <c r="CS22" s="528">
        <v>-23113.839999999997</v>
      </c>
      <c r="CT22" s="528">
        <v>0</v>
      </c>
      <c r="CU22" s="528">
        <v>0</v>
      </c>
      <c r="CV22" s="528">
        <v>0</v>
      </c>
      <c r="CW22" s="528">
        <v>0</v>
      </c>
      <c r="CX22" s="528"/>
      <c r="CY22" s="528"/>
      <c r="CZ22" s="528"/>
      <c r="DA22" s="528">
        <v>0</v>
      </c>
      <c r="DB22" s="528">
        <v>0</v>
      </c>
      <c r="DC22" s="528">
        <v>1913.16</v>
      </c>
      <c r="DD22" s="528">
        <v>7160.15</v>
      </c>
      <c r="DE22" s="528">
        <v>0</v>
      </c>
      <c r="DF22" s="528">
        <v>0</v>
      </c>
      <c r="DG22" s="528">
        <v>-31655.33</v>
      </c>
      <c r="DH22" s="528">
        <v>0</v>
      </c>
      <c r="DI22" s="528">
        <v>0</v>
      </c>
      <c r="DJ22" s="528">
        <v>0</v>
      </c>
      <c r="DK22" s="528">
        <v>-22582.020000000004</v>
      </c>
      <c r="DL22" s="528">
        <v>0</v>
      </c>
      <c r="DM22" s="528">
        <v>0</v>
      </c>
      <c r="DN22" s="528">
        <v>0</v>
      </c>
      <c r="DO22" s="528">
        <v>0</v>
      </c>
      <c r="DP22" s="528">
        <v>0</v>
      </c>
      <c r="DQ22" s="529"/>
      <c r="DR22" s="530">
        <v>1645781.9300000002</v>
      </c>
      <c r="DS22" s="531">
        <v>622710.97999999952</v>
      </c>
      <c r="DT22" s="530">
        <v>20678.139999999996</v>
      </c>
      <c r="DU22" s="530">
        <v>130471.72999999997</v>
      </c>
      <c r="DV22" s="530">
        <v>0</v>
      </c>
      <c r="DW22" s="530">
        <v>0</v>
      </c>
    </row>
    <row r="23" spans="1:127" s="103" customFormat="1">
      <c r="A23" s="525">
        <v>2456</v>
      </c>
      <c r="B23" s="526" t="s">
        <v>881</v>
      </c>
      <c r="C23" s="525">
        <v>2456</v>
      </c>
      <c r="D23" s="527" t="s">
        <v>1284</v>
      </c>
      <c r="E23" s="527" t="s">
        <v>538</v>
      </c>
      <c r="F23" s="527" t="s">
        <v>5</v>
      </c>
      <c r="G23" s="527" t="s">
        <v>958</v>
      </c>
      <c r="H23" s="528">
        <v>1318213.93</v>
      </c>
      <c r="I23" s="528">
        <v>0</v>
      </c>
      <c r="J23" s="528">
        <v>80611.509999999995</v>
      </c>
      <c r="K23" s="528">
        <v>0</v>
      </c>
      <c r="L23" s="528">
        <v>120970</v>
      </c>
      <c r="M23" s="528">
        <v>1400</v>
      </c>
      <c r="N23" s="528">
        <v>0</v>
      </c>
      <c r="O23" s="528">
        <v>0</v>
      </c>
      <c r="P23" s="528">
        <v>45168.44999999999</v>
      </c>
      <c r="Q23" s="528">
        <v>0</v>
      </c>
      <c r="R23" s="528">
        <v>0</v>
      </c>
      <c r="S23" s="528">
        <v>0</v>
      </c>
      <c r="T23" s="528">
        <v>15672.05</v>
      </c>
      <c r="U23" s="528">
        <v>0</v>
      </c>
      <c r="V23" s="528">
        <v>0</v>
      </c>
      <c r="W23" s="528">
        <v>3772.92</v>
      </c>
      <c r="X23" s="528">
        <v>45724</v>
      </c>
      <c r="Y23" s="528">
        <v>1631532.8599999999</v>
      </c>
      <c r="Z23" s="528">
        <v>687975.06000000075</v>
      </c>
      <c r="AA23" s="528">
        <v>101682</v>
      </c>
      <c r="AB23" s="528">
        <v>246066.9</v>
      </c>
      <c r="AC23" s="528">
        <v>61008.000000000233</v>
      </c>
      <c r="AD23" s="528">
        <v>149155</v>
      </c>
      <c r="AE23" s="528">
        <v>36512</v>
      </c>
      <c r="AF23" s="528">
        <v>35683.999999999884</v>
      </c>
      <c r="AG23" s="528">
        <v>516.00000000002183</v>
      </c>
      <c r="AH23" s="528">
        <v>7357</v>
      </c>
      <c r="AI23" s="528">
        <v>0</v>
      </c>
      <c r="AJ23" s="528">
        <v>0</v>
      </c>
      <c r="AK23" s="528">
        <v>6462.4600000000009</v>
      </c>
      <c r="AL23" s="528">
        <v>183.74</v>
      </c>
      <c r="AM23" s="528">
        <v>767.95</v>
      </c>
      <c r="AN23" s="528">
        <v>4250</v>
      </c>
      <c r="AO23" s="528">
        <v>39310</v>
      </c>
      <c r="AP23" s="528">
        <v>43724.74</v>
      </c>
      <c r="AQ23" s="528">
        <v>30469</v>
      </c>
      <c r="AR23" s="528">
        <v>88260.87</v>
      </c>
      <c r="AS23" s="528">
        <v>11012.89</v>
      </c>
      <c r="AT23" s="528">
        <v>0</v>
      </c>
      <c r="AU23" s="528">
        <v>5790.0000000000146</v>
      </c>
      <c r="AV23" s="528">
        <v>5789.75</v>
      </c>
      <c r="AW23" s="528">
        <v>1610</v>
      </c>
      <c r="AX23" s="528">
        <v>33861</v>
      </c>
      <c r="AY23" s="528">
        <v>0</v>
      </c>
      <c r="AZ23" s="528">
        <v>5014</v>
      </c>
      <c r="BA23" s="528">
        <v>70391.100000000006</v>
      </c>
      <c r="BB23" s="528">
        <v>0</v>
      </c>
      <c r="BC23" s="528">
        <v>0</v>
      </c>
      <c r="BD23" s="528">
        <v>0</v>
      </c>
      <c r="BE23" s="528">
        <v>1672853.4600000007</v>
      </c>
      <c r="BF23" s="528">
        <v>-107227.38000000012</v>
      </c>
      <c r="BG23" s="528">
        <v>-41320.600000000792</v>
      </c>
      <c r="BH23" s="528">
        <v>-148547.98000000091</v>
      </c>
      <c r="BI23" s="528">
        <v>6238.75</v>
      </c>
      <c r="BJ23" s="528">
        <v>0</v>
      </c>
      <c r="BK23" s="528">
        <v>0</v>
      </c>
      <c r="BL23" s="528">
        <v>6238.75</v>
      </c>
      <c r="BM23" s="528">
        <v>0</v>
      </c>
      <c r="BN23" s="528">
        <v>5547.2300000000005</v>
      </c>
      <c r="BO23" s="528">
        <v>0</v>
      </c>
      <c r="BP23" s="528">
        <v>0</v>
      </c>
      <c r="BQ23" s="528">
        <v>5547.2300000000005</v>
      </c>
      <c r="BR23" s="528">
        <v>3338.75</v>
      </c>
      <c r="BS23" s="528">
        <v>691.51999999999953</v>
      </c>
      <c r="BT23" s="528">
        <v>4030.2699999999995</v>
      </c>
      <c r="BU23" s="528">
        <v>0</v>
      </c>
      <c r="BV23" s="528">
        <v>0</v>
      </c>
      <c r="BW23" s="528">
        <v>0</v>
      </c>
      <c r="BX23" s="528">
        <v>0</v>
      </c>
      <c r="BY23" s="528">
        <v>0</v>
      </c>
      <c r="BZ23" s="528">
        <v>0</v>
      </c>
      <c r="CA23" s="528">
        <v>0</v>
      </c>
      <c r="CB23" s="528">
        <v>0</v>
      </c>
      <c r="CC23" s="528">
        <v>0</v>
      </c>
      <c r="CD23" s="528">
        <v>-148547.98000000001</v>
      </c>
      <c r="CE23" s="528">
        <v>0</v>
      </c>
      <c r="CF23" s="528">
        <v>4030.27</v>
      </c>
      <c r="CG23" s="528">
        <v>0</v>
      </c>
      <c r="CH23" s="528">
        <v>0</v>
      </c>
      <c r="CI23" s="528">
        <f t="shared" si="0"/>
        <v>-144517.71000000002</v>
      </c>
      <c r="CJ23" s="528">
        <v>2000</v>
      </c>
      <c r="CK23" s="528">
        <v>0</v>
      </c>
      <c r="CL23" s="528">
        <v>0</v>
      </c>
      <c r="CM23" s="528">
        <v>2000</v>
      </c>
      <c r="CN23" s="528">
        <v>-2000</v>
      </c>
      <c r="CO23" s="528">
        <v>0</v>
      </c>
      <c r="CP23" s="528">
        <v>0</v>
      </c>
      <c r="CQ23" s="528">
        <v>0</v>
      </c>
      <c r="CR23" s="528">
        <v>0</v>
      </c>
      <c r="CS23" s="528">
        <v>0</v>
      </c>
      <c r="CT23" s="528">
        <v>0</v>
      </c>
      <c r="CU23" s="528">
        <v>0</v>
      </c>
      <c r="CV23" s="528">
        <v>0</v>
      </c>
      <c r="CW23" s="528">
        <v>0</v>
      </c>
      <c r="CX23" s="528"/>
      <c r="CY23" s="528"/>
      <c r="CZ23" s="528"/>
      <c r="DA23" s="528">
        <v>-145059.10000000094</v>
      </c>
      <c r="DB23" s="528">
        <v>-145059.10000000094</v>
      </c>
      <c r="DC23" s="528">
        <v>0</v>
      </c>
      <c r="DD23" s="528">
        <v>541.39</v>
      </c>
      <c r="DE23" s="528">
        <v>0</v>
      </c>
      <c r="DF23" s="528">
        <v>0</v>
      </c>
      <c r="DG23" s="528">
        <v>0</v>
      </c>
      <c r="DH23" s="528">
        <v>0</v>
      </c>
      <c r="DI23" s="528">
        <v>0</v>
      </c>
      <c r="DJ23" s="528">
        <v>0</v>
      </c>
      <c r="DK23" s="528">
        <v>541.39</v>
      </c>
      <c r="DL23" s="528">
        <v>0</v>
      </c>
      <c r="DM23" s="528">
        <v>0</v>
      </c>
      <c r="DN23" s="528">
        <v>0</v>
      </c>
      <c r="DO23" s="528">
        <v>0</v>
      </c>
      <c r="DP23" s="528">
        <v>0</v>
      </c>
      <c r="DQ23" s="529">
        <v>9.0221874415874481E-10</v>
      </c>
      <c r="DR23" s="530">
        <v>1318598.9600000009</v>
      </c>
      <c r="DS23" s="531">
        <v>354254.49999999977</v>
      </c>
      <c r="DT23" s="530">
        <v>0</v>
      </c>
      <c r="DU23" s="530">
        <v>60840.499999999985</v>
      </c>
      <c r="DV23" s="530">
        <v>0</v>
      </c>
      <c r="DW23" s="530">
        <v>0</v>
      </c>
    </row>
    <row r="24" spans="1:127" s="103" customFormat="1">
      <c r="A24" s="525">
        <v>5413</v>
      </c>
      <c r="B24" s="526" t="s">
        <v>563</v>
      </c>
      <c r="C24" s="525">
        <v>5413</v>
      </c>
      <c r="D24" s="527" t="s">
        <v>1284</v>
      </c>
      <c r="E24" s="527" t="s">
        <v>564</v>
      </c>
      <c r="F24" s="527" t="s">
        <v>5</v>
      </c>
      <c r="G24" s="527" t="s">
        <v>535</v>
      </c>
      <c r="H24" s="528">
        <v>8662375</v>
      </c>
      <c r="I24" s="528">
        <v>0</v>
      </c>
      <c r="J24" s="528">
        <v>76477</v>
      </c>
      <c r="K24" s="528">
        <v>0</v>
      </c>
      <c r="L24" s="528">
        <v>381270</v>
      </c>
      <c r="M24" s="528">
        <v>9871.9999999999982</v>
      </c>
      <c r="N24" s="528">
        <v>101286.65</v>
      </c>
      <c r="O24" s="528">
        <v>0</v>
      </c>
      <c r="P24" s="528">
        <v>3296019.66</v>
      </c>
      <c r="Q24" s="528">
        <v>296187</v>
      </c>
      <c r="R24" s="528">
        <v>0</v>
      </c>
      <c r="S24" s="528">
        <v>0</v>
      </c>
      <c r="T24" s="528">
        <v>345403</v>
      </c>
      <c r="U24" s="528">
        <v>0</v>
      </c>
      <c r="V24" s="528">
        <v>0</v>
      </c>
      <c r="W24" s="528">
        <v>0</v>
      </c>
      <c r="X24" s="528">
        <v>0</v>
      </c>
      <c r="Y24" s="528">
        <v>13168890.310000001</v>
      </c>
      <c r="Z24" s="528">
        <v>6595702</v>
      </c>
      <c r="AA24" s="528">
        <v>0</v>
      </c>
      <c r="AB24" s="528">
        <v>1114431</v>
      </c>
      <c r="AC24" s="528">
        <v>477713</v>
      </c>
      <c r="AD24" s="528">
        <v>1301372</v>
      </c>
      <c r="AE24" s="528">
        <v>279538</v>
      </c>
      <c r="AF24" s="528">
        <v>0</v>
      </c>
      <c r="AG24" s="528">
        <v>31724</v>
      </c>
      <c r="AH24" s="528">
        <v>9208</v>
      </c>
      <c r="AI24" s="528">
        <v>0</v>
      </c>
      <c r="AJ24" s="528">
        <v>0</v>
      </c>
      <c r="AK24" s="528">
        <v>160743</v>
      </c>
      <c r="AL24" s="528">
        <v>0</v>
      </c>
      <c r="AM24" s="528">
        <v>14412</v>
      </c>
      <c r="AN24" s="528">
        <v>4804</v>
      </c>
      <c r="AO24" s="528">
        <v>219098</v>
      </c>
      <c r="AP24" s="528">
        <v>82149.5</v>
      </c>
      <c r="AQ24" s="528">
        <v>59565</v>
      </c>
      <c r="AR24" s="528">
        <v>1567320</v>
      </c>
      <c r="AS24" s="528">
        <v>108555</v>
      </c>
      <c r="AT24" s="528">
        <v>155489</v>
      </c>
      <c r="AU24" s="528">
        <v>262355</v>
      </c>
      <c r="AV24" s="528">
        <v>27044</v>
      </c>
      <c r="AW24" s="528">
        <v>0</v>
      </c>
      <c r="AX24" s="528">
        <v>290140</v>
      </c>
      <c r="AY24" s="528">
        <v>132125</v>
      </c>
      <c r="AZ24" s="528">
        <v>206849.65</v>
      </c>
      <c r="BA24" s="528">
        <v>92620</v>
      </c>
      <c r="BB24" s="528">
        <v>0</v>
      </c>
      <c r="BC24" s="528">
        <v>0</v>
      </c>
      <c r="BD24" s="528">
        <v>0</v>
      </c>
      <c r="BE24" s="528">
        <v>13192957.15</v>
      </c>
      <c r="BF24" s="528">
        <v>272195.22000000061</v>
      </c>
      <c r="BG24" s="528">
        <v>-24066.839999999851</v>
      </c>
      <c r="BH24" s="528">
        <v>248128.38000000076</v>
      </c>
      <c r="BI24" s="528">
        <v>0</v>
      </c>
      <c r="BJ24" s="528">
        <v>0</v>
      </c>
      <c r="BK24" s="528">
        <v>0</v>
      </c>
      <c r="BL24" s="528">
        <v>0</v>
      </c>
      <c r="BM24" s="528">
        <v>0</v>
      </c>
      <c r="BN24" s="528">
        <v>0</v>
      </c>
      <c r="BO24" s="528">
        <v>0</v>
      </c>
      <c r="BP24" s="528">
        <v>0</v>
      </c>
      <c r="BQ24" s="528">
        <v>0</v>
      </c>
      <c r="BR24" s="528">
        <v>0</v>
      </c>
      <c r="BS24" s="528">
        <v>0</v>
      </c>
      <c r="BT24" s="528">
        <v>0</v>
      </c>
      <c r="BU24" s="528">
        <v>0</v>
      </c>
      <c r="BV24" s="528">
        <v>0</v>
      </c>
      <c r="BW24" s="528">
        <v>0</v>
      </c>
      <c r="BX24" s="528">
        <v>0</v>
      </c>
      <c r="BY24" s="528">
        <v>0</v>
      </c>
      <c r="BZ24" s="528">
        <v>0</v>
      </c>
      <c r="CA24" s="528">
        <v>0</v>
      </c>
      <c r="CB24" s="528">
        <v>0</v>
      </c>
      <c r="CC24" s="528">
        <v>0</v>
      </c>
      <c r="CD24" s="528">
        <v>248128.38000000076</v>
      </c>
      <c r="CE24" s="528">
        <v>0</v>
      </c>
      <c r="CF24" s="528">
        <v>0</v>
      </c>
      <c r="CG24" s="528">
        <v>0</v>
      </c>
      <c r="CH24" s="528">
        <v>0</v>
      </c>
      <c r="CI24" s="528">
        <f t="shared" si="0"/>
        <v>248128.38000000076</v>
      </c>
      <c r="CJ24" s="528">
        <v>1367591.04</v>
      </c>
      <c r="CK24" s="528">
        <v>829226.07</v>
      </c>
      <c r="CL24" s="528">
        <v>0</v>
      </c>
      <c r="CM24" s="528">
        <v>538364.97000000009</v>
      </c>
      <c r="CN24" s="528">
        <v>0</v>
      </c>
      <c r="CO24" s="528">
        <v>0</v>
      </c>
      <c r="CP24" s="528">
        <v>17760.490000000002</v>
      </c>
      <c r="CQ24" s="528">
        <v>6522.22</v>
      </c>
      <c r="CR24" s="528">
        <v>0</v>
      </c>
      <c r="CS24" s="528">
        <v>562647.68000000005</v>
      </c>
      <c r="CT24" s="528">
        <v>1016.61</v>
      </c>
      <c r="CU24" s="528">
        <v>0</v>
      </c>
      <c r="CV24" s="528">
        <v>0</v>
      </c>
      <c r="CW24" s="528">
        <v>1016.61</v>
      </c>
      <c r="CX24" s="528"/>
      <c r="CY24" s="528"/>
      <c r="CZ24" s="528"/>
      <c r="DA24" s="528">
        <v>0</v>
      </c>
      <c r="DB24" s="528">
        <v>1016.61</v>
      </c>
      <c r="DC24" s="528">
        <v>0</v>
      </c>
      <c r="DD24" s="528">
        <v>10243.66</v>
      </c>
      <c r="DE24" s="528">
        <v>0</v>
      </c>
      <c r="DF24" s="528">
        <v>0</v>
      </c>
      <c r="DG24" s="528">
        <v>-325779.5</v>
      </c>
      <c r="DH24" s="528">
        <v>0</v>
      </c>
      <c r="DI24" s="528">
        <v>0</v>
      </c>
      <c r="DJ24" s="528">
        <v>0</v>
      </c>
      <c r="DK24" s="528">
        <v>-315535.84000000003</v>
      </c>
      <c r="DL24" s="528">
        <v>0</v>
      </c>
      <c r="DM24" s="528">
        <v>0</v>
      </c>
      <c r="DN24" s="528">
        <v>0</v>
      </c>
      <c r="DO24" s="528">
        <v>0</v>
      </c>
      <c r="DP24" s="528">
        <v>0</v>
      </c>
      <c r="DQ24" s="529"/>
      <c r="DR24" s="530">
        <v>9800480</v>
      </c>
      <c r="DS24" s="531">
        <v>3392477.1500000004</v>
      </c>
      <c r="DT24" s="530">
        <v>132125</v>
      </c>
      <c r="DU24" s="530">
        <v>3937609.66</v>
      </c>
      <c r="DV24" s="530">
        <v>0</v>
      </c>
      <c r="DW24" s="530">
        <v>0</v>
      </c>
    </row>
    <row r="25" spans="1:127" s="103" customFormat="1">
      <c r="A25" s="525">
        <v>2254</v>
      </c>
      <c r="B25" s="526" t="s">
        <v>883</v>
      </c>
      <c r="C25" s="525">
        <v>2254</v>
      </c>
      <c r="D25" s="527" t="s">
        <v>1284</v>
      </c>
      <c r="E25" s="527" t="s">
        <v>538</v>
      </c>
      <c r="F25" s="527" t="s">
        <v>5</v>
      </c>
      <c r="G25" s="527" t="s">
        <v>958</v>
      </c>
      <c r="H25" s="528">
        <v>3350420.41</v>
      </c>
      <c r="I25" s="528">
        <v>0</v>
      </c>
      <c r="J25" s="528">
        <v>227321.60000000001</v>
      </c>
      <c r="K25" s="528">
        <v>0</v>
      </c>
      <c r="L25" s="528">
        <v>386350</v>
      </c>
      <c r="M25" s="528">
        <v>10370.790000000001</v>
      </c>
      <c r="N25" s="528">
        <v>0</v>
      </c>
      <c r="O25" s="528">
        <v>0</v>
      </c>
      <c r="P25" s="528">
        <v>50583.86</v>
      </c>
      <c r="Q25" s="528">
        <v>2653.4400000000023</v>
      </c>
      <c r="R25" s="528">
        <v>0</v>
      </c>
      <c r="S25" s="528">
        <v>0</v>
      </c>
      <c r="T25" s="528">
        <v>0</v>
      </c>
      <c r="U25" s="528">
        <v>233</v>
      </c>
      <c r="V25" s="528">
        <v>0</v>
      </c>
      <c r="W25" s="528">
        <v>-959.69</v>
      </c>
      <c r="X25" s="528">
        <v>89294</v>
      </c>
      <c r="Y25" s="528">
        <v>4116267.41</v>
      </c>
      <c r="Z25" s="528">
        <v>1626713.6199999959</v>
      </c>
      <c r="AA25" s="528">
        <v>-20058.759999999995</v>
      </c>
      <c r="AB25" s="528">
        <v>-35500.919999999962</v>
      </c>
      <c r="AC25" s="528">
        <v>658381.66000000073</v>
      </c>
      <c r="AD25" s="528">
        <v>0</v>
      </c>
      <c r="AE25" s="528">
        <v>0</v>
      </c>
      <c r="AF25" s="528">
        <v>894882.38000000024</v>
      </c>
      <c r="AG25" s="528">
        <v>63392.089999999953</v>
      </c>
      <c r="AH25" s="528">
        <v>0</v>
      </c>
      <c r="AI25" s="528">
        <v>0</v>
      </c>
      <c r="AJ25" s="528">
        <v>0</v>
      </c>
      <c r="AK25" s="528">
        <v>19595.29</v>
      </c>
      <c r="AL25" s="528">
        <v>0</v>
      </c>
      <c r="AM25" s="528">
        <v>0</v>
      </c>
      <c r="AN25" s="528">
        <v>0</v>
      </c>
      <c r="AO25" s="528">
        <v>73306.229999999981</v>
      </c>
      <c r="AP25" s="528">
        <v>74230.259999999995</v>
      </c>
      <c r="AQ25" s="528">
        <v>6611.21</v>
      </c>
      <c r="AR25" s="528">
        <v>47423.870000000024</v>
      </c>
      <c r="AS25" s="528">
        <v>39.94</v>
      </c>
      <c r="AT25" s="528">
        <v>0</v>
      </c>
      <c r="AU25" s="528">
        <v>136603.18</v>
      </c>
      <c r="AV25" s="528">
        <v>12566.4</v>
      </c>
      <c r="AW25" s="528">
        <v>6104</v>
      </c>
      <c r="AX25" s="528">
        <v>332096.43000000005</v>
      </c>
      <c r="AY25" s="528">
        <v>496770.59999999957</v>
      </c>
      <c r="AZ25" s="528">
        <v>13387.38</v>
      </c>
      <c r="BA25" s="528">
        <v>129006.4400000001</v>
      </c>
      <c r="BB25" s="528">
        <v>207078</v>
      </c>
      <c r="BC25" s="528">
        <v>0</v>
      </c>
      <c r="BD25" s="528">
        <v>0</v>
      </c>
      <c r="BE25" s="528">
        <v>4742629.299999997</v>
      </c>
      <c r="BF25" s="528">
        <v>-864970.33000000031</v>
      </c>
      <c r="BG25" s="528">
        <v>-626361.88999999687</v>
      </c>
      <c r="BH25" s="528">
        <v>-1491332.2199999972</v>
      </c>
      <c r="BI25" s="528">
        <v>10300</v>
      </c>
      <c r="BJ25" s="528">
        <v>0</v>
      </c>
      <c r="BK25" s="528">
        <v>0</v>
      </c>
      <c r="BL25" s="528">
        <v>10300</v>
      </c>
      <c r="BM25" s="528">
        <v>0</v>
      </c>
      <c r="BN25" s="528">
        <v>0</v>
      </c>
      <c r="BO25" s="528">
        <v>0</v>
      </c>
      <c r="BP25" s="528">
        <v>0</v>
      </c>
      <c r="BQ25" s="528">
        <v>0</v>
      </c>
      <c r="BR25" s="528">
        <v>0</v>
      </c>
      <c r="BS25" s="528">
        <v>10300</v>
      </c>
      <c r="BT25" s="528">
        <v>10300</v>
      </c>
      <c r="BU25" s="528">
        <v>0</v>
      </c>
      <c r="BV25" s="528">
        <v>0</v>
      </c>
      <c r="BW25" s="528">
        <v>0</v>
      </c>
      <c r="BX25" s="528">
        <v>0</v>
      </c>
      <c r="BY25" s="528">
        <v>0</v>
      </c>
      <c r="BZ25" s="528">
        <v>0</v>
      </c>
      <c r="CA25" s="528">
        <v>0</v>
      </c>
      <c r="CB25" s="528">
        <v>0</v>
      </c>
      <c r="CC25" s="528">
        <v>0</v>
      </c>
      <c r="CD25" s="528">
        <v>-1491332.2199999972</v>
      </c>
      <c r="CE25" s="528">
        <v>0</v>
      </c>
      <c r="CF25" s="528">
        <v>10300</v>
      </c>
      <c r="CG25" s="528">
        <v>0</v>
      </c>
      <c r="CH25" s="528">
        <v>0</v>
      </c>
      <c r="CI25" s="528">
        <f t="shared" si="0"/>
        <v>-1481032.2199999972</v>
      </c>
      <c r="CJ25" s="528">
        <v>0</v>
      </c>
      <c r="CK25" s="528">
        <v>0</v>
      </c>
      <c r="CL25" s="528">
        <v>0</v>
      </c>
      <c r="CM25" s="528">
        <v>0</v>
      </c>
      <c r="CN25" s="528">
        <v>0</v>
      </c>
      <c r="CO25" s="528">
        <v>0</v>
      </c>
      <c r="CP25" s="528">
        <v>0</v>
      </c>
      <c r="CQ25" s="528">
        <v>0</v>
      </c>
      <c r="CR25" s="528">
        <v>0</v>
      </c>
      <c r="CS25" s="528">
        <v>0</v>
      </c>
      <c r="CT25" s="528">
        <v>0</v>
      </c>
      <c r="CU25" s="528">
        <v>0</v>
      </c>
      <c r="CV25" s="528">
        <v>0</v>
      </c>
      <c r="CW25" s="528">
        <v>0</v>
      </c>
      <c r="CX25" s="528"/>
      <c r="CY25" s="528"/>
      <c r="CZ25" s="528"/>
      <c r="DA25" s="528">
        <v>-1350893.7999999973</v>
      </c>
      <c r="DB25" s="528">
        <v>-1350893.7999999973</v>
      </c>
      <c r="DC25" s="528">
        <v>0</v>
      </c>
      <c r="DD25" s="528">
        <v>0</v>
      </c>
      <c r="DE25" s="528">
        <v>0</v>
      </c>
      <c r="DF25" s="528">
        <v>0</v>
      </c>
      <c r="DG25" s="528">
        <v>0</v>
      </c>
      <c r="DH25" s="528">
        <v>-130138.42000000001</v>
      </c>
      <c r="DI25" s="528">
        <v>0</v>
      </c>
      <c r="DJ25" s="528">
        <v>0</v>
      </c>
      <c r="DK25" s="528">
        <v>-130138.42000000001</v>
      </c>
      <c r="DL25" s="528">
        <v>0</v>
      </c>
      <c r="DM25" s="528">
        <v>0</v>
      </c>
      <c r="DN25" s="528">
        <v>0</v>
      </c>
      <c r="DO25" s="528">
        <v>0</v>
      </c>
      <c r="DP25" s="528">
        <v>0</v>
      </c>
      <c r="DQ25" s="529">
        <v>-2.7939677238464355E-9</v>
      </c>
      <c r="DR25" s="530">
        <v>3187810.069999997</v>
      </c>
      <c r="DS25" s="531">
        <v>1554819.23</v>
      </c>
      <c r="DT25" s="530">
        <v>496770.59999999957</v>
      </c>
      <c r="DU25" s="530">
        <v>53237.3</v>
      </c>
      <c r="DV25" s="530">
        <v>233</v>
      </c>
      <c r="DW25" s="530">
        <v>0</v>
      </c>
    </row>
    <row r="26" spans="1:127" s="103" customFormat="1">
      <c r="A26" s="525">
        <v>1025</v>
      </c>
      <c r="B26" s="526" t="s">
        <v>566</v>
      </c>
      <c r="C26" s="525">
        <v>1025</v>
      </c>
      <c r="D26" s="527" t="s">
        <v>1284</v>
      </c>
      <c r="E26" s="527" t="s">
        <v>534</v>
      </c>
      <c r="F26" s="527" t="s">
        <v>5</v>
      </c>
      <c r="G26" s="527" t="s">
        <v>535</v>
      </c>
      <c r="H26" s="528">
        <v>888288.8</v>
      </c>
      <c r="I26" s="528">
        <v>0</v>
      </c>
      <c r="J26" s="528">
        <v>75305.36</v>
      </c>
      <c r="K26" s="528">
        <v>0</v>
      </c>
      <c r="L26" s="528">
        <v>15654.56</v>
      </c>
      <c r="M26" s="528">
        <v>389013.44</v>
      </c>
      <c r="N26" s="528">
        <v>0</v>
      </c>
      <c r="O26" s="528">
        <v>7650</v>
      </c>
      <c r="P26" s="528">
        <v>9027.24</v>
      </c>
      <c r="Q26" s="528">
        <v>12</v>
      </c>
      <c r="R26" s="528">
        <v>0</v>
      </c>
      <c r="S26" s="528">
        <v>0</v>
      </c>
      <c r="T26" s="528">
        <v>30563.4</v>
      </c>
      <c r="U26" s="528">
        <v>0</v>
      </c>
      <c r="V26" s="528">
        <v>0</v>
      </c>
      <c r="W26" s="528">
        <v>0</v>
      </c>
      <c r="X26" s="528">
        <v>0</v>
      </c>
      <c r="Y26" s="528">
        <v>1415514.8</v>
      </c>
      <c r="Z26" s="528">
        <v>284968.90999999986</v>
      </c>
      <c r="AA26" s="528">
        <v>0</v>
      </c>
      <c r="AB26" s="528">
        <v>285662</v>
      </c>
      <c r="AC26" s="528">
        <v>20299.000000000116</v>
      </c>
      <c r="AD26" s="528">
        <v>85374</v>
      </c>
      <c r="AE26" s="528">
        <v>12888</v>
      </c>
      <c r="AF26" s="528">
        <v>0</v>
      </c>
      <c r="AG26" s="528">
        <v>596.9800000000123</v>
      </c>
      <c r="AH26" s="528">
        <v>8072.45</v>
      </c>
      <c r="AI26" s="528">
        <v>0</v>
      </c>
      <c r="AJ26" s="528">
        <v>0</v>
      </c>
      <c r="AK26" s="528">
        <v>6791.4799999999968</v>
      </c>
      <c r="AL26" s="528">
        <v>1494.88</v>
      </c>
      <c r="AM26" s="528">
        <v>225</v>
      </c>
      <c r="AN26" s="528">
        <v>4588.4699999999993</v>
      </c>
      <c r="AO26" s="528">
        <v>13766.66</v>
      </c>
      <c r="AP26" s="528">
        <v>0</v>
      </c>
      <c r="AQ26" s="528">
        <v>21099.61</v>
      </c>
      <c r="AR26" s="528">
        <v>48899.26</v>
      </c>
      <c r="AS26" s="528">
        <v>14322.95</v>
      </c>
      <c r="AT26" s="528">
        <v>0</v>
      </c>
      <c r="AU26" s="528">
        <v>4096.3500000000167</v>
      </c>
      <c r="AV26" s="528">
        <v>3291.75</v>
      </c>
      <c r="AW26" s="528">
        <v>0</v>
      </c>
      <c r="AX26" s="528">
        <v>7740.32</v>
      </c>
      <c r="AY26" s="528">
        <v>0</v>
      </c>
      <c r="AZ26" s="528">
        <v>106064.46</v>
      </c>
      <c r="BA26" s="528">
        <v>283025.34000000008</v>
      </c>
      <c r="BB26" s="528">
        <v>0</v>
      </c>
      <c r="BC26" s="528">
        <v>0</v>
      </c>
      <c r="BD26" s="528">
        <v>0</v>
      </c>
      <c r="BE26" s="528">
        <v>1213267.8699999999</v>
      </c>
      <c r="BF26" s="528">
        <v>434464.59000000014</v>
      </c>
      <c r="BG26" s="528">
        <v>202246.93000000017</v>
      </c>
      <c r="BH26" s="528">
        <v>636711.52000000025</v>
      </c>
      <c r="BI26" s="528">
        <v>4803.25</v>
      </c>
      <c r="BJ26" s="528">
        <v>0</v>
      </c>
      <c r="BK26" s="528">
        <v>0</v>
      </c>
      <c r="BL26" s="528">
        <v>4803.25</v>
      </c>
      <c r="BM26" s="528">
        <v>0</v>
      </c>
      <c r="BN26" s="528">
        <v>0</v>
      </c>
      <c r="BO26" s="528">
        <v>0</v>
      </c>
      <c r="BP26" s="528">
        <v>3390</v>
      </c>
      <c r="BQ26" s="528">
        <v>3390</v>
      </c>
      <c r="BR26" s="528">
        <v>26263</v>
      </c>
      <c r="BS26" s="528">
        <v>1413.25</v>
      </c>
      <c r="BT26" s="528">
        <v>27676.25</v>
      </c>
      <c r="BU26" s="528">
        <v>0</v>
      </c>
      <c r="BV26" s="528">
        <v>0</v>
      </c>
      <c r="BW26" s="528">
        <v>0</v>
      </c>
      <c r="BX26" s="528">
        <v>0</v>
      </c>
      <c r="BY26" s="528">
        <v>0</v>
      </c>
      <c r="BZ26" s="528">
        <v>0</v>
      </c>
      <c r="CA26" s="528">
        <v>0</v>
      </c>
      <c r="CB26" s="528">
        <v>0</v>
      </c>
      <c r="CC26" s="528">
        <v>0</v>
      </c>
      <c r="CD26" s="528">
        <v>636711.52000000025</v>
      </c>
      <c r="CE26" s="528">
        <v>0</v>
      </c>
      <c r="CF26" s="528">
        <v>27676.25</v>
      </c>
      <c r="CG26" s="528">
        <v>0</v>
      </c>
      <c r="CH26" s="528">
        <v>0</v>
      </c>
      <c r="CI26" s="528">
        <f t="shared" si="0"/>
        <v>664387.77000000025</v>
      </c>
      <c r="CJ26" s="528">
        <v>659042.91</v>
      </c>
      <c r="CK26" s="528">
        <v>0</v>
      </c>
      <c r="CL26" s="528">
        <v>0</v>
      </c>
      <c r="CM26" s="528">
        <v>659042.91</v>
      </c>
      <c r="CN26" s="528">
        <v>0</v>
      </c>
      <c r="CO26" s="528">
        <v>0</v>
      </c>
      <c r="CP26" s="528">
        <v>0</v>
      </c>
      <c r="CQ26" s="528">
        <v>0</v>
      </c>
      <c r="CR26" s="528">
        <v>-5309.37</v>
      </c>
      <c r="CS26" s="528">
        <v>653733.54</v>
      </c>
      <c r="CT26" s="528">
        <v>0</v>
      </c>
      <c r="CU26" s="528">
        <v>0</v>
      </c>
      <c r="CV26" s="528">
        <v>0</v>
      </c>
      <c r="CW26" s="528">
        <v>0</v>
      </c>
      <c r="CX26" s="528"/>
      <c r="CY26" s="528"/>
      <c r="CZ26" s="528"/>
      <c r="DA26" s="528">
        <v>0</v>
      </c>
      <c r="DB26" s="528">
        <v>0</v>
      </c>
      <c r="DC26" s="528">
        <v>1902</v>
      </c>
      <c r="DD26" s="528">
        <v>8752.24</v>
      </c>
      <c r="DE26" s="528">
        <v>0</v>
      </c>
      <c r="DF26" s="528">
        <v>0</v>
      </c>
      <c r="DG26" s="528">
        <v>0</v>
      </c>
      <c r="DH26" s="528">
        <v>0</v>
      </c>
      <c r="DI26" s="528">
        <v>0</v>
      </c>
      <c r="DJ26" s="528">
        <v>0</v>
      </c>
      <c r="DK26" s="528">
        <v>10654.24</v>
      </c>
      <c r="DL26" s="528">
        <v>0</v>
      </c>
      <c r="DM26" s="528">
        <v>0</v>
      </c>
      <c r="DN26" s="528">
        <v>0</v>
      </c>
      <c r="DO26" s="528">
        <v>0</v>
      </c>
      <c r="DP26" s="528">
        <v>0</v>
      </c>
      <c r="DQ26" s="529">
        <v>-1.0000000009313226E-2</v>
      </c>
      <c r="DR26" s="530">
        <v>689788.89</v>
      </c>
      <c r="DS26" s="531">
        <v>523478.97999999986</v>
      </c>
      <c r="DT26" s="530">
        <v>0</v>
      </c>
      <c r="DU26" s="530">
        <v>47252.639999999999</v>
      </c>
      <c r="DV26" s="530">
        <v>0</v>
      </c>
      <c r="DW26" s="530">
        <v>0</v>
      </c>
    </row>
    <row r="27" spans="1:127" s="103" customFormat="1">
      <c r="A27" s="525">
        <v>2402</v>
      </c>
      <c r="B27" s="526" t="s">
        <v>568</v>
      </c>
      <c r="C27" s="525">
        <v>2402</v>
      </c>
      <c r="D27" s="527" t="s">
        <v>1284</v>
      </c>
      <c r="E27" s="527" t="s">
        <v>538</v>
      </c>
      <c r="F27" s="527" t="s">
        <v>5</v>
      </c>
      <c r="G27" s="527" t="s">
        <v>535</v>
      </c>
      <c r="H27" s="528">
        <v>1713533.57</v>
      </c>
      <c r="I27" s="528">
        <v>0</v>
      </c>
      <c r="J27" s="528">
        <v>428601.02</v>
      </c>
      <c r="K27" s="528">
        <v>0</v>
      </c>
      <c r="L27" s="528">
        <v>88480</v>
      </c>
      <c r="M27" s="528">
        <v>400</v>
      </c>
      <c r="N27" s="528">
        <v>0</v>
      </c>
      <c r="O27" s="528">
        <v>1020</v>
      </c>
      <c r="P27" s="528">
        <v>58443.519999999997</v>
      </c>
      <c r="Q27" s="528">
        <v>2673.63</v>
      </c>
      <c r="R27" s="528">
        <v>0</v>
      </c>
      <c r="S27" s="528">
        <v>0</v>
      </c>
      <c r="T27" s="528">
        <v>4853.1000000000004</v>
      </c>
      <c r="U27" s="528">
        <v>0</v>
      </c>
      <c r="V27" s="528">
        <v>0</v>
      </c>
      <c r="W27" s="528">
        <v>901.25</v>
      </c>
      <c r="X27" s="528">
        <v>133335</v>
      </c>
      <c r="Y27" s="528">
        <v>2432241.09</v>
      </c>
      <c r="Z27" s="528">
        <v>1269617.3400000001</v>
      </c>
      <c r="AA27" s="528">
        <v>0</v>
      </c>
      <c r="AB27" s="528">
        <v>590423.64</v>
      </c>
      <c r="AC27" s="528">
        <v>21869.68</v>
      </c>
      <c r="AD27" s="528">
        <v>85371.24</v>
      </c>
      <c r="AE27" s="528">
        <v>0</v>
      </c>
      <c r="AF27" s="528">
        <v>69395.37</v>
      </c>
      <c r="AG27" s="528">
        <v>607</v>
      </c>
      <c r="AH27" s="528">
        <v>3880</v>
      </c>
      <c r="AI27" s="528">
        <v>0</v>
      </c>
      <c r="AJ27" s="528">
        <v>0</v>
      </c>
      <c r="AK27" s="528">
        <v>10492.69</v>
      </c>
      <c r="AL27" s="528">
        <v>0</v>
      </c>
      <c r="AM27" s="528">
        <v>40965.360000000001</v>
      </c>
      <c r="AN27" s="528">
        <v>6506.83</v>
      </c>
      <c r="AO27" s="528">
        <v>29676.89</v>
      </c>
      <c r="AP27" s="528">
        <v>18078.900000000001</v>
      </c>
      <c r="AQ27" s="528">
        <v>7448.17</v>
      </c>
      <c r="AR27" s="528">
        <v>30239.21</v>
      </c>
      <c r="AS27" s="528">
        <v>19.8</v>
      </c>
      <c r="AT27" s="528">
        <v>0</v>
      </c>
      <c r="AU27" s="528">
        <v>27525.62</v>
      </c>
      <c r="AV27" s="528">
        <v>5139.75</v>
      </c>
      <c r="AW27" s="528">
        <v>0</v>
      </c>
      <c r="AX27" s="528">
        <v>118935.44</v>
      </c>
      <c r="AY27" s="528">
        <v>96631.13</v>
      </c>
      <c r="AZ27" s="528">
        <v>7019.6</v>
      </c>
      <c r="BA27" s="528">
        <v>137818.1</v>
      </c>
      <c r="BB27" s="528">
        <v>0</v>
      </c>
      <c r="BC27" s="528">
        <v>7470.85</v>
      </c>
      <c r="BD27" s="528">
        <v>0</v>
      </c>
      <c r="BE27" s="528">
        <v>2585132.61</v>
      </c>
      <c r="BF27" s="528">
        <v>66139.939999999769</v>
      </c>
      <c r="BG27" s="528">
        <v>-152891.52000000002</v>
      </c>
      <c r="BH27" s="528">
        <v>-86751.580000000249</v>
      </c>
      <c r="BI27" s="528">
        <v>7438</v>
      </c>
      <c r="BJ27" s="528">
        <v>0</v>
      </c>
      <c r="BK27" s="528">
        <v>0</v>
      </c>
      <c r="BL27" s="528">
        <v>7438</v>
      </c>
      <c r="BM27" s="528">
        <v>0</v>
      </c>
      <c r="BN27" s="528">
        <v>0</v>
      </c>
      <c r="BO27" s="528">
        <v>0</v>
      </c>
      <c r="BP27" s="528">
        <v>0</v>
      </c>
      <c r="BQ27" s="528">
        <v>0</v>
      </c>
      <c r="BR27" s="528">
        <v>48856.36</v>
      </c>
      <c r="BS27" s="528">
        <v>7438</v>
      </c>
      <c r="BT27" s="528">
        <v>56294.36</v>
      </c>
      <c r="BU27" s="528">
        <v>0</v>
      </c>
      <c r="BV27" s="528">
        <v>0</v>
      </c>
      <c r="BW27" s="528">
        <v>0</v>
      </c>
      <c r="BX27" s="528">
        <v>0</v>
      </c>
      <c r="BY27" s="528">
        <v>0</v>
      </c>
      <c r="BZ27" s="528">
        <v>0</v>
      </c>
      <c r="CA27" s="528">
        <v>0</v>
      </c>
      <c r="CB27" s="528">
        <v>0</v>
      </c>
      <c r="CC27" s="528">
        <v>0</v>
      </c>
      <c r="CD27" s="528">
        <v>-86751.580000000249</v>
      </c>
      <c r="CE27" s="528">
        <v>0</v>
      </c>
      <c r="CF27" s="528">
        <v>56294.36</v>
      </c>
      <c r="CG27" s="528">
        <v>0</v>
      </c>
      <c r="CH27" s="528">
        <v>0</v>
      </c>
      <c r="CI27" s="528">
        <f t="shared" si="0"/>
        <v>-30457.220000000249</v>
      </c>
      <c r="CJ27" s="528">
        <v>238664.38</v>
      </c>
      <c r="CK27" s="528">
        <v>0</v>
      </c>
      <c r="CL27" s="528">
        <v>40</v>
      </c>
      <c r="CM27" s="528">
        <v>238704.38</v>
      </c>
      <c r="CN27" s="528">
        <v>0</v>
      </c>
      <c r="CO27" s="528">
        <v>0</v>
      </c>
      <c r="CP27" s="528">
        <v>2874.41</v>
      </c>
      <c r="CQ27" s="528">
        <v>5472.53</v>
      </c>
      <c r="CR27" s="528">
        <v>0</v>
      </c>
      <c r="CS27" s="528">
        <v>247051.32</v>
      </c>
      <c r="CT27" s="528">
        <v>220.99</v>
      </c>
      <c r="CU27" s="528">
        <v>0</v>
      </c>
      <c r="CV27" s="528">
        <v>0</v>
      </c>
      <c r="CW27" s="528">
        <v>220.99</v>
      </c>
      <c r="CX27" s="528"/>
      <c r="CY27" s="528"/>
      <c r="CZ27" s="528"/>
      <c r="DA27" s="528">
        <v>0</v>
      </c>
      <c r="DB27" s="528">
        <v>220.99</v>
      </c>
      <c r="DC27" s="528">
        <v>0</v>
      </c>
      <c r="DD27" s="528">
        <v>0</v>
      </c>
      <c r="DE27" s="528">
        <v>0</v>
      </c>
      <c r="DF27" s="528">
        <v>0</v>
      </c>
      <c r="DG27" s="528">
        <v>-12080.82</v>
      </c>
      <c r="DH27" s="528">
        <v>0</v>
      </c>
      <c r="DI27" s="528">
        <v>0</v>
      </c>
      <c r="DJ27" s="528">
        <v>0</v>
      </c>
      <c r="DK27" s="528">
        <v>-12080.82</v>
      </c>
      <c r="DL27" s="528">
        <v>45037.08</v>
      </c>
      <c r="DM27" s="528">
        <v>0</v>
      </c>
      <c r="DN27" s="528">
        <v>-3564.33</v>
      </c>
      <c r="DO27" s="528">
        <v>-307121.13</v>
      </c>
      <c r="DP27" s="528">
        <v>0</v>
      </c>
      <c r="DQ27" s="529">
        <v>-0.32999999998719431</v>
      </c>
      <c r="DR27" s="530">
        <v>2037284.27</v>
      </c>
      <c r="DS27" s="531">
        <v>547848.33999999985</v>
      </c>
      <c r="DT27" s="530">
        <v>96631.13</v>
      </c>
      <c r="DU27" s="530">
        <v>66990.25</v>
      </c>
      <c r="DV27" s="530">
        <v>0</v>
      </c>
      <c r="DW27" s="530">
        <v>-265648.38</v>
      </c>
    </row>
    <row r="28" spans="1:127" s="103" customFormat="1">
      <c r="A28" s="525">
        <v>2401</v>
      </c>
      <c r="B28" s="526" t="s">
        <v>570</v>
      </c>
      <c r="C28" s="525">
        <v>2401</v>
      </c>
      <c r="D28" s="527" t="s">
        <v>1284</v>
      </c>
      <c r="E28" s="527" t="s">
        <v>538</v>
      </c>
      <c r="F28" s="527" t="s">
        <v>5</v>
      </c>
      <c r="G28" s="527" t="s">
        <v>535</v>
      </c>
      <c r="H28" s="528">
        <v>1872674</v>
      </c>
      <c r="I28" s="528">
        <v>0</v>
      </c>
      <c r="J28" s="528">
        <v>112222.09</v>
      </c>
      <c r="K28" s="528">
        <v>0</v>
      </c>
      <c r="L28" s="528">
        <v>101550</v>
      </c>
      <c r="M28" s="528">
        <v>600</v>
      </c>
      <c r="N28" s="528">
        <v>0</v>
      </c>
      <c r="O28" s="528">
        <v>7380</v>
      </c>
      <c r="P28" s="528">
        <v>389613.93</v>
      </c>
      <c r="Q28" s="528">
        <v>0</v>
      </c>
      <c r="R28" s="528">
        <v>0</v>
      </c>
      <c r="S28" s="528">
        <v>0</v>
      </c>
      <c r="T28" s="528">
        <v>58270.31</v>
      </c>
      <c r="U28" s="528">
        <v>0</v>
      </c>
      <c r="V28" s="528">
        <v>0</v>
      </c>
      <c r="W28" s="528">
        <v>3048.75</v>
      </c>
      <c r="X28" s="528">
        <v>19806</v>
      </c>
      <c r="Y28" s="528">
        <v>2565165.08</v>
      </c>
      <c r="Z28" s="528">
        <v>1331201.45</v>
      </c>
      <c r="AA28" s="528">
        <v>0</v>
      </c>
      <c r="AB28" s="528">
        <v>508362.5</v>
      </c>
      <c r="AC28" s="528">
        <v>25873.27</v>
      </c>
      <c r="AD28" s="528">
        <v>92412.01</v>
      </c>
      <c r="AE28" s="528">
        <v>0</v>
      </c>
      <c r="AF28" s="528">
        <v>57087.19</v>
      </c>
      <c r="AG28" s="528">
        <v>3194.3</v>
      </c>
      <c r="AH28" s="528">
        <v>7063</v>
      </c>
      <c r="AI28" s="528">
        <v>0</v>
      </c>
      <c r="AJ28" s="528">
        <v>0</v>
      </c>
      <c r="AK28" s="528">
        <v>20716.830000000002</v>
      </c>
      <c r="AL28" s="528">
        <v>2071.8000000000002</v>
      </c>
      <c r="AM28" s="528">
        <v>53146.2</v>
      </c>
      <c r="AN28" s="528">
        <v>12638.29</v>
      </c>
      <c r="AO28" s="528">
        <v>73891.39</v>
      </c>
      <c r="AP28" s="528">
        <v>21049</v>
      </c>
      <c r="AQ28" s="528">
        <v>13579.77</v>
      </c>
      <c r="AR28" s="528">
        <v>109148.09</v>
      </c>
      <c r="AS28" s="528">
        <v>0</v>
      </c>
      <c r="AT28" s="528">
        <v>0</v>
      </c>
      <c r="AU28" s="528">
        <v>11335.07</v>
      </c>
      <c r="AV28" s="528">
        <v>9471</v>
      </c>
      <c r="AW28" s="528">
        <v>0</v>
      </c>
      <c r="AX28" s="528">
        <v>14845.36</v>
      </c>
      <c r="AY28" s="528">
        <v>83551.02</v>
      </c>
      <c r="AZ28" s="528">
        <v>9526.6</v>
      </c>
      <c r="BA28" s="528">
        <v>142611.01999999999</v>
      </c>
      <c r="BB28" s="528">
        <v>0</v>
      </c>
      <c r="BC28" s="528">
        <v>7431.49</v>
      </c>
      <c r="BD28" s="528">
        <v>0</v>
      </c>
      <c r="BE28" s="528">
        <v>2610206.6500000004</v>
      </c>
      <c r="BF28" s="528">
        <v>66914.750000000291</v>
      </c>
      <c r="BG28" s="528">
        <v>-45041.570000000298</v>
      </c>
      <c r="BH28" s="528">
        <v>21873.179999999993</v>
      </c>
      <c r="BI28" s="528">
        <v>8275</v>
      </c>
      <c r="BJ28" s="528">
        <v>0</v>
      </c>
      <c r="BK28" s="528">
        <v>0</v>
      </c>
      <c r="BL28" s="528">
        <v>8275</v>
      </c>
      <c r="BM28" s="528">
        <v>0</v>
      </c>
      <c r="BN28" s="528">
        <v>0</v>
      </c>
      <c r="BO28" s="528">
        <v>0</v>
      </c>
      <c r="BP28" s="528">
        <v>0</v>
      </c>
      <c r="BQ28" s="528">
        <v>0</v>
      </c>
      <c r="BR28" s="528">
        <v>50679.69</v>
      </c>
      <c r="BS28" s="528">
        <v>8275</v>
      </c>
      <c r="BT28" s="528">
        <v>58954.69</v>
      </c>
      <c r="BU28" s="528">
        <v>0</v>
      </c>
      <c r="BV28" s="528">
        <v>0</v>
      </c>
      <c r="BW28" s="528">
        <v>0</v>
      </c>
      <c r="BX28" s="528">
        <v>0</v>
      </c>
      <c r="BY28" s="528">
        <v>0</v>
      </c>
      <c r="BZ28" s="528">
        <v>0</v>
      </c>
      <c r="CA28" s="528">
        <v>0</v>
      </c>
      <c r="CB28" s="528">
        <v>0</v>
      </c>
      <c r="CC28" s="528">
        <v>0</v>
      </c>
      <c r="CD28" s="528">
        <v>21873.179999999993</v>
      </c>
      <c r="CE28" s="528">
        <v>0</v>
      </c>
      <c r="CF28" s="528">
        <v>58954.69</v>
      </c>
      <c r="CG28" s="528">
        <v>0</v>
      </c>
      <c r="CH28" s="528">
        <v>0</v>
      </c>
      <c r="CI28" s="528">
        <f t="shared" si="0"/>
        <v>80827.87</v>
      </c>
      <c r="CJ28" s="528">
        <v>231374.97</v>
      </c>
      <c r="CK28" s="528">
        <v>0</v>
      </c>
      <c r="CL28" s="528">
        <v>0</v>
      </c>
      <c r="CM28" s="528">
        <v>231374.97</v>
      </c>
      <c r="CN28" s="528">
        <v>0</v>
      </c>
      <c r="CO28" s="528">
        <v>0</v>
      </c>
      <c r="CP28" s="528">
        <v>5691.32</v>
      </c>
      <c r="CQ28" s="528">
        <v>36309.82</v>
      </c>
      <c r="CR28" s="528">
        <v>0</v>
      </c>
      <c r="CS28" s="528">
        <v>273376.11</v>
      </c>
      <c r="CT28" s="528">
        <v>0</v>
      </c>
      <c r="CU28" s="528">
        <v>0</v>
      </c>
      <c r="CV28" s="528">
        <v>0</v>
      </c>
      <c r="CW28" s="528">
        <v>0</v>
      </c>
      <c r="CX28" s="528"/>
      <c r="CY28" s="528"/>
      <c r="CZ28" s="528"/>
      <c r="DA28" s="528">
        <v>0</v>
      </c>
      <c r="DB28" s="528">
        <v>0</v>
      </c>
      <c r="DC28" s="528">
        <v>0</v>
      </c>
      <c r="DD28" s="528">
        <v>0</v>
      </c>
      <c r="DE28" s="528">
        <v>0</v>
      </c>
      <c r="DF28" s="528">
        <v>0</v>
      </c>
      <c r="DG28" s="528">
        <v>-13020.02</v>
      </c>
      <c r="DH28" s="528">
        <v>-152.65</v>
      </c>
      <c r="DI28" s="528">
        <v>0</v>
      </c>
      <c r="DJ28" s="528">
        <v>0</v>
      </c>
      <c r="DK28" s="528">
        <v>-13172.67</v>
      </c>
      <c r="DL28" s="528">
        <v>1225</v>
      </c>
      <c r="DM28" s="528">
        <v>0</v>
      </c>
      <c r="DN28" s="528">
        <v>0</v>
      </c>
      <c r="DO28" s="528">
        <v>-180600.5</v>
      </c>
      <c r="DP28" s="528">
        <v>0</v>
      </c>
      <c r="DQ28" s="529"/>
      <c r="DR28" s="530">
        <v>2018130.72</v>
      </c>
      <c r="DS28" s="531">
        <v>592075.9300000004</v>
      </c>
      <c r="DT28" s="530">
        <v>83551.02</v>
      </c>
      <c r="DU28" s="530">
        <v>455264.24</v>
      </c>
      <c r="DV28" s="530">
        <v>0</v>
      </c>
      <c r="DW28" s="530">
        <v>-179375.5</v>
      </c>
    </row>
    <row r="29" spans="1:127" s="103" customFormat="1">
      <c r="A29" s="525">
        <v>1001</v>
      </c>
      <c r="B29" s="526" t="s">
        <v>863</v>
      </c>
      <c r="C29" s="525">
        <v>1001</v>
      </c>
      <c r="D29" s="527" t="s">
        <v>1284</v>
      </c>
      <c r="E29" s="527" t="s">
        <v>534</v>
      </c>
      <c r="F29" s="527" t="s">
        <v>5</v>
      </c>
      <c r="G29" s="527" t="s">
        <v>957</v>
      </c>
      <c r="H29" s="528">
        <v>576765.76</v>
      </c>
      <c r="I29" s="528">
        <v>0</v>
      </c>
      <c r="J29" s="528">
        <v>1820</v>
      </c>
      <c r="K29" s="528">
        <v>0</v>
      </c>
      <c r="L29" s="528">
        <v>0</v>
      </c>
      <c r="M29" s="528">
        <v>571.29</v>
      </c>
      <c r="N29" s="528">
        <v>0</v>
      </c>
      <c r="O29" s="528">
        <v>0</v>
      </c>
      <c r="P29" s="528">
        <v>0</v>
      </c>
      <c r="Q29" s="528">
        <v>0</v>
      </c>
      <c r="R29" s="528">
        <v>0</v>
      </c>
      <c r="S29" s="528">
        <v>0</v>
      </c>
      <c r="T29" s="528">
        <v>7877.2399999999989</v>
      </c>
      <c r="U29" s="528">
        <v>28500</v>
      </c>
      <c r="V29" s="528">
        <v>0</v>
      </c>
      <c r="W29" s="528">
        <v>0</v>
      </c>
      <c r="X29" s="528">
        <v>0</v>
      </c>
      <c r="Y29" s="528">
        <v>615534.29</v>
      </c>
      <c r="Z29" s="528">
        <v>319710.82999999996</v>
      </c>
      <c r="AA29" s="528"/>
      <c r="AB29" s="528"/>
      <c r="AC29" s="528">
        <v>135384.35999999999</v>
      </c>
      <c r="AD29" s="528">
        <v>0</v>
      </c>
      <c r="AE29" s="528">
        <v>0</v>
      </c>
      <c r="AF29" s="528">
        <v>104025.70999999999</v>
      </c>
      <c r="AG29" s="528">
        <v>9281.2999999999993</v>
      </c>
      <c r="AH29" s="528">
        <v>225</v>
      </c>
      <c r="AI29" s="528">
        <v>0</v>
      </c>
      <c r="AJ29" s="528">
        <v>0</v>
      </c>
      <c r="AK29" s="528">
        <v>8721.76</v>
      </c>
      <c r="AL29" s="528">
        <v>0</v>
      </c>
      <c r="AM29" s="528">
        <v>1702.77</v>
      </c>
      <c r="AN29" s="528">
        <v>0</v>
      </c>
      <c r="AO29" s="528">
        <v>23939.7</v>
      </c>
      <c r="AP29" s="528">
        <v>0</v>
      </c>
      <c r="AQ29" s="528">
        <v>25031.53</v>
      </c>
      <c r="AR29" s="528">
        <v>97153.96</v>
      </c>
      <c r="AS29" s="528">
        <v>9844.2999999999993</v>
      </c>
      <c r="AT29" s="528">
        <v>0</v>
      </c>
      <c r="AU29" s="528">
        <v>4186.9600000000009</v>
      </c>
      <c r="AV29" s="528">
        <v>3291.75</v>
      </c>
      <c r="AW29" s="528">
        <v>0</v>
      </c>
      <c r="AX29" s="528">
        <v>28.99</v>
      </c>
      <c r="AY29" s="528">
        <v>5767.73</v>
      </c>
      <c r="AZ29" s="528">
        <v>0</v>
      </c>
      <c r="BA29" s="528">
        <v>33136.18</v>
      </c>
      <c r="BB29" s="528">
        <v>0</v>
      </c>
      <c r="BC29" s="528">
        <v>0</v>
      </c>
      <c r="BD29" s="528">
        <v>0</v>
      </c>
      <c r="BE29" s="528">
        <v>781432.83</v>
      </c>
      <c r="BF29" s="528">
        <v>-46063.009999999995</v>
      </c>
      <c r="BG29" s="528">
        <v>-165898.53999999992</v>
      </c>
      <c r="BH29" s="528">
        <v>-211961.54999999993</v>
      </c>
      <c r="BI29" s="528">
        <v>4762.75</v>
      </c>
      <c r="BJ29" s="528">
        <v>0</v>
      </c>
      <c r="BK29" s="528">
        <v>0</v>
      </c>
      <c r="BL29" s="528">
        <v>4762.75</v>
      </c>
      <c r="BM29" s="528">
        <v>0</v>
      </c>
      <c r="BN29" s="528">
        <v>0</v>
      </c>
      <c r="BO29" s="528">
        <v>0</v>
      </c>
      <c r="BP29" s="528">
        <v>0</v>
      </c>
      <c r="BQ29" s="528">
        <v>0</v>
      </c>
      <c r="BR29" s="528">
        <v>13073.999999999993</v>
      </c>
      <c r="BS29" s="528">
        <v>4762.75</v>
      </c>
      <c r="BT29" s="528">
        <v>17836.749999999993</v>
      </c>
      <c r="BU29" s="528">
        <v>0</v>
      </c>
      <c r="BV29" s="528">
        <v>0</v>
      </c>
      <c r="BW29" s="528">
        <v>0</v>
      </c>
      <c r="BX29" s="528">
        <v>0</v>
      </c>
      <c r="BY29" s="528">
        <v>0</v>
      </c>
      <c r="BZ29" s="528">
        <v>0</v>
      </c>
      <c r="CA29" s="528">
        <v>0</v>
      </c>
      <c r="CB29" s="528">
        <v>0</v>
      </c>
      <c r="CC29" s="528">
        <v>0</v>
      </c>
      <c r="CD29" s="528"/>
      <c r="CE29" s="528">
        <v>-211961.54999999993</v>
      </c>
      <c r="CF29" s="528">
        <v>17836.75</v>
      </c>
      <c r="CG29" s="528">
        <v>0</v>
      </c>
      <c r="CH29" s="528">
        <v>0</v>
      </c>
      <c r="CI29" s="528">
        <v>-194124.79999999993</v>
      </c>
      <c r="CJ29" s="528">
        <v>0</v>
      </c>
      <c r="CK29" s="528">
        <v>0</v>
      </c>
      <c r="CL29" s="528">
        <v>0</v>
      </c>
      <c r="CM29" s="528">
        <v>0</v>
      </c>
      <c r="CN29" s="528">
        <v>0</v>
      </c>
      <c r="CO29" s="528">
        <v>0</v>
      </c>
      <c r="CP29" s="528">
        <v>0</v>
      </c>
      <c r="CQ29" s="528">
        <v>0</v>
      </c>
      <c r="CR29" s="528">
        <v>0</v>
      </c>
      <c r="CS29" s="528">
        <v>0</v>
      </c>
      <c r="CT29" s="528">
        <v>0</v>
      </c>
      <c r="CU29" s="528">
        <v>0</v>
      </c>
      <c r="CV29" s="528">
        <v>0</v>
      </c>
      <c r="CW29" s="528">
        <v>0</v>
      </c>
      <c r="CX29" s="528"/>
      <c r="CY29" s="528"/>
      <c r="CZ29" s="528"/>
      <c r="DA29" s="528">
        <v>-194124.41999999993</v>
      </c>
      <c r="DB29" s="528">
        <v>-33138.419999999911</v>
      </c>
      <c r="DC29" s="528">
        <v>0</v>
      </c>
      <c r="DD29" s="528">
        <v>0</v>
      </c>
      <c r="DE29" s="528">
        <v>0</v>
      </c>
      <c r="DF29" s="528">
        <v>0</v>
      </c>
      <c r="DG29" s="528">
        <v>0</v>
      </c>
      <c r="DH29" s="528">
        <v>0</v>
      </c>
      <c r="DI29" s="528">
        <v>0</v>
      </c>
      <c r="DJ29" s="528">
        <v>0</v>
      </c>
      <c r="DK29" s="528">
        <v>0</v>
      </c>
      <c r="DL29" s="528">
        <v>0</v>
      </c>
      <c r="DM29" s="528">
        <v>0</v>
      </c>
      <c r="DN29" s="528">
        <v>0</v>
      </c>
      <c r="DO29" s="528">
        <v>0</v>
      </c>
      <c r="DP29" s="528">
        <v>0</v>
      </c>
      <c r="DQ29" s="529">
        <v>-8.7311491370201111E-11</v>
      </c>
      <c r="DR29" s="530">
        <v>365371.46999999991</v>
      </c>
      <c r="DS29" s="531">
        <v>213030.63000000006</v>
      </c>
      <c r="DT29" s="530">
        <v>14828.77</v>
      </c>
      <c r="DU29" s="530">
        <v>-34167.11</v>
      </c>
      <c r="DV29" s="530">
        <v>28500</v>
      </c>
      <c r="DW29" s="530">
        <v>0</v>
      </c>
    </row>
    <row r="30" spans="1:127" s="103" customFormat="1">
      <c r="A30" s="525">
        <v>4115</v>
      </c>
      <c r="B30" s="526" t="s">
        <v>572</v>
      </c>
      <c r="C30" s="525">
        <v>4115</v>
      </c>
      <c r="D30" s="527" t="s">
        <v>1284</v>
      </c>
      <c r="E30" s="527" t="s">
        <v>564</v>
      </c>
      <c r="F30" s="527" t="s">
        <v>5</v>
      </c>
      <c r="G30" s="527" t="s">
        <v>535</v>
      </c>
      <c r="H30" s="528">
        <v>5454653.3600000003</v>
      </c>
      <c r="I30" s="528">
        <v>2222384.23</v>
      </c>
      <c r="J30" s="528">
        <v>258794.56</v>
      </c>
      <c r="K30" s="528">
        <v>0</v>
      </c>
      <c r="L30" s="528">
        <v>328650</v>
      </c>
      <c r="M30" s="528">
        <v>4970.79</v>
      </c>
      <c r="N30" s="528">
        <v>480</v>
      </c>
      <c r="O30" s="528">
        <v>28155.16</v>
      </c>
      <c r="P30" s="528">
        <v>124237.43</v>
      </c>
      <c r="Q30" s="528">
        <v>96830.54</v>
      </c>
      <c r="R30" s="528">
        <v>0</v>
      </c>
      <c r="S30" s="528">
        <v>0</v>
      </c>
      <c r="T30" s="528">
        <v>35755.81</v>
      </c>
      <c r="U30" s="528">
        <v>0</v>
      </c>
      <c r="V30" s="528">
        <v>0</v>
      </c>
      <c r="W30" s="528">
        <v>21103.13</v>
      </c>
      <c r="X30" s="528">
        <v>0</v>
      </c>
      <c r="Y30" s="528">
        <v>8576015.0099999998</v>
      </c>
      <c r="Z30" s="528">
        <v>4362651.16</v>
      </c>
      <c r="AA30" s="528">
        <v>0</v>
      </c>
      <c r="AB30" s="528">
        <v>843762.33</v>
      </c>
      <c r="AC30" s="528">
        <v>111366.58</v>
      </c>
      <c r="AD30" s="528">
        <v>900644.54</v>
      </c>
      <c r="AE30" s="528">
        <v>0</v>
      </c>
      <c r="AF30" s="528">
        <v>113427.43</v>
      </c>
      <c r="AG30" s="528">
        <v>46033.52</v>
      </c>
      <c r="AH30" s="528">
        <v>22977.22</v>
      </c>
      <c r="AI30" s="528">
        <v>0</v>
      </c>
      <c r="AJ30" s="528">
        <v>0</v>
      </c>
      <c r="AK30" s="528">
        <v>128497.32999999999</v>
      </c>
      <c r="AL30" s="528">
        <v>5902</v>
      </c>
      <c r="AM30" s="528">
        <v>163321.94</v>
      </c>
      <c r="AN30" s="528">
        <v>13335.5</v>
      </c>
      <c r="AO30" s="528">
        <v>222088.11</v>
      </c>
      <c r="AP30" s="528">
        <v>80286.86</v>
      </c>
      <c r="AQ30" s="528">
        <v>34213.56</v>
      </c>
      <c r="AR30" s="528">
        <v>252145.6</v>
      </c>
      <c r="AS30" s="528">
        <v>68867.83</v>
      </c>
      <c r="AT30" s="528">
        <v>148075.66999999998</v>
      </c>
      <c r="AU30" s="528">
        <v>114946.81</v>
      </c>
      <c r="AV30" s="528">
        <v>19395.650000000001</v>
      </c>
      <c r="AW30" s="528">
        <v>0</v>
      </c>
      <c r="AX30" s="528">
        <v>306115.89</v>
      </c>
      <c r="AY30" s="528">
        <v>171410.44</v>
      </c>
      <c r="AZ30" s="528">
        <v>84085.2</v>
      </c>
      <c r="BA30" s="528">
        <v>298838.93</v>
      </c>
      <c r="BB30" s="528">
        <v>0</v>
      </c>
      <c r="BC30" s="528">
        <v>0</v>
      </c>
      <c r="BD30" s="528">
        <v>352347.33</v>
      </c>
      <c r="BE30" s="528">
        <v>8864737.4299999997</v>
      </c>
      <c r="BF30" s="528">
        <v>2538983.859999998</v>
      </c>
      <c r="BG30" s="528">
        <v>-288722.41999999993</v>
      </c>
      <c r="BH30" s="528">
        <v>2250261.4399999981</v>
      </c>
      <c r="BI30" s="528">
        <v>22298.13</v>
      </c>
      <c r="BJ30" s="528">
        <v>0</v>
      </c>
      <c r="BK30" s="528">
        <v>352347.33</v>
      </c>
      <c r="BL30" s="528">
        <v>374645.46</v>
      </c>
      <c r="BM30" s="528">
        <v>0</v>
      </c>
      <c r="BN30" s="528">
        <v>387004.72</v>
      </c>
      <c r="BO30" s="528">
        <v>7195</v>
      </c>
      <c r="BP30" s="528">
        <v>47211.76</v>
      </c>
      <c r="BQ30" s="528">
        <v>441411.48</v>
      </c>
      <c r="BR30" s="528">
        <v>66766.02</v>
      </c>
      <c r="BS30" s="528">
        <v>-66766.01999999996</v>
      </c>
      <c r="BT30" s="528">
        <v>0</v>
      </c>
      <c r="BU30" s="528">
        <v>0</v>
      </c>
      <c r="BV30" s="528">
        <v>0</v>
      </c>
      <c r="BW30" s="528">
        <v>0</v>
      </c>
      <c r="BX30" s="528">
        <v>0</v>
      </c>
      <c r="BY30" s="528">
        <v>0</v>
      </c>
      <c r="BZ30" s="528">
        <v>0</v>
      </c>
      <c r="CA30" s="528">
        <v>0</v>
      </c>
      <c r="CB30" s="528">
        <v>0</v>
      </c>
      <c r="CC30" s="528">
        <v>0</v>
      </c>
      <c r="CD30" s="528">
        <v>2250261.4399999981</v>
      </c>
      <c r="CE30" s="528">
        <v>0</v>
      </c>
      <c r="CF30" s="528">
        <v>0</v>
      </c>
      <c r="CG30" s="528">
        <v>0</v>
      </c>
      <c r="CH30" s="528">
        <v>0</v>
      </c>
      <c r="CI30" s="528">
        <f t="shared" si="0"/>
        <v>2250261.4399999981</v>
      </c>
      <c r="CJ30" s="528">
        <v>1208805.31</v>
      </c>
      <c r="CK30" s="528">
        <v>587368.37</v>
      </c>
      <c r="CL30" s="528">
        <v>792.64</v>
      </c>
      <c r="CM30" s="528">
        <v>622229.58000000007</v>
      </c>
      <c r="CN30" s="528">
        <v>750</v>
      </c>
      <c r="CO30" s="528">
        <v>0</v>
      </c>
      <c r="CP30" s="528">
        <v>38955.74</v>
      </c>
      <c r="CQ30" s="528">
        <v>28081.82</v>
      </c>
      <c r="CR30" s="528">
        <v>0</v>
      </c>
      <c r="CS30" s="528">
        <v>690017.14</v>
      </c>
      <c r="CT30" s="528">
        <v>1530769.23</v>
      </c>
      <c r="CU30" s="528">
        <v>0</v>
      </c>
      <c r="CV30" s="528">
        <v>0</v>
      </c>
      <c r="CW30" s="528">
        <v>1530769.23</v>
      </c>
      <c r="CX30" s="528"/>
      <c r="CY30" s="528"/>
      <c r="CZ30" s="528"/>
      <c r="DA30" s="528">
        <v>0</v>
      </c>
      <c r="DB30" s="528">
        <v>1530769.23</v>
      </c>
      <c r="DC30" s="528">
        <v>0</v>
      </c>
      <c r="DD30" s="528">
        <v>21117.5</v>
      </c>
      <c r="DE30" s="528">
        <v>149843.38</v>
      </c>
      <c r="DF30" s="528">
        <v>0</v>
      </c>
      <c r="DG30" s="528">
        <v>-70725.539999999994</v>
      </c>
      <c r="DH30" s="528">
        <v>-4</v>
      </c>
      <c r="DI30" s="528">
        <v>-35230</v>
      </c>
      <c r="DJ30" s="528">
        <v>-35526.17</v>
      </c>
      <c r="DK30" s="528">
        <v>29475.170000000013</v>
      </c>
      <c r="DL30" s="528">
        <v>0</v>
      </c>
      <c r="DM30" s="528">
        <v>0</v>
      </c>
      <c r="DN30" s="528">
        <v>0</v>
      </c>
      <c r="DO30" s="528">
        <v>0</v>
      </c>
      <c r="DP30" s="528">
        <v>0</v>
      </c>
      <c r="DQ30" s="529">
        <v>0.48626431031152606</v>
      </c>
      <c r="DR30" s="530">
        <v>6377885.5599999996</v>
      </c>
      <c r="DS30" s="531">
        <v>2486851.87</v>
      </c>
      <c r="DT30" s="530">
        <v>171410.44</v>
      </c>
      <c r="DU30" s="530">
        <v>284978.94</v>
      </c>
      <c r="DV30" s="530">
        <v>0</v>
      </c>
      <c r="DW30" s="530">
        <v>0</v>
      </c>
    </row>
    <row r="31" spans="1:127" s="103" customFormat="1">
      <c r="A31" s="525">
        <v>2030</v>
      </c>
      <c r="B31" s="526" t="s">
        <v>574</v>
      </c>
      <c r="C31" s="525">
        <v>2030</v>
      </c>
      <c r="D31" s="527" t="s">
        <v>1284</v>
      </c>
      <c r="E31" s="527" t="s">
        <v>538</v>
      </c>
      <c r="F31" s="527" t="s">
        <v>5</v>
      </c>
      <c r="G31" s="527" t="s">
        <v>535</v>
      </c>
      <c r="H31" s="528">
        <v>3877044.4</v>
      </c>
      <c r="I31" s="528">
        <v>0</v>
      </c>
      <c r="J31" s="528">
        <v>98485.21</v>
      </c>
      <c r="K31" s="528">
        <v>0</v>
      </c>
      <c r="L31" s="528">
        <v>392200</v>
      </c>
      <c r="M31" s="528">
        <v>4400</v>
      </c>
      <c r="N31" s="528">
        <v>0</v>
      </c>
      <c r="O31" s="528">
        <v>0</v>
      </c>
      <c r="P31" s="528">
        <v>59.93</v>
      </c>
      <c r="Q31" s="528">
        <v>30115.41</v>
      </c>
      <c r="R31" s="528">
        <v>874.66</v>
      </c>
      <c r="S31" s="528">
        <v>0</v>
      </c>
      <c r="T31" s="528">
        <v>18761.900000000001</v>
      </c>
      <c r="U31" s="528">
        <v>13437.5</v>
      </c>
      <c r="V31" s="528">
        <v>0</v>
      </c>
      <c r="W31" s="528">
        <v>353.13</v>
      </c>
      <c r="X31" s="528">
        <v>94647</v>
      </c>
      <c r="Y31" s="528">
        <v>4530379.1399999997</v>
      </c>
      <c r="Z31" s="528">
        <v>2042675.13</v>
      </c>
      <c r="AA31" s="528">
        <v>0</v>
      </c>
      <c r="AB31" s="528">
        <v>824732.43</v>
      </c>
      <c r="AC31" s="528">
        <v>121055.67</v>
      </c>
      <c r="AD31" s="528">
        <v>209990.45</v>
      </c>
      <c r="AE31" s="528">
        <v>103762.89</v>
      </c>
      <c r="AF31" s="528">
        <v>96996.94</v>
      </c>
      <c r="AG31" s="528">
        <v>14249.34</v>
      </c>
      <c r="AH31" s="528">
        <v>6494.25</v>
      </c>
      <c r="AI31" s="528">
        <v>0</v>
      </c>
      <c r="AJ31" s="528">
        <v>0</v>
      </c>
      <c r="AK31" s="528">
        <v>22521.11</v>
      </c>
      <c r="AL31" s="528">
        <v>0</v>
      </c>
      <c r="AM31" s="528">
        <v>5842.74</v>
      </c>
      <c r="AN31" s="528">
        <v>8056.66</v>
      </c>
      <c r="AO31" s="528">
        <v>87366.91</v>
      </c>
      <c r="AP31" s="528">
        <v>33389.800000000003</v>
      </c>
      <c r="AQ31" s="528">
        <v>17352.989999999998</v>
      </c>
      <c r="AR31" s="528">
        <v>45066.65</v>
      </c>
      <c r="AS31" s="528">
        <v>66442.06</v>
      </c>
      <c r="AT31" s="528">
        <v>0</v>
      </c>
      <c r="AU31" s="528">
        <v>34311.25</v>
      </c>
      <c r="AV31" s="528">
        <v>20483.04</v>
      </c>
      <c r="AW31" s="528">
        <v>8162.5</v>
      </c>
      <c r="AX31" s="528">
        <v>70894.219999999987</v>
      </c>
      <c r="AY31" s="528">
        <v>157676.18999999997</v>
      </c>
      <c r="AZ31" s="528">
        <v>72981.66</v>
      </c>
      <c r="BA31" s="528">
        <v>211530.47999999998</v>
      </c>
      <c r="BB31" s="528">
        <v>0</v>
      </c>
      <c r="BC31" s="528">
        <v>0</v>
      </c>
      <c r="BD31" s="528">
        <v>0</v>
      </c>
      <c r="BE31" s="528">
        <v>4282035.3600000013</v>
      </c>
      <c r="BF31" s="528">
        <v>294223.52000000037</v>
      </c>
      <c r="BG31" s="528">
        <v>248343.7799999984</v>
      </c>
      <c r="BH31" s="528">
        <v>542567.29999999877</v>
      </c>
      <c r="BI31" s="528">
        <v>11321.5</v>
      </c>
      <c r="BJ31" s="528">
        <v>0</v>
      </c>
      <c r="BK31" s="528">
        <v>0</v>
      </c>
      <c r="BL31" s="528">
        <v>11321.5</v>
      </c>
      <c r="BM31" s="528">
        <v>0</v>
      </c>
      <c r="BN31" s="528">
        <v>0</v>
      </c>
      <c r="BO31" s="528">
        <v>0</v>
      </c>
      <c r="BP31" s="528">
        <v>0</v>
      </c>
      <c r="BQ31" s="528">
        <v>0</v>
      </c>
      <c r="BR31" s="528">
        <v>40688</v>
      </c>
      <c r="BS31" s="528">
        <v>11321.5</v>
      </c>
      <c r="BT31" s="528">
        <v>52009.5</v>
      </c>
      <c r="BU31" s="528">
        <v>0</v>
      </c>
      <c r="BV31" s="528">
        <v>0</v>
      </c>
      <c r="BW31" s="528">
        <v>0</v>
      </c>
      <c r="BX31" s="528">
        <v>0</v>
      </c>
      <c r="BY31" s="528">
        <v>0</v>
      </c>
      <c r="BZ31" s="528">
        <v>0</v>
      </c>
      <c r="CA31" s="528">
        <v>0</v>
      </c>
      <c r="CB31" s="528">
        <v>0</v>
      </c>
      <c r="CC31" s="528">
        <v>0</v>
      </c>
      <c r="CD31" s="528">
        <v>542567.29999999877</v>
      </c>
      <c r="CE31" s="528">
        <v>0</v>
      </c>
      <c r="CF31" s="528">
        <v>52009.5</v>
      </c>
      <c r="CG31" s="528">
        <v>0</v>
      </c>
      <c r="CH31" s="528">
        <v>0</v>
      </c>
      <c r="CI31" s="528">
        <f t="shared" si="0"/>
        <v>594576.79999999877</v>
      </c>
      <c r="CJ31" s="528">
        <v>859090.81</v>
      </c>
      <c r="CK31" s="528">
        <v>282875.18</v>
      </c>
      <c r="CL31" s="528">
        <v>1240.6400000000001</v>
      </c>
      <c r="CM31" s="528">
        <v>577456.27000000014</v>
      </c>
      <c r="CN31" s="528">
        <v>0</v>
      </c>
      <c r="CO31" s="528">
        <v>0</v>
      </c>
      <c r="CP31" s="528">
        <v>15204.44</v>
      </c>
      <c r="CQ31" s="528">
        <v>16813.8</v>
      </c>
      <c r="CR31" s="528">
        <v>-2415</v>
      </c>
      <c r="CS31" s="528">
        <v>607059.51000000013</v>
      </c>
      <c r="CT31" s="528">
        <v>1166.55</v>
      </c>
      <c r="CU31" s="528">
        <v>0</v>
      </c>
      <c r="CV31" s="528">
        <v>0</v>
      </c>
      <c r="CW31" s="528">
        <v>1166.55</v>
      </c>
      <c r="CX31" s="528"/>
      <c r="CY31" s="528"/>
      <c r="CZ31" s="528"/>
      <c r="DA31" s="528">
        <v>0</v>
      </c>
      <c r="DB31" s="528">
        <v>1166.55</v>
      </c>
      <c r="DC31" s="528">
        <v>0</v>
      </c>
      <c r="DD31" s="528">
        <v>0</v>
      </c>
      <c r="DE31" s="528">
        <v>0</v>
      </c>
      <c r="DF31" s="528">
        <v>0</v>
      </c>
      <c r="DG31" s="528">
        <v>-26478.98</v>
      </c>
      <c r="DH31" s="528">
        <v>0</v>
      </c>
      <c r="DI31" s="528">
        <v>0</v>
      </c>
      <c r="DJ31" s="528">
        <v>0</v>
      </c>
      <c r="DK31" s="528">
        <v>-26478.98</v>
      </c>
      <c r="DL31" s="528">
        <v>0</v>
      </c>
      <c r="DM31" s="528">
        <v>12829.67</v>
      </c>
      <c r="DN31" s="528">
        <v>0</v>
      </c>
      <c r="DO31" s="528">
        <v>0</v>
      </c>
      <c r="DP31" s="528">
        <v>0</v>
      </c>
      <c r="DQ31" s="529">
        <v>-0.31000000005587935</v>
      </c>
      <c r="DR31" s="530">
        <v>3413462.85</v>
      </c>
      <c r="DS31" s="531">
        <v>868572.51000000117</v>
      </c>
      <c r="DT31" s="530">
        <v>157676.18999999997</v>
      </c>
      <c r="DU31" s="530">
        <v>48937.240000000005</v>
      </c>
      <c r="DV31" s="530">
        <v>14312.16</v>
      </c>
      <c r="DW31" s="530">
        <v>12829.67</v>
      </c>
    </row>
    <row r="32" spans="1:127" s="103" customFormat="1">
      <c r="A32" s="525">
        <v>3353</v>
      </c>
      <c r="B32" s="526" t="s">
        <v>576</v>
      </c>
      <c r="C32" s="525">
        <v>3353</v>
      </c>
      <c r="D32" s="527" t="s">
        <v>1284</v>
      </c>
      <c r="E32" s="527" t="s">
        <v>538</v>
      </c>
      <c r="F32" s="527" t="s">
        <v>5</v>
      </c>
      <c r="G32" s="527" t="s">
        <v>535</v>
      </c>
      <c r="H32" s="528">
        <v>3182261.18</v>
      </c>
      <c r="I32" s="528">
        <v>0</v>
      </c>
      <c r="J32" s="528">
        <v>61163.5</v>
      </c>
      <c r="K32" s="528">
        <v>0</v>
      </c>
      <c r="L32" s="528">
        <v>182200</v>
      </c>
      <c r="M32" s="528">
        <v>155578.25</v>
      </c>
      <c r="N32" s="528">
        <v>0</v>
      </c>
      <c r="O32" s="528">
        <v>13660</v>
      </c>
      <c r="P32" s="528">
        <v>98152.309999999969</v>
      </c>
      <c r="Q32" s="528">
        <v>0</v>
      </c>
      <c r="R32" s="528">
        <v>0</v>
      </c>
      <c r="S32" s="528">
        <v>0</v>
      </c>
      <c r="T32" s="528">
        <v>12587.72</v>
      </c>
      <c r="U32" s="528">
        <v>104.79</v>
      </c>
      <c r="V32" s="528">
        <v>0</v>
      </c>
      <c r="W32" s="528">
        <v>10001.25</v>
      </c>
      <c r="X32" s="528">
        <v>139577</v>
      </c>
      <c r="Y32" s="528">
        <v>3855286.0000000005</v>
      </c>
      <c r="Z32" s="528">
        <v>1801569.6299999964</v>
      </c>
      <c r="AA32" s="528">
        <v>0</v>
      </c>
      <c r="AB32" s="528">
        <v>671366.74</v>
      </c>
      <c r="AC32" s="528">
        <v>50424.959999998915</v>
      </c>
      <c r="AD32" s="528">
        <v>312427.52000000002</v>
      </c>
      <c r="AE32" s="528">
        <v>0</v>
      </c>
      <c r="AF32" s="528">
        <v>64164.239999999641</v>
      </c>
      <c r="AG32" s="528">
        <v>1010.3699999999844</v>
      </c>
      <c r="AH32" s="528">
        <v>11864.620000000003</v>
      </c>
      <c r="AI32" s="528">
        <v>0</v>
      </c>
      <c r="AJ32" s="528">
        <v>0</v>
      </c>
      <c r="AK32" s="528">
        <v>38604.339999999997</v>
      </c>
      <c r="AL32" s="528">
        <v>4792.8100000000013</v>
      </c>
      <c r="AM32" s="528">
        <v>74404.100000000006</v>
      </c>
      <c r="AN32" s="528">
        <v>11874.53</v>
      </c>
      <c r="AO32" s="528">
        <v>50083.750000000007</v>
      </c>
      <c r="AP32" s="528">
        <v>11218.18</v>
      </c>
      <c r="AQ32" s="528">
        <v>43961.37</v>
      </c>
      <c r="AR32" s="528">
        <v>164085.92000000007</v>
      </c>
      <c r="AS32" s="528">
        <v>51725.1</v>
      </c>
      <c r="AT32" s="528">
        <v>0</v>
      </c>
      <c r="AU32" s="528">
        <v>58371.73000000001</v>
      </c>
      <c r="AV32" s="528">
        <v>18745.650000000001</v>
      </c>
      <c r="AW32" s="528">
        <v>764.4</v>
      </c>
      <c r="AX32" s="528">
        <v>139313.99</v>
      </c>
      <c r="AY32" s="528">
        <v>271365.57</v>
      </c>
      <c r="AZ32" s="528">
        <v>8394</v>
      </c>
      <c r="BA32" s="528">
        <v>142459.97999999969</v>
      </c>
      <c r="BB32" s="528">
        <v>0</v>
      </c>
      <c r="BC32" s="528">
        <v>0</v>
      </c>
      <c r="BD32" s="528">
        <v>0</v>
      </c>
      <c r="BE32" s="528">
        <v>4002993.4999999949</v>
      </c>
      <c r="BF32" s="528">
        <v>296554.20000000042</v>
      </c>
      <c r="BG32" s="528">
        <v>-147707.49999999441</v>
      </c>
      <c r="BH32" s="528">
        <v>148846.70000000601</v>
      </c>
      <c r="BI32" s="528">
        <v>0</v>
      </c>
      <c r="BJ32" s="528">
        <v>0</v>
      </c>
      <c r="BK32" s="528">
        <v>0</v>
      </c>
      <c r="BL32" s="528">
        <v>0</v>
      </c>
      <c r="BM32" s="528">
        <v>0</v>
      </c>
      <c r="BN32" s="528">
        <v>0</v>
      </c>
      <c r="BO32" s="528">
        <v>0</v>
      </c>
      <c r="BP32" s="528">
        <v>0</v>
      </c>
      <c r="BQ32" s="528">
        <v>0</v>
      </c>
      <c r="BR32" s="528">
        <v>0</v>
      </c>
      <c r="BS32" s="528">
        <v>0</v>
      </c>
      <c r="BT32" s="528">
        <v>0</v>
      </c>
      <c r="BU32" s="528">
        <v>0</v>
      </c>
      <c r="BV32" s="528">
        <v>0</v>
      </c>
      <c r="BW32" s="528">
        <v>0</v>
      </c>
      <c r="BX32" s="528">
        <v>0</v>
      </c>
      <c r="BY32" s="528">
        <v>0</v>
      </c>
      <c r="BZ32" s="528">
        <v>0</v>
      </c>
      <c r="CA32" s="528">
        <v>0</v>
      </c>
      <c r="CB32" s="528">
        <v>0</v>
      </c>
      <c r="CC32" s="528">
        <v>0</v>
      </c>
      <c r="CD32" s="528">
        <v>148846.70000000601</v>
      </c>
      <c r="CE32" s="528">
        <v>0</v>
      </c>
      <c r="CF32" s="528">
        <v>0</v>
      </c>
      <c r="CG32" s="528">
        <v>0</v>
      </c>
      <c r="CH32" s="528">
        <v>0</v>
      </c>
      <c r="CI32" s="528">
        <f t="shared" si="0"/>
        <v>148846.70000000601</v>
      </c>
      <c r="CJ32" s="528">
        <v>522241.84</v>
      </c>
      <c r="CK32" s="528">
        <v>0</v>
      </c>
      <c r="CL32" s="528">
        <v>0</v>
      </c>
      <c r="CM32" s="528">
        <v>522241.84</v>
      </c>
      <c r="CN32" s="528">
        <v>0</v>
      </c>
      <c r="CO32" s="528">
        <v>0</v>
      </c>
      <c r="CP32" s="528">
        <v>6497.4</v>
      </c>
      <c r="CQ32" s="528">
        <v>0</v>
      </c>
      <c r="CR32" s="528">
        <v>-308970.05999999994</v>
      </c>
      <c r="CS32" s="528">
        <v>219769.18000000005</v>
      </c>
      <c r="CT32" s="528">
        <v>0</v>
      </c>
      <c r="CU32" s="528">
        <v>0</v>
      </c>
      <c r="CV32" s="528">
        <v>0</v>
      </c>
      <c r="CW32" s="528">
        <v>0</v>
      </c>
      <c r="CX32" s="528"/>
      <c r="CY32" s="528"/>
      <c r="CZ32" s="528"/>
      <c r="DA32" s="528">
        <v>0</v>
      </c>
      <c r="DB32" s="528">
        <v>0</v>
      </c>
      <c r="DC32" s="528">
        <v>0</v>
      </c>
      <c r="DD32" s="528">
        <v>10468.709999999999</v>
      </c>
      <c r="DE32" s="528">
        <v>0</v>
      </c>
      <c r="DF32" s="528">
        <v>0</v>
      </c>
      <c r="DG32" s="528">
        <v>-24422.59</v>
      </c>
      <c r="DH32" s="528">
        <v>-56969.1</v>
      </c>
      <c r="DI32" s="528">
        <v>0</v>
      </c>
      <c r="DJ32" s="528">
        <v>0</v>
      </c>
      <c r="DK32" s="528">
        <v>-70922.98</v>
      </c>
      <c r="DL32" s="528">
        <v>0</v>
      </c>
      <c r="DM32" s="528">
        <v>0</v>
      </c>
      <c r="DN32" s="528">
        <v>0</v>
      </c>
      <c r="DO32" s="528">
        <v>0</v>
      </c>
      <c r="DP32" s="528">
        <v>0</v>
      </c>
      <c r="DQ32" s="529">
        <v>-0.55999999959021807</v>
      </c>
      <c r="DR32" s="530">
        <v>2900963.4599999953</v>
      </c>
      <c r="DS32" s="531">
        <v>1102030.0399999996</v>
      </c>
      <c r="DT32" s="530">
        <v>271365.57</v>
      </c>
      <c r="DU32" s="530">
        <v>124400.02999999997</v>
      </c>
      <c r="DV32" s="530">
        <v>104.79</v>
      </c>
      <c r="DW32" s="530">
        <v>0</v>
      </c>
    </row>
    <row r="33" spans="1:127" s="103" customFormat="1">
      <c r="A33" s="525">
        <v>7030</v>
      </c>
      <c r="B33" s="526" t="s">
        <v>578</v>
      </c>
      <c r="C33" s="525">
        <v>7030</v>
      </c>
      <c r="D33" s="527" t="s">
        <v>1284</v>
      </c>
      <c r="E33" s="527" t="s">
        <v>553</v>
      </c>
      <c r="F33" s="527" t="s">
        <v>5</v>
      </c>
      <c r="G33" s="527" t="s">
        <v>535</v>
      </c>
      <c r="H33" s="528">
        <v>897596.5</v>
      </c>
      <c r="I33" s="528">
        <v>0</v>
      </c>
      <c r="J33" s="528">
        <v>984046.07999999996</v>
      </c>
      <c r="K33" s="528">
        <v>0</v>
      </c>
      <c r="L33" s="528">
        <v>47720</v>
      </c>
      <c r="M33" s="528">
        <v>823694.54999999993</v>
      </c>
      <c r="N33" s="528">
        <v>0</v>
      </c>
      <c r="O33" s="528">
        <v>0</v>
      </c>
      <c r="P33" s="528">
        <v>10747.739999999994</v>
      </c>
      <c r="Q33" s="528">
        <v>0</v>
      </c>
      <c r="R33" s="528">
        <v>0</v>
      </c>
      <c r="S33" s="528">
        <v>0</v>
      </c>
      <c r="T33" s="528">
        <v>0</v>
      </c>
      <c r="U33" s="528">
        <v>3932</v>
      </c>
      <c r="V33" s="528">
        <v>0</v>
      </c>
      <c r="W33" s="528">
        <v>10572.31</v>
      </c>
      <c r="X33" s="528">
        <v>0</v>
      </c>
      <c r="Y33" s="528">
        <v>2778309.18</v>
      </c>
      <c r="Z33" s="528">
        <v>1228637.9599999967</v>
      </c>
      <c r="AA33" s="528">
        <v>0</v>
      </c>
      <c r="AB33" s="528">
        <v>550304.06000000006</v>
      </c>
      <c r="AC33" s="528">
        <v>63935.530000000843</v>
      </c>
      <c r="AD33" s="528">
        <v>214050.29</v>
      </c>
      <c r="AE33" s="528">
        <v>0</v>
      </c>
      <c r="AF33" s="528">
        <v>34279.880000000179</v>
      </c>
      <c r="AG33" s="528">
        <v>4494.6599999999853</v>
      </c>
      <c r="AH33" s="528">
        <v>31111.39</v>
      </c>
      <c r="AI33" s="528">
        <v>0</v>
      </c>
      <c r="AJ33" s="528">
        <v>0</v>
      </c>
      <c r="AK33" s="528">
        <v>21808.400000000001</v>
      </c>
      <c r="AL33" s="528">
        <v>4292</v>
      </c>
      <c r="AM33" s="528">
        <v>20073.5</v>
      </c>
      <c r="AN33" s="528">
        <v>2183.04</v>
      </c>
      <c r="AO33" s="528">
        <v>7009.4699999999866</v>
      </c>
      <c r="AP33" s="528">
        <v>0</v>
      </c>
      <c r="AQ33" s="528">
        <v>6002.25</v>
      </c>
      <c r="AR33" s="528">
        <v>52598.209999999614</v>
      </c>
      <c r="AS33" s="528">
        <v>28423.66</v>
      </c>
      <c r="AT33" s="528">
        <v>16550.63</v>
      </c>
      <c r="AU33" s="528">
        <v>96867.910000000018</v>
      </c>
      <c r="AV33" s="528">
        <v>3701.77</v>
      </c>
      <c r="AW33" s="528">
        <v>6362.5</v>
      </c>
      <c r="AX33" s="528">
        <v>20860.89</v>
      </c>
      <c r="AY33" s="528">
        <v>21083</v>
      </c>
      <c r="AZ33" s="528">
        <v>4155</v>
      </c>
      <c r="BA33" s="528">
        <v>94484.959999999977</v>
      </c>
      <c r="BB33" s="528">
        <v>0</v>
      </c>
      <c r="BC33" s="528">
        <v>0</v>
      </c>
      <c r="BD33" s="528">
        <v>0</v>
      </c>
      <c r="BE33" s="528">
        <v>2533270.9599999976</v>
      </c>
      <c r="BF33" s="528">
        <v>310791.12999999966</v>
      </c>
      <c r="BG33" s="528">
        <v>245038.22000000253</v>
      </c>
      <c r="BH33" s="528">
        <v>555829.35000000219</v>
      </c>
      <c r="BI33" s="528">
        <v>7543.75</v>
      </c>
      <c r="BJ33" s="528">
        <v>0</v>
      </c>
      <c r="BK33" s="528">
        <v>0</v>
      </c>
      <c r="BL33" s="528">
        <v>7543.75</v>
      </c>
      <c r="BM33" s="528">
        <v>0</v>
      </c>
      <c r="BN33" s="528">
        <v>0</v>
      </c>
      <c r="BO33" s="528">
        <v>0</v>
      </c>
      <c r="BP33" s="528">
        <v>0</v>
      </c>
      <c r="BQ33" s="528">
        <v>0</v>
      </c>
      <c r="BR33" s="528">
        <v>0</v>
      </c>
      <c r="BS33" s="528">
        <v>7543.75</v>
      </c>
      <c r="BT33" s="528">
        <v>7543.75</v>
      </c>
      <c r="BU33" s="528">
        <v>0</v>
      </c>
      <c r="BV33" s="528">
        <v>0</v>
      </c>
      <c r="BW33" s="528">
        <v>0</v>
      </c>
      <c r="BX33" s="528">
        <v>0</v>
      </c>
      <c r="BY33" s="528">
        <v>0</v>
      </c>
      <c r="BZ33" s="528">
        <v>0</v>
      </c>
      <c r="CA33" s="528">
        <v>0</v>
      </c>
      <c r="CB33" s="528">
        <v>0</v>
      </c>
      <c r="CC33" s="528">
        <v>0</v>
      </c>
      <c r="CD33" s="528">
        <v>555829.35000000219</v>
      </c>
      <c r="CE33" s="528">
        <v>0</v>
      </c>
      <c r="CF33" s="528">
        <v>7543.75</v>
      </c>
      <c r="CG33" s="528">
        <v>0</v>
      </c>
      <c r="CH33" s="528">
        <v>0</v>
      </c>
      <c r="CI33" s="528">
        <f t="shared" si="0"/>
        <v>563373.10000000219</v>
      </c>
      <c r="CJ33" s="528">
        <v>214417.27</v>
      </c>
      <c r="CK33" s="528">
        <v>0</v>
      </c>
      <c r="CL33" s="528">
        <v>0</v>
      </c>
      <c r="CM33" s="528">
        <v>214417.27</v>
      </c>
      <c r="CN33" s="528">
        <v>0</v>
      </c>
      <c r="CO33" s="528">
        <v>0</v>
      </c>
      <c r="CP33" s="528">
        <v>3614.81</v>
      </c>
      <c r="CQ33" s="528">
        <v>0</v>
      </c>
      <c r="CR33" s="528">
        <v>-334144.32999999996</v>
      </c>
      <c r="CS33" s="528">
        <v>-116112.24999999997</v>
      </c>
      <c r="CT33" s="528">
        <v>0</v>
      </c>
      <c r="CU33" s="528">
        <v>0</v>
      </c>
      <c r="CV33" s="528">
        <v>0</v>
      </c>
      <c r="CW33" s="528">
        <v>0</v>
      </c>
      <c r="CX33" s="528"/>
      <c r="CY33" s="528"/>
      <c r="CZ33" s="528"/>
      <c r="DA33" s="528">
        <v>0</v>
      </c>
      <c r="DB33" s="528">
        <v>0</v>
      </c>
      <c r="DC33" s="528">
        <v>699191.54</v>
      </c>
      <c r="DD33" s="528">
        <v>10747.74</v>
      </c>
      <c r="DE33" s="528">
        <v>0</v>
      </c>
      <c r="DF33" s="528">
        <v>0</v>
      </c>
      <c r="DG33" s="528">
        <v>-25073.4</v>
      </c>
      <c r="DH33" s="528">
        <v>-130.9</v>
      </c>
      <c r="DI33" s="528">
        <v>0</v>
      </c>
      <c r="DJ33" s="528">
        <v>-5250</v>
      </c>
      <c r="DK33" s="528">
        <v>679484.98</v>
      </c>
      <c r="DL33" s="528">
        <v>0</v>
      </c>
      <c r="DM33" s="528">
        <v>0</v>
      </c>
      <c r="DN33" s="528">
        <v>0</v>
      </c>
      <c r="DO33" s="528">
        <v>0</v>
      </c>
      <c r="DP33" s="528">
        <v>0</v>
      </c>
      <c r="DQ33" s="529">
        <v>0.27000000001862645</v>
      </c>
      <c r="DR33" s="530">
        <v>2095702.3799999976</v>
      </c>
      <c r="DS33" s="531">
        <v>437568.58000000007</v>
      </c>
      <c r="DT33" s="530">
        <v>21083</v>
      </c>
      <c r="DU33" s="530">
        <v>10747.739999999994</v>
      </c>
      <c r="DV33" s="530">
        <v>3932</v>
      </c>
      <c r="DW33" s="530">
        <v>0</v>
      </c>
    </row>
    <row r="34" spans="1:127" s="103" customFormat="1">
      <c r="A34" s="525">
        <v>1002</v>
      </c>
      <c r="B34" s="526" t="s">
        <v>580</v>
      </c>
      <c r="C34" s="525">
        <v>1002</v>
      </c>
      <c r="D34" s="527" t="s">
        <v>1284</v>
      </c>
      <c r="E34" s="527" t="s">
        <v>534</v>
      </c>
      <c r="F34" s="527" t="s">
        <v>5</v>
      </c>
      <c r="G34" s="527" t="s">
        <v>535</v>
      </c>
      <c r="H34" s="528">
        <v>776666.93</v>
      </c>
      <c r="I34" s="528">
        <v>0</v>
      </c>
      <c r="J34" s="528">
        <v>17800.79</v>
      </c>
      <c r="K34" s="528">
        <v>0</v>
      </c>
      <c r="L34" s="528">
        <v>0</v>
      </c>
      <c r="M34" s="528">
        <v>2400</v>
      </c>
      <c r="N34" s="528">
        <v>0</v>
      </c>
      <c r="O34" s="528">
        <v>0</v>
      </c>
      <c r="P34" s="528">
        <v>25925.46</v>
      </c>
      <c r="Q34" s="528">
        <v>0</v>
      </c>
      <c r="R34" s="528">
        <v>0</v>
      </c>
      <c r="S34" s="528">
        <v>0</v>
      </c>
      <c r="T34" s="528">
        <v>345.5</v>
      </c>
      <c r="U34" s="528">
        <v>27000</v>
      </c>
      <c r="V34" s="528">
        <v>0</v>
      </c>
      <c r="W34" s="528">
        <v>0</v>
      </c>
      <c r="X34" s="528">
        <v>0</v>
      </c>
      <c r="Y34" s="528">
        <v>850138.68</v>
      </c>
      <c r="Z34" s="528">
        <v>120484.65000000005</v>
      </c>
      <c r="AA34" s="528">
        <v>1575.54</v>
      </c>
      <c r="AB34" s="528">
        <v>-150.22000000000116</v>
      </c>
      <c r="AC34" s="528">
        <v>112576.68</v>
      </c>
      <c r="AD34" s="528">
        <v>950.66999999999973</v>
      </c>
      <c r="AE34" s="528">
        <v>0</v>
      </c>
      <c r="AF34" s="528">
        <v>297563.93999999936</v>
      </c>
      <c r="AG34" s="528">
        <v>13428.239999999983</v>
      </c>
      <c r="AH34" s="528">
        <v>0</v>
      </c>
      <c r="AI34" s="528">
        <v>0</v>
      </c>
      <c r="AJ34" s="528">
        <v>0</v>
      </c>
      <c r="AK34" s="528">
        <v>8534.07</v>
      </c>
      <c r="AL34" s="528">
        <v>0</v>
      </c>
      <c r="AM34" s="528">
        <v>213.8</v>
      </c>
      <c r="AN34" s="528">
        <v>1430.2899999999997</v>
      </c>
      <c r="AO34" s="528">
        <v>13804.080000000002</v>
      </c>
      <c r="AP34" s="528">
        <v>0</v>
      </c>
      <c r="AQ34" s="528">
        <v>21259.78</v>
      </c>
      <c r="AR34" s="528">
        <v>20790.870000000006</v>
      </c>
      <c r="AS34" s="528">
        <v>0</v>
      </c>
      <c r="AT34" s="528">
        <v>48.08</v>
      </c>
      <c r="AU34" s="528">
        <v>14505.859999999999</v>
      </c>
      <c r="AV34" s="528">
        <v>4552.38</v>
      </c>
      <c r="AW34" s="528">
        <v>0</v>
      </c>
      <c r="AX34" s="528">
        <v>7310.33</v>
      </c>
      <c r="AY34" s="528">
        <v>21832.029999999995</v>
      </c>
      <c r="AZ34" s="528">
        <v>0</v>
      </c>
      <c r="BA34" s="528">
        <v>60215.31</v>
      </c>
      <c r="BB34" s="528">
        <v>0</v>
      </c>
      <c r="BC34" s="528">
        <v>0</v>
      </c>
      <c r="BD34" s="528">
        <v>0</v>
      </c>
      <c r="BE34" s="528">
        <v>720926.37999999942</v>
      </c>
      <c r="BF34" s="528">
        <v>164643.89000000007</v>
      </c>
      <c r="BG34" s="528">
        <v>129212.30000000063</v>
      </c>
      <c r="BH34" s="528">
        <v>293856.1900000007</v>
      </c>
      <c r="BI34" s="528">
        <v>4938.25</v>
      </c>
      <c r="BJ34" s="528">
        <v>0</v>
      </c>
      <c r="BK34" s="528">
        <v>0</v>
      </c>
      <c r="BL34" s="528">
        <v>4938.25</v>
      </c>
      <c r="BM34" s="528">
        <v>0</v>
      </c>
      <c r="BN34" s="528">
        <v>0</v>
      </c>
      <c r="BO34" s="528">
        <v>0</v>
      </c>
      <c r="BP34" s="528">
        <v>0</v>
      </c>
      <c r="BQ34" s="528">
        <v>0</v>
      </c>
      <c r="BR34" s="528">
        <v>40338</v>
      </c>
      <c r="BS34" s="528">
        <v>4938.25</v>
      </c>
      <c r="BT34" s="528">
        <v>45276.25</v>
      </c>
      <c r="BU34" s="528">
        <v>0</v>
      </c>
      <c r="BV34" s="528">
        <v>0</v>
      </c>
      <c r="BW34" s="528">
        <v>0</v>
      </c>
      <c r="BX34" s="528">
        <v>0</v>
      </c>
      <c r="BY34" s="528">
        <v>0</v>
      </c>
      <c r="BZ34" s="528">
        <v>0</v>
      </c>
      <c r="CA34" s="528">
        <v>0</v>
      </c>
      <c r="CB34" s="528">
        <v>0</v>
      </c>
      <c r="CC34" s="528">
        <v>0</v>
      </c>
      <c r="CD34" s="528">
        <v>293856.1900000007</v>
      </c>
      <c r="CE34" s="528">
        <v>0</v>
      </c>
      <c r="CF34" s="528">
        <v>45276.25</v>
      </c>
      <c r="CG34" s="528">
        <v>0</v>
      </c>
      <c r="CH34" s="528">
        <v>0</v>
      </c>
      <c r="CI34" s="528">
        <f t="shared" si="0"/>
        <v>339132.4400000007</v>
      </c>
      <c r="CJ34" s="528">
        <v>28124.27</v>
      </c>
      <c r="CK34" s="528">
        <v>0</v>
      </c>
      <c r="CL34" s="528">
        <v>0</v>
      </c>
      <c r="CM34" s="528">
        <v>28124.27</v>
      </c>
      <c r="CN34" s="528">
        <v>0</v>
      </c>
      <c r="CO34" s="528">
        <v>0</v>
      </c>
      <c r="CP34" s="528">
        <v>0</v>
      </c>
      <c r="CQ34" s="528">
        <v>0</v>
      </c>
      <c r="CR34" s="528">
        <v>306012.84000000003</v>
      </c>
      <c r="CS34" s="528">
        <v>334137.11000000004</v>
      </c>
      <c r="CT34" s="528">
        <v>0</v>
      </c>
      <c r="CU34" s="528">
        <v>0</v>
      </c>
      <c r="CV34" s="528">
        <v>0</v>
      </c>
      <c r="CW34" s="528">
        <v>0</v>
      </c>
      <c r="CX34" s="528"/>
      <c r="CY34" s="528"/>
      <c r="CZ34" s="528"/>
      <c r="DA34" s="528">
        <v>0</v>
      </c>
      <c r="DB34" s="528">
        <v>0</v>
      </c>
      <c r="DC34" s="528">
        <v>0</v>
      </c>
      <c r="DD34" s="528">
        <v>4995.32</v>
      </c>
      <c r="DE34" s="528">
        <v>0</v>
      </c>
      <c r="DF34" s="528">
        <v>0</v>
      </c>
      <c r="DG34" s="528">
        <v>0</v>
      </c>
      <c r="DH34" s="528">
        <v>0</v>
      </c>
      <c r="DI34" s="528">
        <v>0</v>
      </c>
      <c r="DJ34" s="528">
        <v>0</v>
      </c>
      <c r="DK34" s="528">
        <v>4995.32</v>
      </c>
      <c r="DL34" s="528">
        <v>0</v>
      </c>
      <c r="DM34" s="528">
        <v>0</v>
      </c>
      <c r="DN34" s="528">
        <v>0</v>
      </c>
      <c r="DO34" s="528">
        <v>0</v>
      </c>
      <c r="DP34" s="528">
        <v>0</v>
      </c>
      <c r="DQ34" s="529">
        <v>9.9999999511055648E-3</v>
      </c>
      <c r="DR34" s="530">
        <v>546429.49999999942</v>
      </c>
      <c r="DS34" s="531">
        <v>174496.88</v>
      </c>
      <c r="DT34" s="530">
        <v>21832.029999999995</v>
      </c>
      <c r="DU34" s="530">
        <v>26270.959999999999</v>
      </c>
      <c r="DV34" s="530">
        <v>27000</v>
      </c>
      <c r="DW34" s="530">
        <v>0</v>
      </c>
    </row>
    <row r="35" spans="1:127" s="103" customFormat="1">
      <c r="A35" s="525">
        <v>2238</v>
      </c>
      <c r="B35" s="526" t="s">
        <v>582</v>
      </c>
      <c r="C35" s="525">
        <v>2238</v>
      </c>
      <c r="D35" s="527" t="s">
        <v>1284</v>
      </c>
      <c r="E35" s="527" t="s">
        <v>538</v>
      </c>
      <c r="F35" s="527" t="s">
        <v>5</v>
      </c>
      <c r="G35" s="527" t="s">
        <v>535</v>
      </c>
      <c r="H35" s="528">
        <v>1112306.04</v>
      </c>
      <c r="I35" s="528">
        <v>0</v>
      </c>
      <c r="J35" s="528">
        <v>51251.15</v>
      </c>
      <c r="K35" s="528">
        <v>0</v>
      </c>
      <c r="L35" s="528">
        <v>103140</v>
      </c>
      <c r="M35" s="528">
        <v>1600</v>
      </c>
      <c r="N35" s="528">
        <v>0</v>
      </c>
      <c r="O35" s="528">
        <v>0</v>
      </c>
      <c r="P35" s="528">
        <v>20252.080000000002</v>
      </c>
      <c r="Q35" s="528">
        <v>0</v>
      </c>
      <c r="R35" s="528">
        <v>0</v>
      </c>
      <c r="S35" s="528">
        <v>0</v>
      </c>
      <c r="T35" s="528">
        <v>2135.5100000000002</v>
      </c>
      <c r="U35" s="528">
        <v>4404.3500000000004</v>
      </c>
      <c r="V35" s="528">
        <v>0</v>
      </c>
      <c r="W35" s="528">
        <v>6006.57</v>
      </c>
      <c r="X35" s="528">
        <v>54985</v>
      </c>
      <c r="Y35" s="528">
        <v>1356080.7000000002</v>
      </c>
      <c r="Z35" s="528">
        <v>557027.37</v>
      </c>
      <c r="AA35" s="528">
        <v>25291.56</v>
      </c>
      <c r="AB35" s="528">
        <v>236164.01</v>
      </c>
      <c r="AC35" s="528">
        <v>54923.58</v>
      </c>
      <c r="AD35" s="528">
        <v>128654.67</v>
      </c>
      <c r="AE35" s="528">
        <v>16585.25</v>
      </c>
      <c r="AF35" s="528">
        <v>42127.15</v>
      </c>
      <c r="AG35" s="528">
        <v>933.34</v>
      </c>
      <c r="AH35" s="528">
        <v>1094.04</v>
      </c>
      <c r="AI35" s="528">
        <v>0</v>
      </c>
      <c r="AJ35" s="528">
        <v>0</v>
      </c>
      <c r="AK35" s="528">
        <v>11705.970000000001</v>
      </c>
      <c r="AL35" s="528">
        <v>3970.32</v>
      </c>
      <c r="AM35" s="528">
        <v>3682</v>
      </c>
      <c r="AN35" s="528">
        <v>5970.1</v>
      </c>
      <c r="AO35" s="528">
        <v>43767.03</v>
      </c>
      <c r="AP35" s="528">
        <v>13652.72</v>
      </c>
      <c r="AQ35" s="528">
        <v>23182.54</v>
      </c>
      <c r="AR35" s="528">
        <v>58161.840000000004</v>
      </c>
      <c r="AS35" s="528">
        <v>682.15999999999985</v>
      </c>
      <c r="AT35" s="528">
        <v>0</v>
      </c>
      <c r="AU35" s="528">
        <v>15389.59</v>
      </c>
      <c r="AV35" s="528">
        <v>5139.75</v>
      </c>
      <c r="AW35" s="528">
        <v>0</v>
      </c>
      <c r="AX35" s="528">
        <v>77894.05</v>
      </c>
      <c r="AY35" s="528">
        <v>172718.66</v>
      </c>
      <c r="AZ35" s="528">
        <v>66694.930000000008</v>
      </c>
      <c r="BA35" s="528">
        <v>104895.33</v>
      </c>
      <c r="BB35" s="528">
        <v>0</v>
      </c>
      <c r="BC35" s="528">
        <v>0</v>
      </c>
      <c r="BD35" s="528">
        <v>0</v>
      </c>
      <c r="BE35" s="528">
        <v>1670307.9600000004</v>
      </c>
      <c r="BF35" s="528">
        <v>75771.780000000144</v>
      </c>
      <c r="BG35" s="528">
        <v>-314227.26000000024</v>
      </c>
      <c r="BH35" s="528">
        <v>-238455.4800000001</v>
      </c>
      <c r="BI35" s="528">
        <v>6000.25</v>
      </c>
      <c r="BJ35" s="528">
        <v>0</v>
      </c>
      <c r="BK35" s="528">
        <v>0</v>
      </c>
      <c r="BL35" s="528">
        <v>6000.25</v>
      </c>
      <c r="BM35" s="528">
        <v>0</v>
      </c>
      <c r="BN35" s="528">
        <v>1400</v>
      </c>
      <c r="BO35" s="528">
        <v>0</v>
      </c>
      <c r="BP35" s="528">
        <v>16041.75</v>
      </c>
      <c r="BQ35" s="528">
        <v>17441.75</v>
      </c>
      <c r="BR35" s="528">
        <v>28459.15</v>
      </c>
      <c r="BS35" s="528">
        <v>-11441.5</v>
      </c>
      <c r="BT35" s="528">
        <v>17017.650000000001</v>
      </c>
      <c r="BU35" s="528">
        <v>0</v>
      </c>
      <c r="BV35" s="528">
        <v>0</v>
      </c>
      <c r="BW35" s="528">
        <v>0</v>
      </c>
      <c r="BX35" s="528">
        <v>0</v>
      </c>
      <c r="BY35" s="528">
        <v>0</v>
      </c>
      <c r="BZ35" s="528">
        <v>0</v>
      </c>
      <c r="CA35" s="528">
        <v>0</v>
      </c>
      <c r="CB35" s="528">
        <v>0</v>
      </c>
      <c r="CC35" s="528">
        <v>0</v>
      </c>
      <c r="CD35" s="528">
        <v>-238455.4800000001</v>
      </c>
      <c r="CE35" s="528">
        <v>0</v>
      </c>
      <c r="CF35" s="528">
        <v>17017.650000000001</v>
      </c>
      <c r="CG35" s="528">
        <v>0</v>
      </c>
      <c r="CH35" s="528">
        <v>0</v>
      </c>
      <c r="CI35" s="528">
        <f t="shared" si="0"/>
        <v>-221437.8300000001</v>
      </c>
      <c r="CJ35" s="528">
        <v>255537.43</v>
      </c>
      <c r="CK35" s="528">
        <v>17565.18</v>
      </c>
      <c r="CL35" s="528">
        <v>0</v>
      </c>
      <c r="CM35" s="528">
        <v>237972.25</v>
      </c>
      <c r="CN35" s="528">
        <v>0</v>
      </c>
      <c r="CO35" s="528">
        <v>0</v>
      </c>
      <c r="CP35" s="528">
        <v>8890.7000000000007</v>
      </c>
      <c r="CQ35" s="528">
        <v>34224.239999999998</v>
      </c>
      <c r="CR35" s="528">
        <v>0</v>
      </c>
      <c r="CS35" s="528">
        <v>281087.19</v>
      </c>
      <c r="CT35" s="528">
        <v>0</v>
      </c>
      <c r="CU35" s="528">
        <v>0</v>
      </c>
      <c r="CV35" s="528">
        <v>0</v>
      </c>
      <c r="CW35" s="528">
        <v>0</v>
      </c>
      <c r="CX35" s="528"/>
      <c r="CY35" s="528"/>
      <c r="CZ35" s="528"/>
      <c r="DA35" s="528">
        <v>0</v>
      </c>
      <c r="DB35" s="528">
        <v>0</v>
      </c>
      <c r="DC35" s="528">
        <v>0</v>
      </c>
      <c r="DD35" s="528">
        <v>0</v>
      </c>
      <c r="DE35" s="528">
        <v>0</v>
      </c>
      <c r="DF35" s="528">
        <v>0</v>
      </c>
      <c r="DG35" s="528">
        <v>-19359.060000000001</v>
      </c>
      <c r="DH35" s="528">
        <v>-610.24</v>
      </c>
      <c r="DI35" s="528">
        <v>0</v>
      </c>
      <c r="DJ35" s="528">
        <v>0</v>
      </c>
      <c r="DK35" s="528">
        <v>-19969.300000000003</v>
      </c>
      <c r="DL35" s="528">
        <v>0</v>
      </c>
      <c r="DM35" s="528">
        <v>19239.47</v>
      </c>
      <c r="DN35" s="528">
        <v>-159.93</v>
      </c>
      <c r="DO35" s="528">
        <v>-501635.45</v>
      </c>
      <c r="DP35" s="528">
        <v>0</v>
      </c>
      <c r="DQ35" s="529"/>
      <c r="DR35" s="530">
        <v>1061706.9300000002</v>
      </c>
      <c r="DS35" s="531">
        <v>608601.03000000026</v>
      </c>
      <c r="DT35" s="530">
        <v>172718.66</v>
      </c>
      <c r="DU35" s="530">
        <v>22387.590000000004</v>
      </c>
      <c r="DV35" s="530">
        <v>4404.3500000000004</v>
      </c>
      <c r="DW35" s="530">
        <v>-482555.91000000003</v>
      </c>
    </row>
    <row r="36" spans="1:127" s="103" customFormat="1">
      <c r="A36" s="525">
        <v>2236</v>
      </c>
      <c r="B36" s="526" t="s">
        <v>585</v>
      </c>
      <c r="C36" s="525">
        <v>2236</v>
      </c>
      <c r="D36" s="527" t="s">
        <v>1284</v>
      </c>
      <c r="E36" s="527" t="s">
        <v>538</v>
      </c>
      <c r="F36" s="527" t="s">
        <v>5</v>
      </c>
      <c r="G36" s="527" t="s">
        <v>535</v>
      </c>
      <c r="H36" s="528">
        <v>1371168.3</v>
      </c>
      <c r="I36" s="528">
        <v>0</v>
      </c>
      <c r="J36" s="528">
        <v>59255.09</v>
      </c>
      <c r="K36" s="528">
        <v>0</v>
      </c>
      <c r="L36" s="528">
        <v>188850</v>
      </c>
      <c r="M36" s="528">
        <v>856.93</v>
      </c>
      <c r="N36" s="528">
        <v>0</v>
      </c>
      <c r="O36" s="528">
        <v>521</v>
      </c>
      <c r="P36" s="528">
        <v>243767.11</v>
      </c>
      <c r="Q36" s="528">
        <v>12605.96</v>
      </c>
      <c r="R36" s="528">
        <v>0</v>
      </c>
      <c r="S36" s="528">
        <v>0</v>
      </c>
      <c r="T36" s="528">
        <v>13831.77</v>
      </c>
      <c r="U36" s="528">
        <v>0</v>
      </c>
      <c r="V36" s="528">
        <v>0</v>
      </c>
      <c r="W36" s="528">
        <v>7926.25</v>
      </c>
      <c r="X36" s="528">
        <v>18219</v>
      </c>
      <c r="Y36" s="528">
        <v>1917001.4100000001</v>
      </c>
      <c r="Z36" s="528">
        <v>846293.88</v>
      </c>
      <c r="AA36" s="528">
        <v>41985.2</v>
      </c>
      <c r="AB36" s="528">
        <v>294038.34000000003</v>
      </c>
      <c r="AC36" s="528">
        <v>68237.929999999993</v>
      </c>
      <c r="AD36" s="528">
        <v>90815.6</v>
      </c>
      <c r="AE36" s="528">
        <v>0</v>
      </c>
      <c r="AF36" s="528">
        <v>56281.35</v>
      </c>
      <c r="AG36" s="528">
        <v>603.29</v>
      </c>
      <c r="AH36" s="528">
        <v>396</v>
      </c>
      <c r="AI36" s="528">
        <v>0</v>
      </c>
      <c r="AJ36" s="528">
        <v>0</v>
      </c>
      <c r="AK36" s="528">
        <v>9645.0400000000009</v>
      </c>
      <c r="AL36" s="528">
        <v>2572.66</v>
      </c>
      <c r="AM36" s="528">
        <v>691.24</v>
      </c>
      <c r="AN36" s="528">
        <v>9690.7199999999993</v>
      </c>
      <c r="AO36" s="528">
        <v>33883.46</v>
      </c>
      <c r="AP36" s="528">
        <v>16027.1</v>
      </c>
      <c r="AQ36" s="528">
        <v>5000.0600000000004</v>
      </c>
      <c r="AR36" s="528">
        <v>57150.63</v>
      </c>
      <c r="AS36" s="528">
        <v>4807.92</v>
      </c>
      <c r="AT36" s="528">
        <v>0</v>
      </c>
      <c r="AU36" s="528">
        <v>1960.39</v>
      </c>
      <c r="AV36" s="528">
        <v>5139.75</v>
      </c>
      <c r="AW36" s="528">
        <v>0</v>
      </c>
      <c r="AX36" s="528">
        <v>79759.81</v>
      </c>
      <c r="AY36" s="528">
        <v>2999.88</v>
      </c>
      <c r="AZ36" s="528">
        <v>16920.91</v>
      </c>
      <c r="BA36" s="528">
        <v>124219.2</v>
      </c>
      <c r="BB36" s="528">
        <v>0</v>
      </c>
      <c r="BC36" s="528">
        <v>0</v>
      </c>
      <c r="BD36" s="528">
        <v>0</v>
      </c>
      <c r="BE36" s="528">
        <v>1769120.3599999996</v>
      </c>
      <c r="BF36" s="528">
        <v>159095.68000000008</v>
      </c>
      <c r="BG36" s="528">
        <v>147881.05000000051</v>
      </c>
      <c r="BH36" s="528">
        <v>306976.73000000056</v>
      </c>
      <c r="BI36" s="528">
        <v>6508.75</v>
      </c>
      <c r="BJ36" s="528">
        <v>0</v>
      </c>
      <c r="BK36" s="528">
        <v>0</v>
      </c>
      <c r="BL36" s="528">
        <v>6508.75</v>
      </c>
      <c r="BM36" s="528">
        <v>0</v>
      </c>
      <c r="BN36" s="528">
        <v>0</v>
      </c>
      <c r="BO36" s="528">
        <v>13365</v>
      </c>
      <c r="BP36" s="528">
        <v>0</v>
      </c>
      <c r="BQ36" s="528">
        <v>13365</v>
      </c>
      <c r="BR36" s="528">
        <v>19814.550000000003</v>
      </c>
      <c r="BS36" s="528">
        <v>-6856.25</v>
      </c>
      <c r="BT36" s="528">
        <v>12958.300000000003</v>
      </c>
      <c r="BU36" s="528">
        <v>0</v>
      </c>
      <c r="BV36" s="528">
        <v>0</v>
      </c>
      <c r="BW36" s="528">
        <v>0</v>
      </c>
      <c r="BX36" s="528">
        <v>0</v>
      </c>
      <c r="BY36" s="528">
        <v>0</v>
      </c>
      <c r="BZ36" s="528">
        <v>0</v>
      </c>
      <c r="CA36" s="528">
        <v>0</v>
      </c>
      <c r="CB36" s="528">
        <v>0</v>
      </c>
      <c r="CC36" s="528">
        <v>0</v>
      </c>
      <c r="CD36" s="528">
        <v>306976.73000000056</v>
      </c>
      <c r="CE36" s="528">
        <v>0</v>
      </c>
      <c r="CF36" s="528">
        <v>12958.300000000003</v>
      </c>
      <c r="CG36" s="528">
        <v>0</v>
      </c>
      <c r="CH36" s="528">
        <v>0</v>
      </c>
      <c r="CI36" s="528">
        <f t="shared" si="0"/>
        <v>319935.03000000055</v>
      </c>
      <c r="CJ36" s="528">
        <v>476367.49</v>
      </c>
      <c r="CK36" s="528">
        <v>107789.34</v>
      </c>
      <c r="CL36" s="528">
        <v>0</v>
      </c>
      <c r="CM36" s="528">
        <v>368578.15</v>
      </c>
      <c r="CN36" s="528">
        <v>0</v>
      </c>
      <c r="CO36" s="528">
        <v>0</v>
      </c>
      <c r="CP36" s="528">
        <v>3708.35</v>
      </c>
      <c r="CQ36" s="528">
        <v>4569.6400000000003</v>
      </c>
      <c r="CR36" s="528">
        <v>0</v>
      </c>
      <c r="CS36" s="528">
        <v>376856.14</v>
      </c>
      <c r="CT36" s="528">
        <v>513.65</v>
      </c>
      <c r="CU36" s="528">
        <v>0</v>
      </c>
      <c r="CV36" s="528">
        <v>0</v>
      </c>
      <c r="CW36" s="528">
        <v>513.65</v>
      </c>
      <c r="CX36" s="528"/>
      <c r="CY36" s="528"/>
      <c r="CZ36" s="528"/>
      <c r="DA36" s="528">
        <v>0</v>
      </c>
      <c r="DB36" s="528">
        <v>513.65</v>
      </c>
      <c r="DC36" s="528">
        <v>0</v>
      </c>
      <c r="DD36" s="528">
        <v>0</v>
      </c>
      <c r="DE36" s="528">
        <v>0</v>
      </c>
      <c r="DF36" s="528">
        <v>0</v>
      </c>
      <c r="DG36" s="528">
        <v>-10499.88</v>
      </c>
      <c r="DH36" s="528">
        <v>-46535.3</v>
      </c>
      <c r="DI36" s="528">
        <v>0</v>
      </c>
      <c r="DJ36" s="528">
        <v>0</v>
      </c>
      <c r="DK36" s="528">
        <v>-57035.18</v>
      </c>
      <c r="DL36" s="528">
        <v>0</v>
      </c>
      <c r="DM36" s="528">
        <v>0</v>
      </c>
      <c r="DN36" s="528">
        <v>-399.6</v>
      </c>
      <c r="DO36" s="528">
        <v>0</v>
      </c>
      <c r="DP36" s="528">
        <v>0</v>
      </c>
      <c r="DQ36" s="529"/>
      <c r="DR36" s="530">
        <v>1398255.59</v>
      </c>
      <c r="DS36" s="531">
        <v>370864.76999999955</v>
      </c>
      <c r="DT36" s="530">
        <v>2999.88</v>
      </c>
      <c r="DU36" s="530">
        <v>270725.83999999997</v>
      </c>
      <c r="DV36" s="530">
        <v>0</v>
      </c>
      <c r="DW36" s="530">
        <v>-399.6</v>
      </c>
    </row>
    <row r="37" spans="1:127" s="103" customFormat="1">
      <c r="A37" s="525">
        <v>2465</v>
      </c>
      <c r="B37" s="526" t="s">
        <v>587</v>
      </c>
      <c r="C37" s="525">
        <v>2465</v>
      </c>
      <c r="D37" s="527" t="s">
        <v>1284</v>
      </c>
      <c r="E37" s="527" t="s">
        <v>538</v>
      </c>
      <c r="F37" s="527" t="s">
        <v>5</v>
      </c>
      <c r="G37" s="527" t="s">
        <v>535</v>
      </c>
      <c r="H37" s="528">
        <v>2780546.39</v>
      </c>
      <c r="I37" s="528">
        <v>0</v>
      </c>
      <c r="J37" s="528">
        <v>116851.66</v>
      </c>
      <c r="K37" s="528">
        <v>0</v>
      </c>
      <c r="L37" s="528">
        <v>196630</v>
      </c>
      <c r="M37" s="528">
        <v>200</v>
      </c>
      <c r="N37" s="528">
        <v>0</v>
      </c>
      <c r="O37" s="528">
        <v>0</v>
      </c>
      <c r="P37" s="528">
        <v>38933.110000000008</v>
      </c>
      <c r="Q37" s="528">
        <v>0</v>
      </c>
      <c r="R37" s="528">
        <v>0</v>
      </c>
      <c r="S37" s="528">
        <v>0</v>
      </c>
      <c r="T37" s="528">
        <v>118134.64000000001</v>
      </c>
      <c r="U37" s="528">
        <v>0</v>
      </c>
      <c r="V37" s="528">
        <v>0</v>
      </c>
      <c r="W37" s="528">
        <v>9949.17</v>
      </c>
      <c r="X37" s="528">
        <v>86032</v>
      </c>
      <c r="Y37" s="528">
        <v>3347276.97</v>
      </c>
      <c r="Z37" s="528">
        <v>1195977.0000000005</v>
      </c>
      <c r="AA37" s="528">
        <v>-921.81999999999994</v>
      </c>
      <c r="AB37" s="528">
        <v>691.64</v>
      </c>
      <c r="AC37" s="528">
        <v>399219.14000000071</v>
      </c>
      <c r="AD37" s="528">
        <v>0</v>
      </c>
      <c r="AE37" s="528">
        <v>0</v>
      </c>
      <c r="AF37" s="528">
        <v>533680.99999999884</v>
      </c>
      <c r="AG37" s="528">
        <v>26516.080000000024</v>
      </c>
      <c r="AH37" s="528">
        <v>141.5</v>
      </c>
      <c r="AI37" s="528">
        <v>0</v>
      </c>
      <c r="AJ37" s="528">
        <v>0</v>
      </c>
      <c r="AK37" s="528">
        <v>19997.75</v>
      </c>
      <c r="AL37" s="528">
        <v>0</v>
      </c>
      <c r="AM37" s="528">
        <v>83.29</v>
      </c>
      <c r="AN37" s="528">
        <v>0</v>
      </c>
      <c r="AO37" s="528">
        <v>43003.290000000008</v>
      </c>
      <c r="AP37" s="528">
        <v>46033.17</v>
      </c>
      <c r="AQ37" s="528">
        <v>134.16</v>
      </c>
      <c r="AR37" s="528">
        <v>432644.39</v>
      </c>
      <c r="AS37" s="528">
        <v>1627</v>
      </c>
      <c r="AT37" s="528">
        <v>0</v>
      </c>
      <c r="AU37" s="528">
        <v>5973.1299999999992</v>
      </c>
      <c r="AV37" s="528">
        <v>9471</v>
      </c>
      <c r="AW37" s="528">
        <v>0</v>
      </c>
      <c r="AX37" s="528">
        <v>12391.380000000001</v>
      </c>
      <c r="AY37" s="528">
        <v>1120</v>
      </c>
      <c r="AZ37" s="528">
        <v>11554.47</v>
      </c>
      <c r="BA37" s="528">
        <v>36639.19</v>
      </c>
      <c r="BB37" s="528">
        <v>612870</v>
      </c>
      <c r="BC37" s="528">
        <v>0</v>
      </c>
      <c r="BD37" s="528">
        <v>0</v>
      </c>
      <c r="BE37" s="528">
        <v>3388846.7600000002</v>
      </c>
      <c r="BF37" s="528">
        <v>186196.57999999967</v>
      </c>
      <c r="BG37" s="528">
        <v>-41569.790000000037</v>
      </c>
      <c r="BH37" s="528">
        <v>144626.78999999963</v>
      </c>
      <c r="BI37" s="528">
        <v>9008.5</v>
      </c>
      <c r="BJ37" s="528">
        <v>0</v>
      </c>
      <c r="BK37" s="528">
        <v>0</v>
      </c>
      <c r="BL37" s="528">
        <v>9008.5</v>
      </c>
      <c r="BM37" s="528">
        <v>0</v>
      </c>
      <c r="BN37" s="528">
        <v>18625.2</v>
      </c>
      <c r="BO37" s="528">
        <v>0</v>
      </c>
      <c r="BP37" s="528">
        <v>0</v>
      </c>
      <c r="BQ37" s="528">
        <v>18625.2</v>
      </c>
      <c r="BR37" s="528">
        <v>26988.69</v>
      </c>
      <c r="BS37" s="528">
        <v>-9616.7000000000007</v>
      </c>
      <c r="BT37" s="528">
        <v>17371.989999999998</v>
      </c>
      <c r="BU37" s="528">
        <v>0</v>
      </c>
      <c r="BV37" s="528">
        <v>0</v>
      </c>
      <c r="BW37" s="528">
        <v>0</v>
      </c>
      <c r="BX37" s="528">
        <v>0</v>
      </c>
      <c r="BY37" s="528">
        <v>0</v>
      </c>
      <c r="BZ37" s="528">
        <v>0</v>
      </c>
      <c r="CA37" s="528">
        <v>0</v>
      </c>
      <c r="CB37" s="528">
        <v>0</v>
      </c>
      <c r="CC37" s="528">
        <v>0</v>
      </c>
      <c r="CD37" s="528">
        <v>144626.78999999963</v>
      </c>
      <c r="CE37" s="528">
        <v>0</v>
      </c>
      <c r="CF37" s="528">
        <v>17371.989999999998</v>
      </c>
      <c r="CG37" s="528">
        <v>0</v>
      </c>
      <c r="CH37" s="528">
        <v>0</v>
      </c>
      <c r="CI37" s="528">
        <f t="shared" si="0"/>
        <v>161998.77999999962</v>
      </c>
      <c r="CJ37" s="528">
        <v>399345.87</v>
      </c>
      <c r="CK37" s="528">
        <v>43698</v>
      </c>
      <c r="CL37" s="528">
        <v>0</v>
      </c>
      <c r="CM37" s="528">
        <v>355647.87</v>
      </c>
      <c r="CN37" s="528">
        <v>0</v>
      </c>
      <c r="CO37" s="528">
        <v>0</v>
      </c>
      <c r="CP37" s="528">
        <v>14284.42</v>
      </c>
      <c r="CQ37" s="528">
        <v>8169.7</v>
      </c>
      <c r="CR37" s="528">
        <v>-200022.28</v>
      </c>
      <c r="CS37" s="528">
        <v>178079.71</v>
      </c>
      <c r="CT37" s="528">
        <v>0</v>
      </c>
      <c r="CU37" s="528">
        <v>0</v>
      </c>
      <c r="CV37" s="528">
        <v>0</v>
      </c>
      <c r="CW37" s="528">
        <v>0</v>
      </c>
      <c r="CX37" s="528"/>
      <c r="CY37" s="528"/>
      <c r="CZ37" s="528"/>
      <c r="DA37" s="528">
        <v>0</v>
      </c>
      <c r="DB37" s="528">
        <v>0</v>
      </c>
      <c r="DC37" s="528">
        <v>0</v>
      </c>
      <c r="DD37" s="528">
        <v>5135.55</v>
      </c>
      <c r="DE37" s="528">
        <v>0</v>
      </c>
      <c r="DF37" s="528">
        <v>0</v>
      </c>
      <c r="DG37" s="528">
        <v>-21216.79</v>
      </c>
      <c r="DH37" s="528">
        <v>0</v>
      </c>
      <c r="DI37" s="528">
        <v>0</v>
      </c>
      <c r="DJ37" s="528">
        <v>0</v>
      </c>
      <c r="DK37" s="528">
        <v>-16081.240000000002</v>
      </c>
      <c r="DL37" s="528">
        <v>0</v>
      </c>
      <c r="DM37" s="528">
        <v>0</v>
      </c>
      <c r="DN37" s="528">
        <v>0</v>
      </c>
      <c r="DO37" s="528">
        <v>0</v>
      </c>
      <c r="DP37" s="528">
        <v>0</v>
      </c>
      <c r="DQ37" s="529">
        <v>0.30999999999767169</v>
      </c>
      <c r="DR37" s="530">
        <v>2155163.04</v>
      </c>
      <c r="DS37" s="531">
        <v>1233683.7200000002</v>
      </c>
      <c r="DT37" s="530">
        <v>1120</v>
      </c>
      <c r="DU37" s="530">
        <v>157067.75000000003</v>
      </c>
      <c r="DV37" s="530">
        <v>0</v>
      </c>
      <c r="DW37" s="530">
        <v>0</v>
      </c>
    </row>
    <row r="38" spans="1:127" s="103" customFormat="1">
      <c r="A38" s="525">
        <v>4801</v>
      </c>
      <c r="B38" s="526" t="s">
        <v>589</v>
      </c>
      <c r="C38" s="525">
        <v>4801</v>
      </c>
      <c r="D38" s="527" t="s">
        <v>1284</v>
      </c>
      <c r="E38" s="527" t="s">
        <v>564</v>
      </c>
      <c r="F38" s="527" t="s">
        <v>5</v>
      </c>
      <c r="G38" s="527" t="s">
        <v>535</v>
      </c>
      <c r="H38" s="528">
        <v>6132375.4400000004</v>
      </c>
      <c r="I38" s="528">
        <v>0</v>
      </c>
      <c r="J38" s="528">
        <v>111667.26</v>
      </c>
      <c r="K38" s="528">
        <v>0</v>
      </c>
      <c r="L38" s="528">
        <v>394370</v>
      </c>
      <c r="M38" s="528">
        <v>6228.22</v>
      </c>
      <c r="N38" s="528">
        <v>0</v>
      </c>
      <c r="O38" s="528">
        <v>40880.04</v>
      </c>
      <c r="P38" s="528">
        <v>1673.14</v>
      </c>
      <c r="Q38" s="528">
        <v>168698.88</v>
      </c>
      <c r="R38" s="528">
        <v>0</v>
      </c>
      <c r="S38" s="528">
        <v>0</v>
      </c>
      <c r="T38" s="528">
        <v>43897.65</v>
      </c>
      <c r="U38" s="528">
        <v>144659.37</v>
      </c>
      <c r="V38" s="528">
        <v>0</v>
      </c>
      <c r="W38" s="528">
        <v>37056</v>
      </c>
      <c r="X38" s="528">
        <v>0</v>
      </c>
      <c r="Y38" s="528">
        <v>7081506</v>
      </c>
      <c r="Z38" s="528">
        <v>3910670.74</v>
      </c>
      <c r="AA38" s="528">
        <v>0</v>
      </c>
      <c r="AB38" s="528">
        <v>692743.22</v>
      </c>
      <c r="AC38" s="528">
        <v>145582.78</v>
      </c>
      <c r="AD38" s="528">
        <v>301240.46000000002</v>
      </c>
      <c r="AE38" s="528">
        <v>189060.05</v>
      </c>
      <c r="AF38" s="528">
        <v>69166.559999999998</v>
      </c>
      <c r="AG38" s="528">
        <v>50180.37</v>
      </c>
      <c r="AH38" s="528">
        <v>48796.14</v>
      </c>
      <c r="AI38" s="528">
        <v>0</v>
      </c>
      <c r="AJ38" s="528">
        <v>4014.98</v>
      </c>
      <c r="AK38" s="528">
        <v>334915.34999999998</v>
      </c>
      <c r="AL38" s="528">
        <v>9950</v>
      </c>
      <c r="AM38" s="528">
        <v>5844.41</v>
      </c>
      <c r="AN38" s="528">
        <v>18926.41</v>
      </c>
      <c r="AO38" s="528">
        <v>159220.21</v>
      </c>
      <c r="AP38" s="528">
        <v>24697.86</v>
      </c>
      <c r="AQ38" s="528">
        <v>191394.81</v>
      </c>
      <c r="AR38" s="528">
        <v>369521.63</v>
      </c>
      <c r="AS38" s="528">
        <v>84511.08</v>
      </c>
      <c r="AT38" s="528">
        <v>117154.79</v>
      </c>
      <c r="AU38" s="528">
        <v>107523.91</v>
      </c>
      <c r="AV38" s="528">
        <v>24312.75</v>
      </c>
      <c r="AW38" s="528">
        <v>0</v>
      </c>
      <c r="AX38" s="528">
        <v>127428.73</v>
      </c>
      <c r="AY38" s="528">
        <v>38333.07</v>
      </c>
      <c r="AZ38" s="528">
        <v>99155.92</v>
      </c>
      <c r="BA38" s="528">
        <v>147691.78</v>
      </c>
      <c r="BB38" s="528">
        <v>0</v>
      </c>
      <c r="BC38" s="528">
        <v>0</v>
      </c>
      <c r="BD38" s="528">
        <v>0</v>
      </c>
      <c r="BE38" s="528">
        <v>7272038.0100000007</v>
      </c>
      <c r="BF38" s="528">
        <v>418700.14000000077</v>
      </c>
      <c r="BG38" s="528">
        <v>-190532.01000000071</v>
      </c>
      <c r="BH38" s="528">
        <v>228168.13000000006</v>
      </c>
      <c r="BI38" s="528">
        <v>18052.95</v>
      </c>
      <c r="BJ38" s="528">
        <v>0</v>
      </c>
      <c r="BK38" s="528">
        <v>0</v>
      </c>
      <c r="BL38" s="528">
        <v>18052.95</v>
      </c>
      <c r="BM38" s="528">
        <v>0</v>
      </c>
      <c r="BN38" s="528">
        <v>18052.95</v>
      </c>
      <c r="BO38" s="528">
        <v>0</v>
      </c>
      <c r="BP38" s="528">
        <v>0</v>
      </c>
      <c r="BQ38" s="528">
        <v>18052.95</v>
      </c>
      <c r="BR38" s="528">
        <v>0</v>
      </c>
      <c r="BS38" s="528">
        <v>0</v>
      </c>
      <c r="BT38" s="528">
        <v>0</v>
      </c>
      <c r="BU38" s="528">
        <v>0</v>
      </c>
      <c r="BV38" s="528">
        <v>0</v>
      </c>
      <c r="BW38" s="528">
        <v>0</v>
      </c>
      <c r="BX38" s="528">
        <v>0</v>
      </c>
      <c r="BY38" s="528">
        <v>0</v>
      </c>
      <c r="BZ38" s="528">
        <v>0</v>
      </c>
      <c r="CA38" s="528">
        <v>0</v>
      </c>
      <c r="CB38" s="528">
        <v>0</v>
      </c>
      <c r="CC38" s="528">
        <v>0</v>
      </c>
      <c r="CD38" s="528">
        <v>228168.13000000006</v>
      </c>
      <c r="CE38" s="528">
        <v>0</v>
      </c>
      <c r="CF38" s="528">
        <v>0</v>
      </c>
      <c r="CG38" s="528">
        <v>0</v>
      </c>
      <c r="CH38" s="528">
        <v>0</v>
      </c>
      <c r="CI38" s="528">
        <f t="shared" si="0"/>
        <v>228168.13000000006</v>
      </c>
      <c r="CJ38" s="528">
        <v>25000</v>
      </c>
      <c r="CK38" s="528">
        <v>459998.44</v>
      </c>
      <c r="CL38" s="528">
        <v>0</v>
      </c>
      <c r="CM38" s="528">
        <v>-434998.44</v>
      </c>
      <c r="CN38" s="528">
        <v>0</v>
      </c>
      <c r="CO38" s="528">
        <v>0</v>
      </c>
      <c r="CP38" s="528">
        <v>18390.62</v>
      </c>
      <c r="CQ38" s="528">
        <v>10908.48</v>
      </c>
      <c r="CR38" s="528">
        <v>0</v>
      </c>
      <c r="CS38" s="528">
        <v>-405699.34</v>
      </c>
      <c r="CT38" s="528">
        <v>660002.35</v>
      </c>
      <c r="CU38" s="528">
        <v>0</v>
      </c>
      <c r="CV38" s="528">
        <v>0</v>
      </c>
      <c r="CW38" s="528">
        <v>660002.35</v>
      </c>
      <c r="CX38" s="528"/>
      <c r="CY38" s="528"/>
      <c r="CZ38" s="528"/>
      <c r="DA38" s="528">
        <v>0</v>
      </c>
      <c r="DB38" s="528">
        <v>660002.35</v>
      </c>
      <c r="DC38" s="528">
        <v>0</v>
      </c>
      <c r="DD38" s="528">
        <v>0</v>
      </c>
      <c r="DE38" s="528">
        <v>0</v>
      </c>
      <c r="DF38" s="528">
        <v>0</v>
      </c>
      <c r="DG38" s="528">
        <v>-26134.880000000001</v>
      </c>
      <c r="DH38" s="528">
        <v>0</v>
      </c>
      <c r="DI38" s="528">
        <v>0</v>
      </c>
      <c r="DJ38" s="528">
        <v>0</v>
      </c>
      <c r="DK38" s="528">
        <v>-26134.880000000001</v>
      </c>
      <c r="DL38" s="528">
        <v>0</v>
      </c>
      <c r="DM38" s="528">
        <v>0</v>
      </c>
      <c r="DN38" s="528">
        <v>0</v>
      </c>
      <c r="DO38" s="528">
        <v>0</v>
      </c>
      <c r="DP38" s="528">
        <v>0</v>
      </c>
      <c r="DQ38" s="529"/>
      <c r="DR38" s="530">
        <v>5358644.18</v>
      </c>
      <c r="DS38" s="531">
        <v>1913393.830000001</v>
      </c>
      <c r="DT38" s="530">
        <v>38333.07</v>
      </c>
      <c r="DU38" s="530">
        <v>255149.71</v>
      </c>
      <c r="DV38" s="530">
        <v>144659.37</v>
      </c>
      <c r="DW38" s="530">
        <v>0</v>
      </c>
    </row>
    <row r="39" spans="1:127" s="103" customFormat="1">
      <c r="A39" s="525">
        <v>1048</v>
      </c>
      <c r="B39" s="526" t="s">
        <v>591</v>
      </c>
      <c r="C39" s="525">
        <v>1048</v>
      </c>
      <c r="D39" s="527" t="s">
        <v>1284</v>
      </c>
      <c r="E39" s="527" t="s">
        <v>534</v>
      </c>
      <c r="F39" s="527" t="s">
        <v>5</v>
      </c>
      <c r="G39" s="527" t="s">
        <v>535</v>
      </c>
      <c r="H39" s="528">
        <v>1035071.59</v>
      </c>
      <c r="I39" s="528">
        <v>0</v>
      </c>
      <c r="J39" s="528">
        <v>117337.81</v>
      </c>
      <c r="K39" s="528">
        <v>0</v>
      </c>
      <c r="L39" s="528">
        <v>0</v>
      </c>
      <c r="M39" s="528">
        <v>400</v>
      </c>
      <c r="N39" s="528">
        <v>0</v>
      </c>
      <c r="O39" s="528">
        <v>0</v>
      </c>
      <c r="P39" s="528">
        <v>9747.5099999999984</v>
      </c>
      <c r="Q39" s="528">
        <v>0</v>
      </c>
      <c r="R39" s="528">
        <v>0</v>
      </c>
      <c r="S39" s="528">
        <v>0</v>
      </c>
      <c r="T39" s="528">
        <v>16053.659999999998</v>
      </c>
      <c r="U39" s="528">
        <v>59603.35</v>
      </c>
      <c r="V39" s="528">
        <v>0</v>
      </c>
      <c r="W39" s="528">
        <v>0</v>
      </c>
      <c r="X39" s="528">
        <v>0</v>
      </c>
      <c r="Y39" s="528">
        <v>1238213.92</v>
      </c>
      <c r="Z39" s="528">
        <v>310805.82000000007</v>
      </c>
      <c r="AA39" s="528">
        <v>0</v>
      </c>
      <c r="AB39" s="528">
        <v>742113.24</v>
      </c>
      <c r="AC39" s="528">
        <v>14755.969999999012</v>
      </c>
      <c r="AD39" s="528">
        <v>73365.179999999993</v>
      </c>
      <c r="AE39" s="528">
        <v>0</v>
      </c>
      <c r="AF39" s="528">
        <v>0</v>
      </c>
      <c r="AG39" s="528">
        <v>185.96999999991021</v>
      </c>
      <c r="AH39" s="528">
        <v>6941.5</v>
      </c>
      <c r="AI39" s="528">
        <v>0</v>
      </c>
      <c r="AJ39" s="528">
        <v>434</v>
      </c>
      <c r="AK39" s="528">
        <v>13156.009999999998</v>
      </c>
      <c r="AL39" s="528">
        <v>0</v>
      </c>
      <c r="AM39" s="528">
        <v>3979.7899999999986</v>
      </c>
      <c r="AN39" s="528">
        <v>0</v>
      </c>
      <c r="AO39" s="528">
        <v>13653.72</v>
      </c>
      <c r="AP39" s="528">
        <v>0</v>
      </c>
      <c r="AQ39" s="528">
        <v>9835.3599999999988</v>
      </c>
      <c r="AR39" s="528">
        <v>34225.670000000035</v>
      </c>
      <c r="AS39" s="528">
        <v>1549.81</v>
      </c>
      <c r="AT39" s="528">
        <v>0</v>
      </c>
      <c r="AU39" s="528">
        <v>21096.950000000004</v>
      </c>
      <c r="AV39" s="528">
        <v>3291.75</v>
      </c>
      <c r="AW39" s="528">
        <v>0</v>
      </c>
      <c r="AX39" s="528">
        <v>31932.950000000008</v>
      </c>
      <c r="AY39" s="528">
        <v>6599.93</v>
      </c>
      <c r="AZ39" s="528">
        <v>0</v>
      </c>
      <c r="BA39" s="528">
        <v>52158.81</v>
      </c>
      <c r="BB39" s="528">
        <v>0</v>
      </c>
      <c r="BC39" s="528">
        <v>0</v>
      </c>
      <c r="BD39" s="528">
        <v>0</v>
      </c>
      <c r="BE39" s="528">
        <v>1340082.429999999</v>
      </c>
      <c r="BF39" s="528">
        <v>298839.58999999973</v>
      </c>
      <c r="BG39" s="528">
        <v>-101868.50999999908</v>
      </c>
      <c r="BH39" s="528">
        <v>196971.08000000066</v>
      </c>
      <c r="BI39" s="528">
        <v>5235.25</v>
      </c>
      <c r="BJ39" s="528">
        <v>0</v>
      </c>
      <c r="BK39" s="528">
        <v>0</v>
      </c>
      <c r="BL39" s="528">
        <v>5235.25</v>
      </c>
      <c r="BM39" s="528">
        <v>0</v>
      </c>
      <c r="BN39" s="528">
        <v>0</v>
      </c>
      <c r="BO39" s="528">
        <v>0</v>
      </c>
      <c r="BP39" s="528">
        <v>0</v>
      </c>
      <c r="BQ39" s="528">
        <v>0</v>
      </c>
      <c r="BR39" s="528">
        <v>31642.18</v>
      </c>
      <c r="BS39" s="528">
        <v>5235.25</v>
      </c>
      <c r="BT39" s="528">
        <v>36877.43</v>
      </c>
      <c r="BU39" s="528">
        <v>0</v>
      </c>
      <c r="BV39" s="528">
        <v>0</v>
      </c>
      <c r="BW39" s="528">
        <v>0</v>
      </c>
      <c r="BX39" s="528">
        <v>0</v>
      </c>
      <c r="BY39" s="528">
        <v>0</v>
      </c>
      <c r="BZ39" s="528">
        <v>0</v>
      </c>
      <c r="CA39" s="528">
        <v>0</v>
      </c>
      <c r="CB39" s="528">
        <v>0</v>
      </c>
      <c r="CC39" s="528">
        <v>0</v>
      </c>
      <c r="CD39" s="528">
        <v>196971.08000000066</v>
      </c>
      <c r="CE39" s="528">
        <v>0</v>
      </c>
      <c r="CF39" s="528">
        <v>36877.43</v>
      </c>
      <c r="CG39" s="528">
        <v>0</v>
      </c>
      <c r="CH39" s="528">
        <v>0</v>
      </c>
      <c r="CI39" s="528">
        <f t="shared" si="0"/>
        <v>233848.51000000065</v>
      </c>
      <c r="CJ39" s="528">
        <v>313217.59999999998</v>
      </c>
      <c r="CK39" s="528">
        <v>10194.9</v>
      </c>
      <c r="CL39" s="528">
        <v>0</v>
      </c>
      <c r="CM39" s="528">
        <v>303022.69999999995</v>
      </c>
      <c r="CN39" s="528">
        <v>0</v>
      </c>
      <c r="CO39" s="528">
        <v>0</v>
      </c>
      <c r="CP39" s="528">
        <v>1428.02</v>
      </c>
      <c r="CQ39" s="528">
        <v>619.11</v>
      </c>
      <c r="CR39" s="528">
        <v>-81467</v>
      </c>
      <c r="CS39" s="528">
        <v>223602.82999999996</v>
      </c>
      <c r="CT39" s="528">
        <v>0</v>
      </c>
      <c r="CU39" s="528">
        <v>0</v>
      </c>
      <c r="CV39" s="528">
        <v>0</v>
      </c>
      <c r="CW39" s="528">
        <v>0</v>
      </c>
      <c r="CX39" s="528"/>
      <c r="CY39" s="528"/>
      <c r="CZ39" s="528"/>
      <c r="DA39" s="528">
        <v>0</v>
      </c>
      <c r="DB39" s="528">
        <v>0</v>
      </c>
      <c r="DC39" s="528">
        <v>0</v>
      </c>
      <c r="DD39" s="528">
        <v>10245.299999999999</v>
      </c>
      <c r="DE39" s="528">
        <v>0</v>
      </c>
      <c r="DF39" s="528">
        <v>0</v>
      </c>
      <c r="DG39" s="528">
        <v>0</v>
      </c>
      <c r="DH39" s="528">
        <v>0</v>
      </c>
      <c r="DI39" s="528">
        <v>0</v>
      </c>
      <c r="DJ39" s="528">
        <v>0</v>
      </c>
      <c r="DK39" s="528">
        <v>10245.299999999999</v>
      </c>
      <c r="DL39" s="528">
        <v>0</v>
      </c>
      <c r="DM39" s="528">
        <v>0</v>
      </c>
      <c r="DN39" s="528">
        <v>0</v>
      </c>
      <c r="DO39" s="528">
        <v>0</v>
      </c>
      <c r="DP39" s="528">
        <v>0</v>
      </c>
      <c r="DQ39" s="529"/>
      <c r="DR39" s="530">
        <v>1141226.179999999</v>
      </c>
      <c r="DS39" s="531">
        <v>198856.25</v>
      </c>
      <c r="DT39" s="530">
        <v>6599.93</v>
      </c>
      <c r="DU39" s="530">
        <v>25801.17</v>
      </c>
      <c r="DV39" s="530">
        <v>59603.35</v>
      </c>
      <c r="DW39" s="530">
        <v>0</v>
      </c>
    </row>
    <row r="40" spans="1:127" s="103" customFormat="1">
      <c r="A40" s="525">
        <v>2312</v>
      </c>
      <c r="B40" s="526" t="s">
        <v>593</v>
      </c>
      <c r="C40" s="525">
        <v>2312</v>
      </c>
      <c r="D40" s="527" t="s">
        <v>1284</v>
      </c>
      <c r="E40" s="527" t="s">
        <v>538</v>
      </c>
      <c r="F40" s="527" t="s">
        <v>5</v>
      </c>
      <c r="G40" s="527" t="s">
        <v>535</v>
      </c>
      <c r="H40" s="528">
        <v>2143387.48</v>
      </c>
      <c r="I40" s="528">
        <v>0</v>
      </c>
      <c r="J40" s="528">
        <v>370792.68</v>
      </c>
      <c r="K40" s="528">
        <v>0</v>
      </c>
      <c r="L40" s="528">
        <v>121860</v>
      </c>
      <c r="M40" s="528">
        <v>0</v>
      </c>
      <c r="N40" s="528">
        <v>0</v>
      </c>
      <c r="O40" s="528">
        <v>152751.35</v>
      </c>
      <c r="P40" s="528">
        <v>113483.74</v>
      </c>
      <c r="Q40" s="528">
        <v>42385.9</v>
      </c>
      <c r="R40" s="528">
        <v>0</v>
      </c>
      <c r="S40" s="528">
        <v>0</v>
      </c>
      <c r="T40" s="528">
        <v>62783.51</v>
      </c>
      <c r="U40" s="528">
        <v>0</v>
      </c>
      <c r="V40" s="528">
        <v>0</v>
      </c>
      <c r="W40" s="528">
        <v>3766.75</v>
      </c>
      <c r="X40" s="528">
        <v>88793</v>
      </c>
      <c r="Y40" s="528">
        <v>3100004.41</v>
      </c>
      <c r="Z40" s="528">
        <v>1301993.3800000001</v>
      </c>
      <c r="AA40" s="528">
        <v>0</v>
      </c>
      <c r="AB40" s="528">
        <v>566661.35</v>
      </c>
      <c r="AC40" s="528">
        <v>103924.76000000001</v>
      </c>
      <c r="AD40" s="528">
        <v>97164.84</v>
      </c>
      <c r="AE40" s="528">
        <v>100745.04000000001</v>
      </c>
      <c r="AF40" s="528">
        <v>114567.28</v>
      </c>
      <c r="AG40" s="528">
        <v>10343</v>
      </c>
      <c r="AH40" s="528">
        <v>126075.21</v>
      </c>
      <c r="AI40" s="528">
        <v>0</v>
      </c>
      <c r="AJ40" s="528">
        <v>0</v>
      </c>
      <c r="AK40" s="528">
        <v>34312.57</v>
      </c>
      <c r="AL40" s="528">
        <v>481.31</v>
      </c>
      <c r="AM40" s="528">
        <v>30576.010000000002</v>
      </c>
      <c r="AN40" s="528">
        <v>4620.1400000000003</v>
      </c>
      <c r="AO40" s="528">
        <v>41203.89</v>
      </c>
      <c r="AP40" s="528">
        <v>30209.82</v>
      </c>
      <c r="AQ40" s="528">
        <v>27471.32</v>
      </c>
      <c r="AR40" s="528">
        <v>91646.85</v>
      </c>
      <c r="AS40" s="528">
        <v>12971.69</v>
      </c>
      <c r="AT40" s="528">
        <v>0</v>
      </c>
      <c r="AU40" s="528">
        <v>48072.200000000004</v>
      </c>
      <c r="AV40" s="528">
        <v>11544.119999999999</v>
      </c>
      <c r="AW40" s="528">
        <v>3795</v>
      </c>
      <c r="AX40" s="528">
        <v>71845.150000000009</v>
      </c>
      <c r="AY40" s="528">
        <v>343709.51</v>
      </c>
      <c r="AZ40" s="528">
        <v>17790.3</v>
      </c>
      <c r="BA40" s="528">
        <v>76282.679999999993</v>
      </c>
      <c r="BB40" s="528">
        <v>0</v>
      </c>
      <c r="BC40" s="528">
        <v>0</v>
      </c>
      <c r="BD40" s="528">
        <v>0</v>
      </c>
      <c r="BE40" s="528">
        <v>3268007.4199999995</v>
      </c>
      <c r="BF40" s="528">
        <v>-170158.95000000088</v>
      </c>
      <c r="BG40" s="528">
        <v>-168003.00999999931</v>
      </c>
      <c r="BH40" s="528">
        <v>-338161.9600000002</v>
      </c>
      <c r="BI40" s="528">
        <v>8702.5</v>
      </c>
      <c r="BJ40" s="528">
        <v>0</v>
      </c>
      <c r="BK40" s="528">
        <v>0</v>
      </c>
      <c r="BL40" s="528">
        <v>8702.5</v>
      </c>
      <c r="BM40" s="528">
        <v>0</v>
      </c>
      <c r="BN40" s="528">
        <v>28720.69</v>
      </c>
      <c r="BO40" s="528">
        <v>0</v>
      </c>
      <c r="BP40" s="528">
        <v>0</v>
      </c>
      <c r="BQ40" s="528">
        <v>28720.69</v>
      </c>
      <c r="BR40" s="528">
        <v>40461.800000000003</v>
      </c>
      <c r="BS40" s="528">
        <v>-20018.189999999999</v>
      </c>
      <c r="BT40" s="528">
        <v>20443.610000000004</v>
      </c>
      <c r="BU40" s="528">
        <v>0</v>
      </c>
      <c r="BV40" s="528">
        <v>0</v>
      </c>
      <c r="BW40" s="528">
        <v>0</v>
      </c>
      <c r="BX40" s="528">
        <v>0</v>
      </c>
      <c r="BY40" s="528">
        <v>0</v>
      </c>
      <c r="BZ40" s="528">
        <v>0</v>
      </c>
      <c r="CA40" s="528">
        <v>0</v>
      </c>
      <c r="CB40" s="528">
        <v>0</v>
      </c>
      <c r="CC40" s="528">
        <v>0</v>
      </c>
      <c r="CD40" s="528">
        <v>-338161.9600000002</v>
      </c>
      <c r="CE40" s="528">
        <v>0</v>
      </c>
      <c r="CF40" s="528">
        <v>20443.61</v>
      </c>
      <c r="CG40" s="528">
        <v>0</v>
      </c>
      <c r="CH40" s="528">
        <v>0</v>
      </c>
      <c r="CI40" s="528">
        <f t="shared" si="0"/>
        <v>-317718.35000000021</v>
      </c>
      <c r="CJ40" s="528">
        <v>157547.75</v>
      </c>
      <c r="CK40" s="528">
        <v>6475.41</v>
      </c>
      <c r="CL40" s="528">
        <v>-462.5</v>
      </c>
      <c r="CM40" s="528">
        <v>150609.84</v>
      </c>
      <c r="CN40" s="528">
        <v>0</v>
      </c>
      <c r="CO40" s="528">
        <v>0</v>
      </c>
      <c r="CP40" s="528">
        <v>4784.3100000000004</v>
      </c>
      <c r="CQ40" s="528">
        <v>9762.4500000000007</v>
      </c>
      <c r="CR40" s="528">
        <v>-76</v>
      </c>
      <c r="CS40" s="528">
        <v>165080.6</v>
      </c>
      <c r="CT40" s="528">
        <v>0</v>
      </c>
      <c r="CU40" s="528">
        <v>0</v>
      </c>
      <c r="CV40" s="528">
        <v>0</v>
      </c>
      <c r="CW40" s="528">
        <v>0</v>
      </c>
      <c r="CX40" s="528"/>
      <c r="CY40" s="528"/>
      <c r="CZ40" s="528"/>
      <c r="DA40" s="528">
        <v>0</v>
      </c>
      <c r="DB40" s="528">
        <v>0</v>
      </c>
      <c r="DC40" s="528">
        <v>15367.28</v>
      </c>
      <c r="DD40" s="528">
        <v>37504.629999999997</v>
      </c>
      <c r="DE40" s="528">
        <v>0</v>
      </c>
      <c r="DF40" s="528">
        <v>0</v>
      </c>
      <c r="DG40" s="528">
        <v>-39159.339999999997</v>
      </c>
      <c r="DH40" s="528">
        <v>0</v>
      </c>
      <c r="DI40" s="528">
        <v>0</v>
      </c>
      <c r="DJ40" s="528">
        <v>0</v>
      </c>
      <c r="DK40" s="528">
        <v>13712.57</v>
      </c>
      <c r="DL40" s="528">
        <v>2671.94</v>
      </c>
      <c r="DM40" s="528">
        <v>47439.45</v>
      </c>
      <c r="DN40" s="528">
        <v>29747</v>
      </c>
      <c r="DO40" s="528">
        <v>-576369.77</v>
      </c>
      <c r="DP40" s="528">
        <v>0</v>
      </c>
      <c r="DQ40" s="529">
        <v>-0.14000000001396984</v>
      </c>
      <c r="DR40" s="530">
        <v>-0.14000000001396984</v>
      </c>
      <c r="DS40" s="531"/>
      <c r="DT40" s="530"/>
      <c r="DU40" s="530"/>
      <c r="DV40" s="530"/>
      <c r="DW40" s="530">
        <v>-496511.38</v>
      </c>
    </row>
    <row r="41" spans="1:127" s="103" customFormat="1">
      <c r="A41" s="525">
        <v>7051</v>
      </c>
      <c r="B41" s="526" t="s">
        <v>595</v>
      </c>
      <c r="C41" s="525">
        <v>7051</v>
      </c>
      <c r="D41" s="527" t="s">
        <v>1284</v>
      </c>
      <c r="E41" s="527" t="s">
        <v>553</v>
      </c>
      <c r="F41" s="527" t="s">
        <v>5</v>
      </c>
      <c r="G41" s="527" t="s">
        <v>535</v>
      </c>
      <c r="H41" s="528">
        <v>1193343</v>
      </c>
      <c r="I41" s="528">
        <v>0</v>
      </c>
      <c r="J41" s="528">
        <v>1890644</v>
      </c>
      <c r="K41" s="528">
        <v>0</v>
      </c>
      <c r="L41" s="528">
        <v>111160</v>
      </c>
      <c r="M41" s="528">
        <v>5657</v>
      </c>
      <c r="N41" s="528">
        <v>6270</v>
      </c>
      <c r="O41" s="528">
        <v>0</v>
      </c>
      <c r="P41" s="528">
        <v>1302</v>
      </c>
      <c r="Q41" s="528">
        <v>4954</v>
      </c>
      <c r="R41" s="528">
        <v>0</v>
      </c>
      <c r="S41" s="528">
        <v>14793</v>
      </c>
      <c r="T41" s="528">
        <v>49</v>
      </c>
      <c r="U41" s="528">
        <v>0</v>
      </c>
      <c r="V41" s="528">
        <v>0</v>
      </c>
      <c r="W41" s="528">
        <v>1540</v>
      </c>
      <c r="X41" s="528">
        <v>24650</v>
      </c>
      <c r="Y41" s="528">
        <v>3254362</v>
      </c>
      <c r="Z41" s="528">
        <v>752529.13</v>
      </c>
      <c r="AA41" s="528">
        <v>0</v>
      </c>
      <c r="AB41" s="528">
        <v>881693</v>
      </c>
      <c r="AC41" s="528">
        <v>131400</v>
      </c>
      <c r="AD41" s="528">
        <v>147916</v>
      </c>
      <c r="AE41" s="528">
        <v>0</v>
      </c>
      <c r="AF41" s="528">
        <v>27581</v>
      </c>
      <c r="AG41" s="528">
        <v>3998</v>
      </c>
      <c r="AH41" s="528">
        <v>8851</v>
      </c>
      <c r="AI41" s="528">
        <v>0</v>
      </c>
      <c r="AJ41" s="528">
        <v>0</v>
      </c>
      <c r="AK41" s="528">
        <v>16681</v>
      </c>
      <c r="AL41" s="528">
        <v>3134</v>
      </c>
      <c r="AM41" s="528">
        <v>4532</v>
      </c>
      <c r="AN41" s="528">
        <v>2197</v>
      </c>
      <c r="AO41" s="528">
        <v>35272</v>
      </c>
      <c r="AP41" s="528">
        <v>0</v>
      </c>
      <c r="AQ41" s="528">
        <v>14433</v>
      </c>
      <c r="AR41" s="528">
        <v>34034</v>
      </c>
      <c r="AS41" s="528">
        <v>26279</v>
      </c>
      <c r="AT41" s="528">
        <v>0</v>
      </c>
      <c r="AU41" s="528">
        <v>14960</v>
      </c>
      <c r="AV41" s="528">
        <v>6911</v>
      </c>
      <c r="AW41" s="528">
        <v>0</v>
      </c>
      <c r="AX41" s="528">
        <v>82905.59</v>
      </c>
      <c r="AY41" s="528">
        <v>106390</v>
      </c>
      <c r="AZ41" s="528">
        <v>390365</v>
      </c>
      <c r="BA41" s="528">
        <v>101364</v>
      </c>
      <c r="BB41" s="528">
        <v>0</v>
      </c>
      <c r="BC41" s="528">
        <v>0</v>
      </c>
      <c r="BD41" s="528">
        <v>8873</v>
      </c>
      <c r="BE41" s="528">
        <v>2802298.7199999997</v>
      </c>
      <c r="BF41" s="528">
        <v>651577</v>
      </c>
      <c r="BG41" s="528">
        <v>452063.28000000026</v>
      </c>
      <c r="BH41" s="528">
        <v>1103640.2800000003</v>
      </c>
      <c r="BI41" s="528">
        <v>43129</v>
      </c>
      <c r="BJ41" s="528">
        <v>0</v>
      </c>
      <c r="BK41" s="528">
        <v>8873</v>
      </c>
      <c r="BL41" s="528">
        <v>52002</v>
      </c>
      <c r="BM41" s="528">
        <v>0</v>
      </c>
      <c r="BN41" s="528">
        <v>35698</v>
      </c>
      <c r="BO41" s="528">
        <v>10619</v>
      </c>
      <c r="BP41" s="528">
        <v>13235</v>
      </c>
      <c r="BQ41" s="528">
        <v>59553</v>
      </c>
      <c r="BR41" s="528">
        <v>9670</v>
      </c>
      <c r="BS41" s="528">
        <v>-7551</v>
      </c>
      <c r="BT41" s="528">
        <v>2119</v>
      </c>
      <c r="BU41" s="528">
        <v>0</v>
      </c>
      <c r="BV41" s="528">
        <v>0</v>
      </c>
      <c r="BW41" s="528">
        <v>0</v>
      </c>
      <c r="BX41" s="528">
        <v>0</v>
      </c>
      <c r="BY41" s="528">
        <v>0</v>
      </c>
      <c r="BZ41" s="528">
        <v>0</v>
      </c>
      <c r="CA41" s="528">
        <v>0</v>
      </c>
      <c r="CB41" s="528">
        <v>0</v>
      </c>
      <c r="CC41" s="528">
        <v>0</v>
      </c>
      <c r="CD41" s="528">
        <v>1103640.2800000003</v>
      </c>
      <c r="CE41" s="528">
        <v>0</v>
      </c>
      <c r="CF41" s="528">
        <v>2119</v>
      </c>
      <c r="CG41" s="528">
        <v>0</v>
      </c>
      <c r="CH41" s="528">
        <v>0</v>
      </c>
      <c r="CI41" s="528">
        <f t="shared" si="0"/>
        <v>1105759.2800000003</v>
      </c>
      <c r="CJ41" s="528">
        <v>25000</v>
      </c>
      <c r="CK41" s="528">
        <v>166443</v>
      </c>
      <c r="CL41" s="528">
        <v>10197</v>
      </c>
      <c r="CM41" s="528">
        <v>-131246</v>
      </c>
      <c r="CN41" s="528">
        <v>0</v>
      </c>
      <c r="CO41" s="528">
        <v>0</v>
      </c>
      <c r="CP41" s="528">
        <v>11881</v>
      </c>
      <c r="CQ41" s="528">
        <v>8823</v>
      </c>
      <c r="CR41" s="528">
        <v>0</v>
      </c>
      <c r="CS41" s="528">
        <v>-110542</v>
      </c>
      <c r="CT41" s="528">
        <v>1306368</v>
      </c>
      <c r="CU41" s="528">
        <v>0</v>
      </c>
      <c r="CV41" s="528">
        <v>0</v>
      </c>
      <c r="CW41" s="528">
        <v>1306368</v>
      </c>
      <c r="CX41" s="528"/>
      <c r="CY41" s="528"/>
      <c r="CZ41" s="528"/>
      <c r="DA41" s="528">
        <v>0</v>
      </c>
      <c r="DB41" s="528">
        <v>1306368</v>
      </c>
      <c r="DC41" s="528">
        <v>3828</v>
      </c>
      <c r="DD41" s="528">
        <v>14793</v>
      </c>
      <c r="DE41" s="528">
        <v>16331</v>
      </c>
      <c r="DF41" s="528">
        <v>0</v>
      </c>
      <c r="DG41" s="528">
        <v>-55712</v>
      </c>
      <c r="DH41" s="528">
        <v>-62628.72</v>
      </c>
      <c r="DI41" s="528">
        <v>0</v>
      </c>
      <c r="DJ41" s="528">
        <v>-1765</v>
      </c>
      <c r="DK41" s="528">
        <v>-85153.72</v>
      </c>
      <c r="DL41" s="528">
        <v>0</v>
      </c>
      <c r="DM41" s="528">
        <v>0</v>
      </c>
      <c r="DN41" s="528">
        <v>0</v>
      </c>
      <c r="DO41" s="528">
        <v>0</v>
      </c>
      <c r="DP41" s="528">
        <v>-4912</v>
      </c>
      <c r="DQ41" s="529">
        <v>0.47</v>
      </c>
      <c r="DR41" s="530">
        <v>1945117.13</v>
      </c>
      <c r="DS41" s="531">
        <v>857181.58999999985</v>
      </c>
      <c r="DT41" s="530">
        <v>106390</v>
      </c>
      <c r="DU41" s="530">
        <v>6305</v>
      </c>
      <c r="DV41" s="530">
        <v>14793</v>
      </c>
      <c r="DW41" s="530">
        <v>-4912</v>
      </c>
    </row>
    <row r="42" spans="1:127" s="103" customFormat="1">
      <c r="A42" s="525">
        <v>2040</v>
      </c>
      <c r="B42" s="526" t="s">
        <v>597</v>
      </c>
      <c r="C42" s="525">
        <v>2040</v>
      </c>
      <c r="D42" s="527" t="s">
        <v>1284</v>
      </c>
      <c r="E42" s="527" t="s">
        <v>538</v>
      </c>
      <c r="F42" s="527" t="s">
        <v>5</v>
      </c>
      <c r="G42" s="527" t="s">
        <v>535</v>
      </c>
      <c r="H42" s="528">
        <v>2459778.2000000002</v>
      </c>
      <c r="I42" s="528">
        <v>0</v>
      </c>
      <c r="J42" s="528">
        <v>350575.94999999995</v>
      </c>
      <c r="K42" s="528">
        <v>0</v>
      </c>
      <c r="L42" s="528">
        <v>161230</v>
      </c>
      <c r="M42" s="528">
        <v>232848.19</v>
      </c>
      <c r="N42" s="528">
        <v>1244.97</v>
      </c>
      <c r="O42" s="528">
        <v>7378.91</v>
      </c>
      <c r="P42" s="528">
        <v>36379.779999999977</v>
      </c>
      <c r="Q42" s="528">
        <v>42300.13</v>
      </c>
      <c r="R42" s="528">
        <v>4533</v>
      </c>
      <c r="S42" s="528">
        <v>0</v>
      </c>
      <c r="T42" s="528">
        <v>17724.010000000002</v>
      </c>
      <c r="U42" s="528">
        <v>0</v>
      </c>
      <c r="V42" s="528">
        <v>0</v>
      </c>
      <c r="W42" s="528">
        <v>5820.36</v>
      </c>
      <c r="X42" s="528">
        <v>80514</v>
      </c>
      <c r="Y42" s="528">
        <v>3400327.5</v>
      </c>
      <c r="Z42" s="528">
        <v>1306591.58</v>
      </c>
      <c r="AA42" s="528">
        <v>0</v>
      </c>
      <c r="AB42" s="528">
        <v>527466.98</v>
      </c>
      <c r="AC42" s="528">
        <v>86892.890000000014</v>
      </c>
      <c r="AD42" s="528">
        <v>183053.77</v>
      </c>
      <c r="AE42" s="528">
        <v>0</v>
      </c>
      <c r="AF42" s="528">
        <v>231030.53000000003</v>
      </c>
      <c r="AG42" s="528">
        <v>8054.2200000000012</v>
      </c>
      <c r="AH42" s="528">
        <v>6168.1</v>
      </c>
      <c r="AI42" s="528">
        <v>0</v>
      </c>
      <c r="AJ42" s="528">
        <v>17936.02</v>
      </c>
      <c r="AK42" s="528">
        <v>127252.46</v>
      </c>
      <c r="AL42" s="528">
        <v>6079.77</v>
      </c>
      <c r="AM42" s="528">
        <v>6673.71</v>
      </c>
      <c r="AN42" s="528">
        <v>5060.8900000000003</v>
      </c>
      <c r="AO42" s="528">
        <v>39979.410000000003</v>
      </c>
      <c r="AP42" s="528">
        <v>30474.82</v>
      </c>
      <c r="AQ42" s="528">
        <v>21736.799999999999</v>
      </c>
      <c r="AR42" s="528">
        <v>109442.63</v>
      </c>
      <c r="AS42" s="528">
        <v>16168.02</v>
      </c>
      <c r="AT42" s="528">
        <v>60.1</v>
      </c>
      <c r="AU42" s="528">
        <v>47667.5</v>
      </c>
      <c r="AV42" s="528">
        <v>9471</v>
      </c>
      <c r="AW42" s="528">
        <v>9685.2000000000007</v>
      </c>
      <c r="AX42" s="528">
        <v>137344.86000000002</v>
      </c>
      <c r="AY42" s="528">
        <v>289252.95</v>
      </c>
      <c r="AZ42" s="528">
        <v>10706.17</v>
      </c>
      <c r="BA42" s="528">
        <v>69291.13</v>
      </c>
      <c r="BB42" s="528">
        <v>0</v>
      </c>
      <c r="BC42" s="528">
        <v>0</v>
      </c>
      <c r="BD42" s="528">
        <v>13009.1</v>
      </c>
      <c r="BE42" s="528">
        <v>3316550.6100000003</v>
      </c>
      <c r="BF42" s="528">
        <v>212740.62000000014</v>
      </c>
      <c r="BG42" s="528">
        <v>83776.889999999665</v>
      </c>
      <c r="BH42" s="528">
        <v>296517.50999999978</v>
      </c>
      <c r="BI42" s="528">
        <v>30718.75</v>
      </c>
      <c r="BJ42" s="528">
        <v>0</v>
      </c>
      <c r="BK42" s="528">
        <v>13009.1</v>
      </c>
      <c r="BL42" s="528">
        <v>43727.85</v>
      </c>
      <c r="BM42" s="528">
        <v>0</v>
      </c>
      <c r="BN42" s="528">
        <v>56336</v>
      </c>
      <c r="BO42" s="528">
        <v>0</v>
      </c>
      <c r="BP42" s="528">
        <v>0</v>
      </c>
      <c r="BQ42" s="528">
        <v>56336</v>
      </c>
      <c r="BR42" s="528">
        <v>12608.149999999998</v>
      </c>
      <c r="BS42" s="528">
        <v>-12608.150000000001</v>
      </c>
      <c r="BT42" s="528">
        <v>0</v>
      </c>
      <c r="BU42" s="528">
        <v>0</v>
      </c>
      <c r="BV42" s="528">
        <v>0</v>
      </c>
      <c r="BW42" s="528">
        <v>0</v>
      </c>
      <c r="BX42" s="528">
        <v>0</v>
      </c>
      <c r="BY42" s="528">
        <v>0</v>
      </c>
      <c r="BZ42" s="528">
        <v>0</v>
      </c>
      <c r="CA42" s="528">
        <v>0</v>
      </c>
      <c r="CB42" s="528">
        <v>0</v>
      </c>
      <c r="CC42" s="528">
        <v>0</v>
      </c>
      <c r="CD42" s="528">
        <v>296517.50999999978</v>
      </c>
      <c r="CE42" s="528">
        <v>0</v>
      </c>
      <c r="CF42" s="528">
        <v>0</v>
      </c>
      <c r="CG42" s="528">
        <v>0</v>
      </c>
      <c r="CH42" s="528">
        <v>0</v>
      </c>
      <c r="CI42" s="528">
        <f t="shared" si="0"/>
        <v>296517.50999999978</v>
      </c>
      <c r="CJ42" s="528">
        <v>627369.49</v>
      </c>
      <c r="CK42" s="528">
        <v>0</v>
      </c>
      <c r="CL42" s="528">
        <v>0</v>
      </c>
      <c r="CM42" s="528">
        <v>627369.49</v>
      </c>
      <c r="CN42" s="528">
        <v>0</v>
      </c>
      <c r="CO42" s="528">
        <v>0</v>
      </c>
      <c r="CP42" s="528">
        <v>3729.76</v>
      </c>
      <c r="CQ42" s="528">
        <v>0</v>
      </c>
      <c r="CR42" s="528">
        <v>-282300.36739316303</v>
      </c>
      <c r="CS42" s="528">
        <v>348798.88260683697</v>
      </c>
      <c r="CT42" s="528">
        <v>0</v>
      </c>
      <c r="CU42" s="528">
        <v>0</v>
      </c>
      <c r="CV42" s="528">
        <v>0</v>
      </c>
      <c r="CW42" s="528">
        <v>0</v>
      </c>
      <c r="CX42" s="528"/>
      <c r="CY42" s="528"/>
      <c r="CZ42" s="528"/>
      <c r="DA42" s="528">
        <v>0</v>
      </c>
      <c r="DB42" s="528">
        <v>0</v>
      </c>
      <c r="DC42" s="528">
        <v>0</v>
      </c>
      <c r="DD42" s="528">
        <v>5025.51</v>
      </c>
      <c r="DE42" s="528">
        <v>0</v>
      </c>
      <c r="DF42" s="528">
        <v>0</v>
      </c>
      <c r="DG42" s="528">
        <v>-19139.189999999999</v>
      </c>
      <c r="DH42" s="528">
        <v>-38167.31</v>
      </c>
      <c r="DI42" s="528">
        <v>0</v>
      </c>
      <c r="DJ42" s="528">
        <v>0</v>
      </c>
      <c r="DK42" s="528">
        <v>-52280.99</v>
      </c>
      <c r="DL42" s="528">
        <v>0</v>
      </c>
      <c r="DM42" s="528">
        <v>0</v>
      </c>
      <c r="DN42" s="528">
        <v>0</v>
      </c>
      <c r="DO42" s="528">
        <v>0</v>
      </c>
      <c r="DP42" s="528">
        <v>0</v>
      </c>
      <c r="DQ42" s="529"/>
      <c r="DR42" s="530">
        <v>2343089.9700000002</v>
      </c>
      <c r="DS42" s="531">
        <v>973460.64000000013</v>
      </c>
      <c r="DT42" s="530">
        <v>289252.95</v>
      </c>
      <c r="DU42" s="530">
        <v>103782.82999999999</v>
      </c>
      <c r="DV42" s="530">
        <v>4533</v>
      </c>
      <c r="DW42" s="530">
        <v>0</v>
      </c>
    </row>
    <row r="43" spans="1:127" s="103" customFormat="1">
      <c r="A43" s="525">
        <v>2251</v>
      </c>
      <c r="B43" s="526" t="s">
        <v>599</v>
      </c>
      <c r="C43" s="525">
        <v>2251</v>
      </c>
      <c r="D43" s="527" t="s">
        <v>1284</v>
      </c>
      <c r="E43" s="527" t="s">
        <v>538</v>
      </c>
      <c r="F43" s="527" t="s">
        <v>5</v>
      </c>
      <c r="G43" s="527" t="s">
        <v>535</v>
      </c>
      <c r="H43" s="528">
        <v>2212218.86</v>
      </c>
      <c r="I43" s="528">
        <v>0</v>
      </c>
      <c r="J43" s="528">
        <v>82893.22</v>
      </c>
      <c r="K43" s="528">
        <v>0</v>
      </c>
      <c r="L43" s="528">
        <v>112790</v>
      </c>
      <c r="M43" s="528">
        <v>13942.86</v>
      </c>
      <c r="N43" s="528">
        <v>0</v>
      </c>
      <c r="O43" s="528">
        <v>10247.25</v>
      </c>
      <c r="P43" s="528">
        <v>14431.36</v>
      </c>
      <c r="Q43" s="528">
        <v>48182.94</v>
      </c>
      <c r="R43" s="528">
        <v>0</v>
      </c>
      <c r="S43" s="528">
        <v>0</v>
      </c>
      <c r="T43" s="528">
        <v>146904.51999999999</v>
      </c>
      <c r="U43" s="528">
        <v>-3500</v>
      </c>
      <c r="V43" s="528">
        <v>0</v>
      </c>
      <c r="W43" s="528">
        <v>1487.75</v>
      </c>
      <c r="X43" s="528">
        <v>91295</v>
      </c>
      <c r="Y43" s="528">
        <v>2730893.76</v>
      </c>
      <c r="Z43" s="528">
        <v>1224492.42</v>
      </c>
      <c r="AA43" s="528">
        <v>0</v>
      </c>
      <c r="AB43" s="528">
        <v>411468.89</v>
      </c>
      <c r="AC43" s="528">
        <v>0</v>
      </c>
      <c r="AD43" s="528">
        <v>140750.25</v>
      </c>
      <c r="AE43" s="528">
        <v>92609.34</v>
      </c>
      <c r="AF43" s="528">
        <v>43274.32</v>
      </c>
      <c r="AG43" s="528">
        <v>518.5</v>
      </c>
      <c r="AH43" s="528">
        <v>6428.12</v>
      </c>
      <c r="AI43" s="528">
        <v>0</v>
      </c>
      <c r="AJ43" s="528">
        <v>0</v>
      </c>
      <c r="AK43" s="528">
        <v>0</v>
      </c>
      <c r="AL43" s="528">
        <v>0</v>
      </c>
      <c r="AM43" s="528">
        <v>0</v>
      </c>
      <c r="AN43" s="528">
        <v>9207.34</v>
      </c>
      <c r="AO43" s="528">
        <v>46804.61</v>
      </c>
      <c r="AP43" s="528">
        <v>17820.63</v>
      </c>
      <c r="AQ43" s="528">
        <v>5488.14</v>
      </c>
      <c r="AR43" s="528">
        <v>101067.17</v>
      </c>
      <c r="AS43" s="528">
        <v>1367.8</v>
      </c>
      <c r="AT43" s="528">
        <v>0</v>
      </c>
      <c r="AU43" s="528">
        <v>18983.05</v>
      </c>
      <c r="AV43" s="528">
        <v>9471</v>
      </c>
      <c r="AW43" s="528">
        <v>0</v>
      </c>
      <c r="AX43" s="528">
        <v>64478.22</v>
      </c>
      <c r="AY43" s="528">
        <v>81344.2</v>
      </c>
      <c r="AZ43" s="528">
        <v>112785.99</v>
      </c>
      <c r="BA43" s="528">
        <v>90347.56</v>
      </c>
      <c r="BB43" s="528">
        <v>165408.32999999999</v>
      </c>
      <c r="BC43" s="528">
        <v>0</v>
      </c>
      <c r="BD43" s="528">
        <v>0</v>
      </c>
      <c r="BE43" s="528">
        <v>2644115.8800000008</v>
      </c>
      <c r="BF43" s="528">
        <v>251810.13999999888</v>
      </c>
      <c r="BG43" s="528">
        <v>86777.879999998957</v>
      </c>
      <c r="BH43" s="528">
        <v>338588.01999999781</v>
      </c>
      <c r="BI43" s="528">
        <v>9042.25</v>
      </c>
      <c r="BJ43" s="528">
        <v>0</v>
      </c>
      <c r="BK43" s="528">
        <v>0</v>
      </c>
      <c r="BL43" s="528">
        <v>9042.25</v>
      </c>
      <c r="BM43" s="528">
        <v>0</v>
      </c>
      <c r="BN43" s="528">
        <v>15719.26</v>
      </c>
      <c r="BO43" s="528">
        <v>0</v>
      </c>
      <c r="BP43" s="528">
        <v>4232</v>
      </c>
      <c r="BQ43" s="528">
        <v>19951.260000000002</v>
      </c>
      <c r="BR43" s="528">
        <v>27939.809999999998</v>
      </c>
      <c r="BS43" s="528">
        <v>-10909.010000000002</v>
      </c>
      <c r="BT43" s="528">
        <v>17030.799999999996</v>
      </c>
      <c r="BU43" s="528">
        <v>0</v>
      </c>
      <c r="BV43" s="528">
        <v>0</v>
      </c>
      <c r="BW43" s="528">
        <v>0</v>
      </c>
      <c r="BX43" s="528">
        <v>0</v>
      </c>
      <c r="BY43" s="528">
        <v>0</v>
      </c>
      <c r="BZ43" s="528">
        <v>0</v>
      </c>
      <c r="CA43" s="528">
        <v>0</v>
      </c>
      <c r="CB43" s="528">
        <v>0</v>
      </c>
      <c r="CC43" s="528">
        <v>0</v>
      </c>
      <c r="CD43" s="528">
        <v>338588.01999999781</v>
      </c>
      <c r="CE43" s="528">
        <v>0</v>
      </c>
      <c r="CF43" s="528">
        <v>17030.799999999996</v>
      </c>
      <c r="CG43" s="528">
        <v>0</v>
      </c>
      <c r="CH43" s="528">
        <v>0</v>
      </c>
      <c r="CI43" s="528">
        <f t="shared" si="0"/>
        <v>355618.8199999978</v>
      </c>
      <c r="CJ43" s="528">
        <v>459159.28</v>
      </c>
      <c r="CK43" s="528">
        <v>47898.43</v>
      </c>
      <c r="CL43" s="528">
        <v>0</v>
      </c>
      <c r="CM43" s="528">
        <v>411260.85000000003</v>
      </c>
      <c r="CN43" s="528">
        <v>0</v>
      </c>
      <c r="CO43" s="528">
        <v>0</v>
      </c>
      <c r="CP43" s="528">
        <v>8142.2600000000011</v>
      </c>
      <c r="CQ43" s="528">
        <v>3658.6399999999994</v>
      </c>
      <c r="CR43" s="528">
        <v>0</v>
      </c>
      <c r="CS43" s="528">
        <v>423061.75000000006</v>
      </c>
      <c r="CT43" s="528">
        <v>134852.08000000002</v>
      </c>
      <c r="CU43" s="528">
        <v>0</v>
      </c>
      <c r="CV43" s="528">
        <v>0</v>
      </c>
      <c r="CW43" s="528">
        <v>134852.08000000002</v>
      </c>
      <c r="CX43" s="528"/>
      <c r="CY43" s="528"/>
      <c r="CZ43" s="528"/>
      <c r="DA43" s="528">
        <v>0</v>
      </c>
      <c r="DB43" s="528">
        <v>134852.08000000002</v>
      </c>
      <c r="DC43" s="528">
        <v>6713.86</v>
      </c>
      <c r="DD43" s="528">
        <v>0</v>
      </c>
      <c r="DE43" s="528">
        <v>0</v>
      </c>
      <c r="DF43" s="528">
        <v>0</v>
      </c>
      <c r="DG43" s="528">
        <v>-19712.41</v>
      </c>
      <c r="DH43" s="528">
        <v>-363</v>
      </c>
      <c r="DI43" s="528">
        <v>0</v>
      </c>
      <c r="DJ43" s="528">
        <v>-25182</v>
      </c>
      <c r="DK43" s="528">
        <v>-38543.550000000003</v>
      </c>
      <c r="DL43" s="528">
        <v>0</v>
      </c>
      <c r="DM43" s="528">
        <v>0</v>
      </c>
      <c r="DN43" s="528">
        <v>0</v>
      </c>
      <c r="DO43" s="528">
        <v>-163751.26999999999</v>
      </c>
      <c r="DP43" s="528">
        <v>0</v>
      </c>
      <c r="DQ43" s="529">
        <v>-0.19000000011874363</v>
      </c>
      <c r="DR43" s="530">
        <v>1913113.7200000002</v>
      </c>
      <c r="DS43" s="531">
        <v>731002.16000000061</v>
      </c>
      <c r="DT43" s="530">
        <v>81344.2</v>
      </c>
      <c r="DU43" s="530">
        <v>219766.07</v>
      </c>
      <c r="DV43" s="530">
        <v>-3500</v>
      </c>
      <c r="DW43" s="530">
        <v>-163751.26999999999</v>
      </c>
    </row>
    <row r="44" spans="1:127" s="103" customFormat="1" ht="31.2">
      <c r="A44" s="525">
        <v>3002</v>
      </c>
      <c r="B44" s="526" t="s">
        <v>601</v>
      </c>
      <c r="C44" s="525">
        <v>3002</v>
      </c>
      <c r="D44" s="527" t="s">
        <v>1284</v>
      </c>
      <c r="E44" s="527" t="s">
        <v>538</v>
      </c>
      <c r="F44" s="527" t="s">
        <v>5</v>
      </c>
      <c r="G44" s="527" t="s">
        <v>535</v>
      </c>
      <c r="H44" s="528">
        <v>1399321.6000000001</v>
      </c>
      <c r="I44" s="528">
        <v>0</v>
      </c>
      <c r="J44" s="528">
        <v>55268.24</v>
      </c>
      <c r="K44" s="528">
        <v>0</v>
      </c>
      <c r="L44" s="528">
        <v>149480</v>
      </c>
      <c r="M44" s="528">
        <v>400</v>
      </c>
      <c r="N44" s="528">
        <v>0</v>
      </c>
      <c r="O44" s="528">
        <v>172.53</v>
      </c>
      <c r="P44" s="528">
        <v>10493.75</v>
      </c>
      <c r="Q44" s="528">
        <v>0</v>
      </c>
      <c r="R44" s="528">
        <v>0</v>
      </c>
      <c r="S44" s="528">
        <v>0</v>
      </c>
      <c r="T44" s="528">
        <v>1687.67</v>
      </c>
      <c r="U44" s="528">
        <v>42564.98</v>
      </c>
      <c r="V44" s="528">
        <v>0</v>
      </c>
      <c r="W44" s="528">
        <v>5967.5</v>
      </c>
      <c r="X44" s="528">
        <v>37006</v>
      </c>
      <c r="Y44" s="528">
        <v>1702362.27</v>
      </c>
      <c r="Z44" s="528">
        <v>523889.99</v>
      </c>
      <c r="AA44" s="528">
        <v>0</v>
      </c>
      <c r="AB44" s="528">
        <v>220228.48000000001</v>
      </c>
      <c r="AC44" s="528">
        <v>38469.61</v>
      </c>
      <c r="AD44" s="528">
        <v>74345.47</v>
      </c>
      <c r="AE44" s="528">
        <v>0</v>
      </c>
      <c r="AF44" s="528">
        <v>39557.93</v>
      </c>
      <c r="AG44" s="528">
        <v>3965.29</v>
      </c>
      <c r="AH44" s="528">
        <v>8390.7999999999993</v>
      </c>
      <c r="AI44" s="528">
        <v>0</v>
      </c>
      <c r="AJ44" s="528">
        <v>0</v>
      </c>
      <c r="AK44" s="528">
        <v>46532.480000000003</v>
      </c>
      <c r="AL44" s="528">
        <v>610</v>
      </c>
      <c r="AM44" s="528">
        <v>23169.439999999999</v>
      </c>
      <c r="AN44" s="528">
        <v>2857.53</v>
      </c>
      <c r="AO44" s="528">
        <v>35927.040000000001</v>
      </c>
      <c r="AP44" s="528">
        <v>20015.919999999998</v>
      </c>
      <c r="AQ44" s="528">
        <v>21341.16</v>
      </c>
      <c r="AR44" s="528">
        <v>88387.260000000009</v>
      </c>
      <c r="AS44" s="528">
        <v>9956.81</v>
      </c>
      <c r="AT44" s="528">
        <v>0</v>
      </c>
      <c r="AU44" s="528">
        <v>80449.08</v>
      </c>
      <c r="AV44" s="528">
        <v>5139.75</v>
      </c>
      <c r="AW44" s="528">
        <v>2085</v>
      </c>
      <c r="AX44" s="528">
        <v>95275.72</v>
      </c>
      <c r="AY44" s="528">
        <v>191621.77</v>
      </c>
      <c r="AZ44" s="528">
        <v>6011.24</v>
      </c>
      <c r="BA44" s="528">
        <v>157678.31</v>
      </c>
      <c r="BB44" s="528">
        <v>0</v>
      </c>
      <c r="BC44" s="528">
        <v>0</v>
      </c>
      <c r="BD44" s="528">
        <v>0</v>
      </c>
      <c r="BE44" s="528">
        <v>1695906.0800000003</v>
      </c>
      <c r="BF44" s="528">
        <v>249869.52000000014</v>
      </c>
      <c r="BG44" s="528">
        <v>6456.1899999997113</v>
      </c>
      <c r="BH44" s="528">
        <v>256325.70999999985</v>
      </c>
      <c r="BI44" s="528">
        <v>6460.6</v>
      </c>
      <c r="BJ44" s="528">
        <v>0</v>
      </c>
      <c r="BK44" s="528">
        <v>0</v>
      </c>
      <c r="BL44" s="528">
        <v>6460.6</v>
      </c>
      <c r="BM44" s="528">
        <v>0</v>
      </c>
      <c r="BN44" s="528">
        <v>0</v>
      </c>
      <c r="BO44" s="528">
        <v>0</v>
      </c>
      <c r="BP44" s="528">
        <v>0</v>
      </c>
      <c r="BQ44" s="528">
        <v>0</v>
      </c>
      <c r="BR44" s="528">
        <v>33719.46</v>
      </c>
      <c r="BS44" s="528">
        <v>6460.6</v>
      </c>
      <c r="BT44" s="528">
        <v>40180.06</v>
      </c>
      <c r="BU44" s="528">
        <v>0</v>
      </c>
      <c r="BV44" s="528">
        <v>0</v>
      </c>
      <c r="BW44" s="528">
        <v>0</v>
      </c>
      <c r="BX44" s="528">
        <v>0</v>
      </c>
      <c r="BY44" s="528">
        <v>0</v>
      </c>
      <c r="BZ44" s="528">
        <v>0</v>
      </c>
      <c r="CA44" s="528">
        <v>0</v>
      </c>
      <c r="CB44" s="528">
        <v>0</v>
      </c>
      <c r="CC44" s="528">
        <v>0</v>
      </c>
      <c r="CD44" s="528">
        <v>256325.70999999985</v>
      </c>
      <c r="CE44" s="528">
        <v>0</v>
      </c>
      <c r="CF44" s="528">
        <v>40180.06</v>
      </c>
      <c r="CG44" s="528">
        <v>0</v>
      </c>
      <c r="CH44" s="528">
        <v>0</v>
      </c>
      <c r="CI44" s="528">
        <f t="shared" si="0"/>
        <v>296505.76999999984</v>
      </c>
      <c r="CJ44" s="528">
        <v>367567.61</v>
      </c>
      <c r="CK44" s="528">
        <v>74766.570000000007</v>
      </c>
      <c r="CL44" s="528">
        <v>0</v>
      </c>
      <c r="CM44" s="528">
        <v>292801.03999999998</v>
      </c>
      <c r="CN44" s="528">
        <v>0</v>
      </c>
      <c r="CO44" s="528">
        <v>0</v>
      </c>
      <c r="CP44" s="528">
        <v>767.51</v>
      </c>
      <c r="CQ44" s="528">
        <v>9609.1</v>
      </c>
      <c r="CR44" s="528">
        <v>27321.94</v>
      </c>
      <c r="CS44" s="528">
        <v>330499.58999999997</v>
      </c>
      <c r="CT44" s="528">
        <v>0</v>
      </c>
      <c r="CU44" s="528">
        <v>0</v>
      </c>
      <c r="CV44" s="528">
        <v>0</v>
      </c>
      <c r="CW44" s="528">
        <v>0</v>
      </c>
      <c r="CX44" s="528"/>
      <c r="CY44" s="528"/>
      <c r="CZ44" s="528"/>
      <c r="DA44" s="528">
        <v>0</v>
      </c>
      <c r="DB44" s="528">
        <v>0</v>
      </c>
      <c r="DC44" s="528">
        <v>0</v>
      </c>
      <c r="DD44" s="528">
        <v>0</v>
      </c>
      <c r="DE44" s="528">
        <v>0</v>
      </c>
      <c r="DF44" s="528">
        <v>0</v>
      </c>
      <c r="DG44" s="528">
        <v>0</v>
      </c>
      <c r="DH44" s="528">
        <v>-26333.03</v>
      </c>
      <c r="DI44" s="528">
        <v>0</v>
      </c>
      <c r="DJ44" s="528">
        <v>0</v>
      </c>
      <c r="DK44" s="528">
        <v>-26333.03</v>
      </c>
      <c r="DL44" s="528">
        <v>0</v>
      </c>
      <c r="DM44" s="528">
        <v>0</v>
      </c>
      <c r="DN44" s="528">
        <v>-1099.3800000000001</v>
      </c>
      <c r="DO44" s="528">
        <v>-6561.41</v>
      </c>
      <c r="DP44" s="528">
        <v>0</v>
      </c>
      <c r="DQ44" s="529">
        <v>0</v>
      </c>
      <c r="DR44" s="530">
        <v>900456.77</v>
      </c>
      <c r="DS44" s="531">
        <v>795449.31000000029</v>
      </c>
      <c r="DT44" s="530">
        <v>191621.77</v>
      </c>
      <c r="DU44" s="530">
        <v>12353.95</v>
      </c>
      <c r="DV44" s="530">
        <v>42564.98</v>
      </c>
      <c r="DW44" s="530">
        <v>-7660.79</v>
      </c>
    </row>
    <row r="45" spans="1:127" s="103" customFormat="1">
      <c r="A45" s="525">
        <v>3319</v>
      </c>
      <c r="B45" s="526" t="s">
        <v>603</v>
      </c>
      <c r="C45" s="525">
        <v>3319</v>
      </c>
      <c r="D45" s="527" t="s">
        <v>1284</v>
      </c>
      <c r="E45" s="527" t="s">
        <v>538</v>
      </c>
      <c r="F45" s="527" t="s">
        <v>5</v>
      </c>
      <c r="G45" s="527" t="s">
        <v>535</v>
      </c>
      <c r="H45" s="528">
        <v>2167121.87</v>
      </c>
      <c r="I45" s="528">
        <v>0</v>
      </c>
      <c r="J45" s="528">
        <v>69681.320000000007</v>
      </c>
      <c r="K45" s="528">
        <v>0</v>
      </c>
      <c r="L45" s="528">
        <v>219260</v>
      </c>
      <c r="M45" s="528">
        <v>0</v>
      </c>
      <c r="N45" s="528">
        <v>9100</v>
      </c>
      <c r="O45" s="528">
        <v>8410</v>
      </c>
      <c r="P45" s="528">
        <v>-97.22</v>
      </c>
      <c r="Q45" s="528">
        <v>29261.37</v>
      </c>
      <c r="R45" s="528">
        <v>0</v>
      </c>
      <c r="S45" s="528">
        <v>0</v>
      </c>
      <c r="T45" s="528">
        <v>20000</v>
      </c>
      <c r="U45" s="528">
        <v>64000</v>
      </c>
      <c r="V45" s="528">
        <v>0</v>
      </c>
      <c r="W45" s="528">
        <v>14861.63</v>
      </c>
      <c r="X45" s="528">
        <v>63665</v>
      </c>
      <c r="Y45" s="528">
        <v>2665263.9699999997</v>
      </c>
      <c r="Z45" s="528">
        <v>1369619.3599999999</v>
      </c>
      <c r="AA45" s="528">
        <v>57834.400000000001</v>
      </c>
      <c r="AB45" s="528">
        <v>502788.07</v>
      </c>
      <c r="AC45" s="528">
        <v>39526.03</v>
      </c>
      <c r="AD45" s="528">
        <v>99459.459999999992</v>
      </c>
      <c r="AE45" s="528">
        <v>0</v>
      </c>
      <c r="AF45" s="528">
        <v>100446.48</v>
      </c>
      <c r="AG45" s="528">
        <v>570.1</v>
      </c>
      <c r="AH45" s="528">
        <v>5603</v>
      </c>
      <c r="AI45" s="528">
        <v>0</v>
      </c>
      <c r="AJ45" s="528">
        <v>0</v>
      </c>
      <c r="AK45" s="528">
        <v>10688.11</v>
      </c>
      <c r="AL45" s="528">
        <v>7295</v>
      </c>
      <c r="AM45" s="528">
        <v>28803.39</v>
      </c>
      <c r="AN45" s="528">
        <v>4261.91</v>
      </c>
      <c r="AO45" s="528">
        <v>29552.25</v>
      </c>
      <c r="AP45" s="528">
        <v>5273.47</v>
      </c>
      <c r="AQ45" s="528">
        <v>18131.84</v>
      </c>
      <c r="AR45" s="528">
        <v>69240.239999999991</v>
      </c>
      <c r="AS45" s="528">
        <v>4640.67</v>
      </c>
      <c r="AT45" s="528">
        <v>0</v>
      </c>
      <c r="AU45" s="528">
        <v>75695.759999999995</v>
      </c>
      <c r="AV45" s="528">
        <v>15359.73</v>
      </c>
      <c r="AW45" s="528">
        <v>0</v>
      </c>
      <c r="AX45" s="528">
        <v>177176.76</v>
      </c>
      <c r="AY45" s="528">
        <v>1140</v>
      </c>
      <c r="AZ45" s="528">
        <v>8792.36</v>
      </c>
      <c r="BA45" s="528">
        <v>121425.98</v>
      </c>
      <c r="BB45" s="528">
        <v>0</v>
      </c>
      <c r="BC45" s="528">
        <v>0</v>
      </c>
      <c r="BD45" s="528">
        <v>0</v>
      </c>
      <c r="BE45" s="528">
        <v>2753324.37</v>
      </c>
      <c r="BF45" s="528">
        <v>-28196.320000000094</v>
      </c>
      <c r="BG45" s="528">
        <v>-88060.400000000373</v>
      </c>
      <c r="BH45" s="528">
        <v>-116256.72000000047</v>
      </c>
      <c r="BI45" s="528">
        <v>0</v>
      </c>
      <c r="BJ45" s="528">
        <v>0</v>
      </c>
      <c r="BK45" s="528">
        <v>0</v>
      </c>
      <c r="BL45" s="528">
        <v>0</v>
      </c>
      <c r="BM45" s="528">
        <v>0</v>
      </c>
      <c r="BN45" s="528">
        <v>0</v>
      </c>
      <c r="BO45" s="528">
        <v>0</v>
      </c>
      <c r="BP45" s="528">
        <v>0</v>
      </c>
      <c r="BQ45" s="528">
        <v>0</v>
      </c>
      <c r="BR45" s="528">
        <v>0</v>
      </c>
      <c r="BS45" s="528">
        <v>0</v>
      </c>
      <c r="BT45" s="528">
        <v>0</v>
      </c>
      <c r="BU45" s="528">
        <v>0</v>
      </c>
      <c r="BV45" s="528">
        <v>0</v>
      </c>
      <c r="BW45" s="528">
        <v>0</v>
      </c>
      <c r="BX45" s="528">
        <v>0</v>
      </c>
      <c r="BY45" s="528">
        <v>0</v>
      </c>
      <c r="BZ45" s="528">
        <v>0</v>
      </c>
      <c r="CA45" s="528">
        <v>0</v>
      </c>
      <c r="CB45" s="528">
        <v>0</v>
      </c>
      <c r="CC45" s="528">
        <v>0</v>
      </c>
      <c r="CD45" s="528">
        <v>-116256.72000000047</v>
      </c>
      <c r="CE45" s="528">
        <v>0</v>
      </c>
      <c r="CF45" s="528">
        <v>0</v>
      </c>
      <c r="CG45" s="528">
        <v>0</v>
      </c>
      <c r="CH45" s="528">
        <v>0</v>
      </c>
      <c r="CI45" s="528">
        <f t="shared" si="0"/>
        <v>-116256.72000000047</v>
      </c>
      <c r="CJ45" s="528">
        <v>75476.850000000006</v>
      </c>
      <c r="CK45" s="528">
        <v>189425.33000000002</v>
      </c>
      <c r="CL45" s="528">
        <v>686.07</v>
      </c>
      <c r="CM45" s="528">
        <v>-113262.41</v>
      </c>
      <c r="CN45" s="528">
        <v>0</v>
      </c>
      <c r="CO45" s="528">
        <v>0</v>
      </c>
      <c r="CP45" s="528">
        <v>5563.02</v>
      </c>
      <c r="CQ45" s="528">
        <v>0</v>
      </c>
      <c r="CR45" s="528">
        <v>0</v>
      </c>
      <c r="CS45" s="528">
        <v>-107699.39</v>
      </c>
      <c r="CT45" s="528">
        <v>0</v>
      </c>
      <c r="CU45" s="528">
        <v>0</v>
      </c>
      <c r="CV45" s="528">
        <v>0</v>
      </c>
      <c r="CW45" s="528">
        <v>0</v>
      </c>
      <c r="CX45" s="528"/>
      <c r="CY45" s="528"/>
      <c r="CZ45" s="528"/>
      <c r="DA45" s="528">
        <v>0</v>
      </c>
      <c r="DB45" s="528">
        <v>0</v>
      </c>
      <c r="DC45" s="528">
        <v>10710</v>
      </c>
      <c r="DD45" s="528">
        <v>11.13</v>
      </c>
      <c r="DE45" s="528">
        <v>33723.93</v>
      </c>
      <c r="DF45" s="528">
        <v>0</v>
      </c>
      <c r="DG45" s="528">
        <v>-16876.88</v>
      </c>
      <c r="DH45" s="528">
        <v>-41007.22</v>
      </c>
      <c r="DI45" s="528">
        <v>0</v>
      </c>
      <c r="DJ45" s="528">
        <v>0</v>
      </c>
      <c r="DK45" s="528">
        <v>-13439.040000000005</v>
      </c>
      <c r="DL45" s="528">
        <v>910</v>
      </c>
      <c r="DM45" s="528">
        <v>0</v>
      </c>
      <c r="DN45" s="528">
        <v>0</v>
      </c>
      <c r="DO45" s="528">
        <v>-18151.27</v>
      </c>
      <c r="DP45" s="528">
        <v>22122.53</v>
      </c>
      <c r="DQ45" s="529">
        <v>0.44999999999708962</v>
      </c>
      <c r="DR45" s="530">
        <v>2170243.9</v>
      </c>
      <c r="DS45" s="531">
        <v>583080.4700000002</v>
      </c>
      <c r="DT45" s="530">
        <v>1140</v>
      </c>
      <c r="DU45" s="530">
        <v>57574.15</v>
      </c>
      <c r="DV45" s="530">
        <v>64000</v>
      </c>
      <c r="DW45" s="530">
        <v>4881.2599999999984</v>
      </c>
    </row>
    <row r="46" spans="1:127" s="103" customFormat="1">
      <c r="A46" s="525">
        <v>1100</v>
      </c>
      <c r="B46" s="526" t="s">
        <v>605</v>
      </c>
      <c r="C46" s="525">
        <v>1100</v>
      </c>
      <c r="D46" s="527" t="s">
        <v>1284</v>
      </c>
      <c r="E46" s="527" t="s">
        <v>553</v>
      </c>
      <c r="F46" s="527" t="s">
        <v>5</v>
      </c>
      <c r="G46" s="527" t="s">
        <v>535</v>
      </c>
      <c r="H46" s="528">
        <v>7085575.8200000003</v>
      </c>
      <c r="I46" s="528">
        <v>0</v>
      </c>
      <c r="J46" s="528">
        <v>5998839.9199999999</v>
      </c>
      <c r="K46" s="528">
        <v>0</v>
      </c>
      <c r="L46" s="528">
        <v>404280</v>
      </c>
      <c r="M46" s="528">
        <v>220702.53999999998</v>
      </c>
      <c r="N46" s="528">
        <v>0</v>
      </c>
      <c r="O46" s="528">
        <v>0</v>
      </c>
      <c r="P46" s="528">
        <v>422818.63</v>
      </c>
      <c r="Q46" s="528">
        <v>128988.6</v>
      </c>
      <c r="R46" s="528">
        <v>0</v>
      </c>
      <c r="S46" s="528">
        <v>0</v>
      </c>
      <c r="T46" s="528">
        <v>0</v>
      </c>
      <c r="U46" s="528">
        <v>287982.81</v>
      </c>
      <c r="V46" s="528">
        <v>0</v>
      </c>
      <c r="W46" s="528">
        <v>99475.27</v>
      </c>
      <c r="X46" s="528">
        <v>16725</v>
      </c>
      <c r="Y46" s="528">
        <v>14665388.59</v>
      </c>
      <c r="Z46" s="528">
        <v>5541953.6900000507</v>
      </c>
      <c r="AA46" s="528">
        <v>0</v>
      </c>
      <c r="AB46" s="528">
        <v>1664546.51</v>
      </c>
      <c r="AC46" s="528">
        <v>160670.25999999838</v>
      </c>
      <c r="AD46" s="528">
        <v>719836.49</v>
      </c>
      <c r="AE46" s="528">
        <v>0</v>
      </c>
      <c r="AF46" s="528">
        <v>1.0477378964424133E-9</v>
      </c>
      <c r="AG46" s="528">
        <v>47927.770000007578</v>
      </c>
      <c r="AH46" s="528">
        <v>66199</v>
      </c>
      <c r="AI46" s="528">
        <v>0</v>
      </c>
      <c r="AJ46" s="528">
        <v>0</v>
      </c>
      <c r="AK46" s="528">
        <v>954234.88999999978</v>
      </c>
      <c r="AL46" s="528">
        <v>16228</v>
      </c>
      <c r="AM46" s="528">
        <v>28855.63</v>
      </c>
      <c r="AN46" s="528">
        <v>13702.94</v>
      </c>
      <c r="AO46" s="528">
        <v>169091.44</v>
      </c>
      <c r="AP46" s="528">
        <v>35139.64</v>
      </c>
      <c r="AQ46" s="528">
        <v>80684.319999999992</v>
      </c>
      <c r="AR46" s="528">
        <v>745194.32999999681</v>
      </c>
      <c r="AS46" s="528">
        <v>176190.32000000007</v>
      </c>
      <c r="AT46" s="528">
        <v>91986.099999999991</v>
      </c>
      <c r="AU46" s="528">
        <v>32641.569999999992</v>
      </c>
      <c r="AV46" s="528">
        <v>17116.400000000001</v>
      </c>
      <c r="AW46" s="528">
        <v>1281232.99</v>
      </c>
      <c r="AX46" s="528">
        <v>197050.93</v>
      </c>
      <c r="AY46" s="528">
        <v>2473575.6800000002</v>
      </c>
      <c r="AZ46" s="528">
        <v>72959</v>
      </c>
      <c r="BA46" s="528">
        <v>58781.39999999851</v>
      </c>
      <c r="BB46" s="528">
        <v>0</v>
      </c>
      <c r="BC46" s="528">
        <v>0</v>
      </c>
      <c r="BD46" s="528">
        <v>0</v>
      </c>
      <c r="BE46" s="528">
        <v>14645799.300000055</v>
      </c>
      <c r="BF46" s="528">
        <v>1063388.1200000013</v>
      </c>
      <c r="BG46" s="528">
        <v>19589.289999945089</v>
      </c>
      <c r="BH46" s="528">
        <v>1082977.4099999464</v>
      </c>
      <c r="BI46" s="528">
        <v>49211.25</v>
      </c>
      <c r="BJ46" s="528">
        <v>0</v>
      </c>
      <c r="BK46" s="528">
        <v>0</v>
      </c>
      <c r="BL46" s="528">
        <v>49211.25</v>
      </c>
      <c r="BM46" s="528">
        <v>0</v>
      </c>
      <c r="BN46" s="528">
        <v>0</v>
      </c>
      <c r="BO46" s="528">
        <v>0</v>
      </c>
      <c r="BP46" s="528">
        <v>0</v>
      </c>
      <c r="BQ46" s="528">
        <v>0</v>
      </c>
      <c r="BR46" s="528">
        <v>92246.49</v>
      </c>
      <c r="BS46" s="528">
        <v>49211.25</v>
      </c>
      <c r="BT46" s="528">
        <v>141457.74</v>
      </c>
      <c r="BU46" s="528">
        <v>0</v>
      </c>
      <c r="BV46" s="528">
        <v>0</v>
      </c>
      <c r="BW46" s="528">
        <v>0</v>
      </c>
      <c r="BX46" s="528">
        <v>0</v>
      </c>
      <c r="BY46" s="528">
        <v>0</v>
      </c>
      <c r="BZ46" s="528">
        <v>0</v>
      </c>
      <c r="CA46" s="528">
        <v>0</v>
      </c>
      <c r="CB46" s="528">
        <v>0</v>
      </c>
      <c r="CC46" s="528">
        <v>0</v>
      </c>
      <c r="CD46" s="528">
        <v>1082977.4099999464</v>
      </c>
      <c r="CE46" s="528">
        <v>0</v>
      </c>
      <c r="CF46" s="528">
        <v>141457.74</v>
      </c>
      <c r="CG46" s="528">
        <v>0</v>
      </c>
      <c r="CH46" s="528">
        <v>0</v>
      </c>
      <c r="CI46" s="528">
        <f t="shared" si="0"/>
        <v>1224435.1499999464</v>
      </c>
      <c r="CJ46" s="528">
        <v>1902388.71</v>
      </c>
      <c r="CK46" s="528">
        <v>0</v>
      </c>
      <c r="CL46" s="528">
        <v>0</v>
      </c>
      <c r="CM46" s="528">
        <v>1902388.71</v>
      </c>
      <c r="CN46" s="528">
        <v>0</v>
      </c>
      <c r="CO46" s="528">
        <v>0</v>
      </c>
      <c r="CP46" s="528">
        <v>118613.71</v>
      </c>
      <c r="CQ46" s="528">
        <v>0</v>
      </c>
      <c r="CR46" s="528">
        <v>-808983.66999999993</v>
      </c>
      <c r="CS46" s="528">
        <v>1212018.75</v>
      </c>
      <c r="CT46" s="528">
        <v>0</v>
      </c>
      <c r="CU46" s="528">
        <v>0</v>
      </c>
      <c r="CV46" s="528">
        <v>0</v>
      </c>
      <c r="CW46" s="528">
        <v>0</v>
      </c>
      <c r="CX46" s="528"/>
      <c r="CY46" s="528"/>
      <c r="CZ46" s="528"/>
      <c r="DA46" s="528">
        <v>0</v>
      </c>
      <c r="DB46" s="528">
        <v>0</v>
      </c>
      <c r="DC46" s="528">
        <v>0</v>
      </c>
      <c r="DD46" s="528">
        <v>25308.44</v>
      </c>
      <c r="DE46" s="528">
        <v>0</v>
      </c>
      <c r="DF46" s="528">
        <v>0</v>
      </c>
      <c r="DG46" s="528">
        <v>-12110.7</v>
      </c>
      <c r="DH46" s="528">
        <v>-780.88</v>
      </c>
      <c r="DI46" s="528">
        <v>0</v>
      </c>
      <c r="DJ46" s="528">
        <v>0</v>
      </c>
      <c r="DK46" s="528">
        <v>12416.859999999999</v>
      </c>
      <c r="DL46" s="528">
        <v>0</v>
      </c>
      <c r="DM46" s="528">
        <v>0</v>
      </c>
      <c r="DN46" s="528">
        <v>0</v>
      </c>
      <c r="DO46" s="528">
        <v>0</v>
      </c>
      <c r="DP46" s="528">
        <v>0</v>
      </c>
      <c r="DQ46" s="529">
        <v>-0.4599999999627471</v>
      </c>
      <c r="DR46" s="530">
        <v>8134934.7200000584</v>
      </c>
      <c r="DS46" s="531">
        <v>6510864.5799999963</v>
      </c>
      <c r="DT46" s="530">
        <v>2473575.6800000002</v>
      </c>
      <c r="DU46" s="530">
        <v>551807.23</v>
      </c>
      <c r="DV46" s="530">
        <v>287982.81</v>
      </c>
      <c r="DW46" s="530">
        <v>0</v>
      </c>
    </row>
    <row r="47" spans="1:127" s="103" customFormat="1">
      <c r="A47" s="525">
        <v>3432</v>
      </c>
      <c r="B47" s="526" t="s">
        <v>608</v>
      </c>
      <c r="C47" s="525">
        <v>3432</v>
      </c>
      <c r="D47" s="527" t="s">
        <v>1284</v>
      </c>
      <c r="E47" s="527" t="s">
        <v>538</v>
      </c>
      <c r="F47" s="527" t="s">
        <v>5</v>
      </c>
      <c r="G47" s="527" t="s">
        <v>535</v>
      </c>
      <c r="H47" s="528">
        <v>5666927.5199999996</v>
      </c>
      <c r="I47" s="528">
        <v>0</v>
      </c>
      <c r="J47" s="528">
        <v>278552.83</v>
      </c>
      <c r="K47" s="528">
        <v>0</v>
      </c>
      <c r="L47" s="528">
        <v>629000</v>
      </c>
      <c r="M47" s="528">
        <v>3456.93</v>
      </c>
      <c r="N47" s="528">
        <v>0</v>
      </c>
      <c r="O47" s="528">
        <v>1500</v>
      </c>
      <c r="P47" s="528">
        <v>45018.280000000013</v>
      </c>
      <c r="Q47" s="528">
        <v>0</v>
      </c>
      <c r="R47" s="528">
        <v>0</v>
      </c>
      <c r="S47" s="528">
        <v>0</v>
      </c>
      <c r="T47" s="528">
        <v>3830.47</v>
      </c>
      <c r="U47" s="528">
        <v>15406.49</v>
      </c>
      <c r="V47" s="528">
        <v>0</v>
      </c>
      <c r="W47" s="528">
        <v>11033.13</v>
      </c>
      <c r="X47" s="528">
        <v>80256</v>
      </c>
      <c r="Y47" s="528">
        <v>6734981.6499999994</v>
      </c>
      <c r="Z47" s="528">
        <v>2646532.0299999998</v>
      </c>
      <c r="AA47" s="528">
        <v>0</v>
      </c>
      <c r="AB47" s="528">
        <v>886661.61</v>
      </c>
      <c r="AC47" s="528">
        <v>119894.02000000002</v>
      </c>
      <c r="AD47" s="528">
        <v>423316.96</v>
      </c>
      <c r="AE47" s="528">
        <v>0</v>
      </c>
      <c r="AF47" s="528">
        <v>182568.74000000162</v>
      </c>
      <c r="AG47" s="528">
        <v>14069.44000000001</v>
      </c>
      <c r="AH47" s="528">
        <v>14917.68</v>
      </c>
      <c r="AI47" s="528">
        <v>0</v>
      </c>
      <c r="AJ47" s="528">
        <v>0</v>
      </c>
      <c r="AK47" s="528">
        <v>11981.400000000001</v>
      </c>
      <c r="AL47" s="528">
        <v>72407.59</v>
      </c>
      <c r="AM47" s="528">
        <v>56652.7</v>
      </c>
      <c r="AN47" s="528">
        <v>32935.960000000006</v>
      </c>
      <c r="AO47" s="528">
        <v>151660.12999999998</v>
      </c>
      <c r="AP47" s="528">
        <v>32329.8</v>
      </c>
      <c r="AQ47" s="528">
        <v>94369.53</v>
      </c>
      <c r="AR47" s="528">
        <v>112844.62999999995</v>
      </c>
      <c r="AS47" s="528">
        <v>100475.81</v>
      </c>
      <c r="AT47" s="528">
        <v>0</v>
      </c>
      <c r="AU47" s="528">
        <v>70485.73</v>
      </c>
      <c r="AV47" s="528">
        <v>20612.5</v>
      </c>
      <c r="AW47" s="528">
        <v>12765</v>
      </c>
      <c r="AX47" s="528">
        <v>315218</v>
      </c>
      <c r="AY47" s="528">
        <v>213315.66000000009</v>
      </c>
      <c r="AZ47" s="528">
        <v>42774.36</v>
      </c>
      <c r="BA47" s="528">
        <v>563974.00000000047</v>
      </c>
      <c r="BB47" s="528">
        <v>618882.99</v>
      </c>
      <c r="BC47" s="528">
        <v>0</v>
      </c>
      <c r="BD47" s="528">
        <v>0</v>
      </c>
      <c r="BE47" s="528">
        <v>6811646.2700000033</v>
      </c>
      <c r="BF47" s="528">
        <v>760807.51000000071</v>
      </c>
      <c r="BG47" s="528">
        <v>-76664.620000003837</v>
      </c>
      <c r="BH47" s="528">
        <v>684142.88999999687</v>
      </c>
      <c r="BI47" s="528">
        <v>13265.5</v>
      </c>
      <c r="BJ47" s="528">
        <v>0</v>
      </c>
      <c r="BK47" s="528">
        <v>0</v>
      </c>
      <c r="BL47" s="528">
        <v>13265.5</v>
      </c>
      <c r="BM47" s="528">
        <v>0</v>
      </c>
      <c r="BN47" s="528">
        <v>18210</v>
      </c>
      <c r="BO47" s="528">
        <v>0</v>
      </c>
      <c r="BP47" s="528">
        <v>0</v>
      </c>
      <c r="BQ47" s="528">
        <v>18210</v>
      </c>
      <c r="BR47" s="528">
        <v>5331.25</v>
      </c>
      <c r="BS47" s="528">
        <v>-4944.5</v>
      </c>
      <c r="BT47" s="528">
        <v>386.75</v>
      </c>
      <c r="BU47" s="528">
        <v>0</v>
      </c>
      <c r="BV47" s="528">
        <v>0</v>
      </c>
      <c r="BW47" s="528">
        <v>0</v>
      </c>
      <c r="BX47" s="528">
        <v>0</v>
      </c>
      <c r="BY47" s="528">
        <v>0</v>
      </c>
      <c r="BZ47" s="528">
        <v>0</v>
      </c>
      <c r="CA47" s="528">
        <v>0</v>
      </c>
      <c r="CB47" s="528">
        <v>0</v>
      </c>
      <c r="CC47" s="528">
        <v>0</v>
      </c>
      <c r="CD47" s="528">
        <v>684142.88999999687</v>
      </c>
      <c r="CE47" s="528">
        <v>0</v>
      </c>
      <c r="CF47" s="528">
        <v>386.75</v>
      </c>
      <c r="CG47" s="528">
        <v>0</v>
      </c>
      <c r="CH47" s="528">
        <v>0</v>
      </c>
      <c r="CI47" s="528">
        <f t="shared" si="0"/>
        <v>684529.63999999687</v>
      </c>
      <c r="CJ47" s="528">
        <v>1105530.77</v>
      </c>
      <c r="CK47" s="528">
        <v>4244.16</v>
      </c>
      <c r="CL47" s="528">
        <v>0</v>
      </c>
      <c r="CM47" s="528">
        <v>1101286.6100000001</v>
      </c>
      <c r="CN47" s="528">
        <v>0</v>
      </c>
      <c r="CO47" s="528">
        <v>0</v>
      </c>
      <c r="CP47" s="528">
        <v>29679.49</v>
      </c>
      <c r="CQ47" s="528">
        <v>27236.87</v>
      </c>
      <c r="CR47" s="528">
        <v>-371068.93</v>
      </c>
      <c r="CS47" s="528">
        <v>787134.04000000027</v>
      </c>
      <c r="CT47" s="528">
        <v>0</v>
      </c>
      <c r="CU47" s="528">
        <v>0</v>
      </c>
      <c r="CV47" s="528">
        <v>0</v>
      </c>
      <c r="CW47" s="528">
        <v>0</v>
      </c>
      <c r="CX47" s="528"/>
      <c r="CY47" s="528"/>
      <c r="CZ47" s="528"/>
      <c r="DA47" s="528">
        <v>0</v>
      </c>
      <c r="DB47" s="528">
        <v>0</v>
      </c>
      <c r="DC47" s="528">
        <v>0</v>
      </c>
      <c r="DD47" s="528">
        <v>21179.33</v>
      </c>
      <c r="DE47" s="528">
        <v>0</v>
      </c>
      <c r="DF47" s="528">
        <v>0</v>
      </c>
      <c r="DG47" s="528">
        <v>-37288.49</v>
      </c>
      <c r="DH47" s="528">
        <v>-81992.429999999993</v>
      </c>
      <c r="DI47" s="528">
        <v>0</v>
      </c>
      <c r="DJ47" s="528">
        <v>0</v>
      </c>
      <c r="DK47" s="528">
        <v>-20137.159999999996</v>
      </c>
      <c r="DL47" s="528">
        <v>0</v>
      </c>
      <c r="DM47" s="528">
        <v>0</v>
      </c>
      <c r="DN47" s="528">
        <v>-4502.8100000000004</v>
      </c>
      <c r="DO47" s="528">
        <v>0</v>
      </c>
      <c r="DP47" s="528">
        <v>0</v>
      </c>
      <c r="DQ47" s="529">
        <v>0</v>
      </c>
      <c r="DR47" s="530">
        <v>-3.2468960853293538E-10</v>
      </c>
      <c r="DS47" s="531"/>
      <c r="DT47" s="530"/>
      <c r="DU47" s="530"/>
      <c r="DV47" s="530"/>
      <c r="DW47" s="530">
        <v>-4502.8100000000004</v>
      </c>
    </row>
    <row r="48" spans="1:127" s="103" customFormat="1">
      <c r="A48" s="525">
        <v>2289</v>
      </c>
      <c r="B48" s="526" t="s">
        <v>610</v>
      </c>
      <c r="C48" s="525">
        <v>2289</v>
      </c>
      <c r="D48" s="527" t="s">
        <v>1284</v>
      </c>
      <c r="E48" s="527" t="s">
        <v>538</v>
      </c>
      <c r="F48" s="527" t="s">
        <v>5</v>
      </c>
      <c r="G48" s="527" t="s">
        <v>535</v>
      </c>
      <c r="H48" s="528">
        <v>2214056.09</v>
      </c>
      <c r="I48" s="528">
        <v>0</v>
      </c>
      <c r="J48" s="528">
        <v>84793.17</v>
      </c>
      <c r="K48" s="528">
        <v>0</v>
      </c>
      <c r="L48" s="528">
        <v>198580</v>
      </c>
      <c r="M48" s="528">
        <v>2400</v>
      </c>
      <c r="N48" s="528">
        <v>0</v>
      </c>
      <c r="O48" s="528">
        <v>13305.22</v>
      </c>
      <c r="P48" s="528">
        <v>50474.950000000019</v>
      </c>
      <c r="Q48" s="528">
        <v>0</v>
      </c>
      <c r="R48" s="528">
        <v>0</v>
      </c>
      <c r="S48" s="528">
        <v>0</v>
      </c>
      <c r="T48" s="528">
        <v>83244.72</v>
      </c>
      <c r="U48" s="528">
        <v>26278.98</v>
      </c>
      <c r="V48" s="528">
        <v>0</v>
      </c>
      <c r="W48" s="528">
        <v>10718.33</v>
      </c>
      <c r="X48" s="528">
        <v>78634</v>
      </c>
      <c r="Y48" s="528">
        <v>2762485.4600000004</v>
      </c>
      <c r="Z48" s="528">
        <v>1150790.1500000011</v>
      </c>
      <c r="AA48" s="528">
        <v>39929.21</v>
      </c>
      <c r="AB48" s="528">
        <v>408158.83</v>
      </c>
      <c r="AC48" s="528">
        <v>74875.410000000731</v>
      </c>
      <c r="AD48" s="528">
        <v>73168.289999999994</v>
      </c>
      <c r="AE48" s="528">
        <v>0</v>
      </c>
      <c r="AF48" s="528">
        <v>97498.879999999306</v>
      </c>
      <c r="AG48" s="528">
        <v>1480.700000000008</v>
      </c>
      <c r="AH48" s="528">
        <v>3960.85</v>
      </c>
      <c r="AI48" s="528">
        <v>0</v>
      </c>
      <c r="AJ48" s="528">
        <v>0</v>
      </c>
      <c r="AK48" s="528">
        <v>22744.87999999999</v>
      </c>
      <c r="AL48" s="528">
        <v>6151.32</v>
      </c>
      <c r="AM48" s="528">
        <v>4999.6899999999987</v>
      </c>
      <c r="AN48" s="528">
        <v>9563.5400000000009</v>
      </c>
      <c r="AO48" s="528">
        <v>29842.89</v>
      </c>
      <c r="AP48" s="528">
        <v>18982.84</v>
      </c>
      <c r="AQ48" s="528">
        <v>22648.550000000007</v>
      </c>
      <c r="AR48" s="528">
        <v>113504.49999999997</v>
      </c>
      <c r="AS48" s="528">
        <v>13963.31</v>
      </c>
      <c r="AT48" s="528">
        <v>0</v>
      </c>
      <c r="AU48" s="528">
        <v>16725.920000000009</v>
      </c>
      <c r="AV48" s="528">
        <v>9471</v>
      </c>
      <c r="AW48" s="528">
        <v>0</v>
      </c>
      <c r="AX48" s="528">
        <v>96316.060000000012</v>
      </c>
      <c r="AY48" s="528">
        <v>356525.08000000019</v>
      </c>
      <c r="AZ48" s="528">
        <v>10303.77</v>
      </c>
      <c r="BA48" s="528">
        <v>202315.74</v>
      </c>
      <c r="BB48" s="528">
        <v>0</v>
      </c>
      <c r="BC48" s="528">
        <v>0</v>
      </c>
      <c r="BD48" s="528">
        <v>0</v>
      </c>
      <c r="BE48" s="528">
        <v>2783921.410000002</v>
      </c>
      <c r="BF48" s="528">
        <v>38652.180000000408</v>
      </c>
      <c r="BG48" s="528">
        <v>-21435.950000001583</v>
      </c>
      <c r="BH48" s="528">
        <v>17216.229999998824</v>
      </c>
      <c r="BI48" s="528">
        <v>8590</v>
      </c>
      <c r="BJ48" s="528">
        <v>0</v>
      </c>
      <c r="BK48" s="528">
        <v>0</v>
      </c>
      <c r="BL48" s="528">
        <v>8590</v>
      </c>
      <c r="BM48" s="528">
        <v>0</v>
      </c>
      <c r="BN48" s="528">
        <v>18734.98</v>
      </c>
      <c r="BO48" s="528">
        <v>0</v>
      </c>
      <c r="BP48" s="528">
        <v>0</v>
      </c>
      <c r="BQ48" s="528">
        <v>18734.98</v>
      </c>
      <c r="BR48" s="528">
        <v>17804.330000000002</v>
      </c>
      <c r="BS48" s="528">
        <v>-10144.98</v>
      </c>
      <c r="BT48" s="528">
        <v>7659.3500000000022</v>
      </c>
      <c r="BU48" s="528">
        <v>0</v>
      </c>
      <c r="BV48" s="528">
        <v>0</v>
      </c>
      <c r="BW48" s="528">
        <v>0</v>
      </c>
      <c r="BX48" s="528">
        <v>0</v>
      </c>
      <c r="BY48" s="528">
        <v>0</v>
      </c>
      <c r="BZ48" s="528">
        <v>0</v>
      </c>
      <c r="CA48" s="528">
        <v>0</v>
      </c>
      <c r="CB48" s="528">
        <v>0</v>
      </c>
      <c r="CC48" s="528">
        <v>0</v>
      </c>
      <c r="CD48" s="528">
        <v>17216.229999998824</v>
      </c>
      <c r="CE48" s="528">
        <v>0</v>
      </c>
      <c r="CF48" s="528">
        <v>7659.3500000000022</v>
      </c>
      <c r="CG48" s="528">
        <v>0</v>
      </c>
      <c r="CH48" s="528">
        <v>0</v>
      </c>
      <c r="CI48" s="528">
        <f t="shared" si="0"/>
        <v>24875.579999998827</v>
      </c>
      <c r="CJ48" s="528">
        <v>218657.68</v>
      </c>
      <c r="CK48" s="528">
        <v>0</v>
      </c>
      <c r="CL48" s="528">
        <v>0</v>
      </c>
      <c r="CM48" s="528">
        <v>218657.68</v>
      </c>
      <c r="CN48" s="528">
        <v>0</v>
      </c>
      <c r="CO48" s="528">
        <v>0</v>
      </c>
      <c r="CP48" s="528">
        <v>10472.49</v>
      </c>
      <c r="CQ48" s="528">
        <v>0</v>
      </c>
      <c r="CR48" s="528">
        <v>-163526.66</v>
      </c>
      <c r="CS48" s="528">
        <v>65603.50999999998</v>
      </c>
      <c r="CT48" s="528">
        <v>0</v>
      </c>
      <c r="CU48" s="528">
        <v>0</v>
      </c>
      <c r="CV48" s="528">
        <v>0</v>
      </c>
      <c r="CW48" s="528">
        <v>0</v>
      </c>
      <c r="CX48" s="528"/>
      <c r="CY48" s="528"/>
      <c r="CZ48" s="528"/>
      <c r="DA48" s="528">
        <v>0</v>
      </c>
      <c r="DB48" s="528">
        <v>0</v>
      </c>
      <c r="DC48" s="528">
        <v>0</v>
      </c>
      <c r="DD48" s="528">
        <v>21402.93</v>
      </c>
      <c r="DE48" s="528">
        <v>0</v>
      </c>
      <c r="DF48" s="528">
        <v>0</v>
      </c>
      <c r="DG48" s="528">
        <v>-62130.86</v>
      </c>
      <c r="DH48" s="528">
        <v>0</v>
      </c>
      <c r="DI48" s="528">
        <v>0</v>
      </c>
      <c r="DJ48" s="528">
        <v>0</v>
      </c>
      <c r="DK48" s="528">
        <v>-40727.93</v>
      </c>
      <c r="DL48" s="528">
        <v>0</v>
      </c>
      <c r="DM48" s="528">
        <v>0</v>
      </c>
      <c r="DN48" s="528">
        <v>0</v>
      </c>
      <c r="DO48" s="528">
        <v>0</v>
      </c>
      <c r="DP48" s="528">
        <v>0</v>
      </c>
      <c r="DQ48" s="529">
        <v>0</v>
      </c>
      <c r="DR48" s="530">
        <v>1845901.4700000014</v>
      </c>
      <c r="DS48" s="531">
        <v>938019.94000000064</v>
      </c>
      <c r="DT48" s="530">
        <v>356525.08000000019</v>
      </c>
      <c r="DU48" s="530">
        <v>147024.89000000001</v>
      </c>
      <c r="DV48" s="530">
        <v>26278.98</v>
      </c>
      <c r="DW48" s="530">
        <v>0</v>
      </c>
    </row>
    <row r="49" spans="1:127" s="103" customFormat="1">
      <c r="A49" s="525">
        <v>2185</v>
      </c>
      <c r="B49" s="526" t="s">
        <v>612</v>
      </c>
      <c r="C49" s="525">
        <v>2185</v>
      </c>
      <c r="D49" s="527" t="s">
        <v>1284</v>
      </c>
      <c r="E49" s="527" t="s">
        <v>538</v>
      </c>
      <c r="F49" s="527" t="s">
        <v>5</v>
      </c>
      <c r="G49" s="527" t="s">
        <v>535</v>
      </c>
      <c r="H49" s="528">
        <v>2583002.8199999998</v>
      </c>
      <c r="I49" s="528">
        <v>0</v>
      </c>
      <c r="J49" s="528">
        <v>108772.39</v>
      </c>
      <c r="K49" s="528">
        <v>0</v>
      </c>
      <c r="L49" s="528">
        <v>206030</v>
      </c>
      <c r="M49" s="528">
        <v>5015.93</v>
      </c>
      <c r="N49" s="528">
        <v>0</v>
      </c>
      <c r="O49" s="528">
        <v>0</v>
      </c>
      <c r="P49" s="528">
        <v>315499.18</v>
      </c>
      <c r="Q49" s="528">
        <v>45072.009999999995</v>
      </c>
      <c r="R49" s="528">
        <v>0</v>
      </c>
      <c r="S49" s="528">
        <v>0</v>
      </c>
      <c r="T49" s="528">
        <v>-3646.69</v>
      </c>
      <c r="U49" s="528">
        <v>0</v>
      </c>
      <c r="V49" s="528">
        <v>0</v>
      </c>
      <c r="W49" s="528">
        <v>11383</v>
      </c>
      <c r="X49" s="528">
        <v>74408</v>
      </c>
      <c r="Y49" s="528">
        <v>3345536.64</v>
      </c>
      <c r="Z49" s="528">
        <v>1289785.0600000005</v>
      </c>
      <c r="AA49" s="528">
        <v>76.56</v>
      </c>
      <c r="AB49" s="528">
        <v>443978.6</v>
      </c>
      <c r="AC49" s="528">
        <v>51350.140000000771</v>
      </c>
      <c r="AD49" s="528">
        <v>121946.41</v>
      </c>
      <c r="AE49" s="528">
        <v>0</v>
      </c>
      <c r="AF49" s="528">
        <v>92427.939999999653</v>
      </c>
      <c r="AG49" s="528">
        <v>23377.450000000048</v>
      </c>
      <c r="AH49" s="528">
        <v>10210</v>
      </c>
      <c r="AI49" s="528">
        <v>0</v>
      </c>
      <c r="AJ49" s="528">
        <v>0</v>
      </c>
      <c r="AK49" s="528">
        <v>-16577.09</v>
      </c>
      <c r="AL49" s="528">
        <v>0</v>
      </c>
      <c r="AM49" s="528">
        <v>7054.82</v>
      </c>
      <c r="AN49" s="528">
        <v>0</v>
      </c>
      <c r="AO49" s="528">
        <v>73990.14</v>
      </c>
      <c r="AP49" s="528">
        <v>23760.83</v>
      </c>
      <c r="AQ49" s="528">
        <v>44153.22</v>
      </c>
      <c r="AR49" s="528">
        <v>452959.88</v>
      </c>
      <c r="AS49" s="528">
        <v>14124.95</v>
      </c>
      <c r="AT49" s="528">
        <v>72.11999999999999</v>
      </c>
      <c r="AU49" s="528">
        <v>132069.91</v>
      </c>
      <c r="AV49" s="528">
        <v>10771</v>
      </c>
      <c r="AW49" s="528">
        <v>0</v>
      </c>
      <c r="AX49" s="528">
        <v>225130.3</v>
      </c>
      <c r="AY49" s="528">
        <v>278945.21000000002</v>
      </c>
      <c r="AZ49" s="528">
        <v>10529.4</v>
      </c>
      <c r="BA49" s="528">
        <v>38756.39</v>
      </c>
      <c r="BB49" s="528">
        <v>0</v>
      </c>
      <c r="BC49" s="528">
        <v>0</v>
      </c>
      <c r="BD49" s="528">
        <v>1207.6099999999999</v>
      </c>
      <c r="BE49" s="528">
        <v>3330100.8500000015</v>
      </c>
      <c r="BF49" s="528">
        <v>95967.73000000001</v>
      </c>
      <c r="BG49" s="528">
        <v>15435.78999999864</v>
      </c>
      <c r="BH49" s="528">
        <v>111403.51999999865</v>
      </c>
      <c r="BI49" s="528">
        <v>9109.75</v>
      </c>
      <c r="BJ49" s="528">
        <v>0</v>
      </c>
      <c r="BK49" s="528">
        <v>1207.6099999999999</v>
      </c>
      <c r="BL49" s="528">
        <v>10317.36</v>
      </c>
      <c r="BM49" s="528">
        <v>0</v>
      </c>
      <c r="BN49" s="528">
        <v>19897</v>
      </c>
      <c r="BO49" s="528">
        <v>0</v>
      </c>
      <c r="BP49" s="528">
        <v>0</v>
      </c>
      <c r="BQ49" s="528">
        <v>19897</v>
      </c>
      <c r="BR49" s="528">
        <v>9579.64</v>
      </c>
      <c r="BS49" s="528">
        <v>-9579.64</v>
      </c>
      <c r="BT49" s="528">
        <v>0</v>
      </c>
      <c r="BU49" s="528">
        <v>0</v>
      </c>
      <c r="BV49" s="528">
        <v>0</v>
      </c>
      <c r="BW49" s="528">
        <v>0</v>
      </c>
      <c r="BX49" s="528">
        <v>0</v>
      </c>
      <c r="BY49" s="528">
        <v>0</v>
      </c>
      <c r="BZ49" s="528">
        <v>0</v>
      </c>
      <c r="CA49" s="528">
        <v>0</v>
      </c>
      <c r="CB49" s="528">
        <v>0</v>
      </c>
      <c r="CC49" s="528">
        <v>0</v>
      </c>
      <c r="CD49" s="528">
        <v>111403.51999999865</v>
      </c>
      <c r="CE49" s="528">
        <v>0</v>
      </c>
      <c r="CF49" s="528">
        <v>0</v>
      </c>
      <c r="CG49" s="528">
        <v>0</v>
      </c>
      <c r="CH49" s="528">
        <v>0</v>
      </c>
      <c r="CI49" s="528">
        <f t="shared" si="0"/>
        <v>111403.51999999865</v>
      </c>
      <c r="CJ49" s="528">
        <v>452532.89</v>
      </c>
      <c r="CK49" s="528">
        <v>34286.6</v>
      </c>
      <c r="CL49" s="528">
        <v>26704.67</v>
      </c>
      <c r="CM49" s="528">
        <v>444950.96</v>
      </c>
      <c r="CN49" s="528">
        <v>0</v>
      </c>
      <c r="CO49" s="528">
        <v>0</v>
      </c>
      <c r="CP49" s="528">
        <v>18991.72</v>
      </c>
      <c r="CQ49" s="528">
        <v>1386.39</v>
      </c>
      <c r="CR49" s="528">
        <v>-449678.38</v>
      </c>
      <c r="CS49" s="528">
        <v>15650.690000000061</v>
      </c>
      <c r="CT49" s="528">
        <v>0</v>
      </c>
      <c r="CU49" s="528">
        <v>0</v>
      </c>
      <c r="CV49" s="528">
        <v>0</v>
      </c>
      <c r="CW49" s="528">
        <v>0</v>
      </c>
      <c r="CX49" s="528"/>
      <c r="CY49" s="528"/>
      <c r="CZ49" s="528"/>
      <c r="DA49" s="528">
        <v>0</v>
      </c>
      <c r="DB49" s="528">
        <v>0</v>
      </c>
      <c r="DC49" s="528">
        <v>0</v>
      </c>
      <c r="DD49" s="528">
        <v>170649.09</v>
      </c>
      <c r="DE49" s="528">
        <v>0</v>
      </c>
      <c r="DF49" s="528">
        <v>0</v>
      </c>
      <c r="DG49" s="528">
        <v>-27227.55</v>
      </c>
      <c r="DH49" s="528">
        <v>-47668.61</v>
      </c>
      <c r="DI49" s="528">
        <v>0</v>
      </c>
      <c r="DJ49" s="528">
        <v>0</v>
      </c>
      <c r="DK49" s="528">
        <v>95752.930000000008</v>
      </c>
      <c r="DL49" s="528">
        <v>0</v>
      </c>
      <c r="DM49" s="528">
        <v>0</v>
      </c>
      <c r="DN49" s="528">
        <v>0</v>
      </c>
      <c r="DO49" s="528">
        <v>0</v>
      </c>
      <c r="DP49" s="528">
        <v>0</v>
      </c>
      <c r="DQ49" s="529">
        <v>-0.10000000006402843</v>
      </c>
      <c r="DR49" s="530">
        <v>2022942.1600000011</v>
      </c>
      <c r="DS49" s="531">
        <v>1307158.6900000004</v>
      </c>
      <c r="DT49" s="530">
        <v>278945.21000000002</v>
      </c>
      <c r="DU49" s="530">
        <v>356924.5</v>
      </c>
      <c r="DV49" s="530">
        <v>0</v>
      </c>
      <c r="DW49" s="530">
        <v>0</v>
      </c>
    </row>
    <row r="50" spans="1:127" s="103" customFormat="1">
      <c r="A50" s="525">
        <v>5416</v>
      </c>
      <c r="B50" s="526" t="s">
        <v>614</v>
      </c>
      <c r="C50" s="525">
        <v>5416</v>
      </c>
      <c r="D50" s="527" t="s">
        <v>1284</v>
      </c>
      <c r="E50" s="527" t="s">
        <v>564</v>
      </c>
      <c r="F50" s="527" t="s">
        <v>5</v>
      </c>
      <c r="G50" s="527" t="s">
        <v>535</v>
      </c>
      <c r="H50" s="528">
        <v>9303583.1199999992</v>
      </c>
      <c r="I50" s="528">
        <v>375138.74</v>
      </c>
      <c r="J50" s="528">
        <v>71671.710000000006</v>
      </c>
      <c r="K50" s="528">
        <v>0</v>
      </c>
      <c r="L50" s="528">
        <v>651760</v>
      </c>
      <c r="M50" s="528">
        <v>23941.08</v>
      </c>
      <c r="N50" s="528">
        <v>23432.059999999998</v>
      </c>
      <c r="O50" s="528">
        <v>40721.83</v>
      </c>
      <c r="P50" s="528">
        <v>79394.24000000002</v>
      </c>
      <c r="Q50" s="528">
        <v>121.15</v>
      </c>
      <c r="R50" s="528">
        <v>75214.399999999994</v>
      </c>
      <c r="S50" s="528">
        <v>0</v>
      </c>
      <c r="T50" s="528">
        <v>42678.07</v>
      </c>
      <c r="U50" s="528">
        <v>29991.64</v>
      </c>
      <c r="V50" s="528">
        <v>0</v>
      </c>
      <c r="W50" s="528">
        <v>154092</v>
      </c>
      <c r="X50" s="528">
        <v>0</v>
      </c>
      <c r="Y50" s="528">
        <v>10871740.040000003</v>
      </c>
      <c r="Z50" s="528">
        <v>5940257.8099999996</v>
      </c>
      <c r="AA50" s="528">
        <v>0</v>
      </c>
      <c r="AB50" s="528">
        <v>1564039.97</v>
      </c>
      <c r="AC50" s="528">
        <v>299060.17</v>
      </c>
      <c r="AD50" s="528">
        <v>813795.81</v>
      </c>
      <c r="AE50" s="528">
        <v>0</v>
      </c>
      <c r="AF50" s="528">
        <v>0</v>
      </c>
      <c r="AG50" s="528">
        <v>50572.71</v>
      </c>
      <c r="AH50" s="528">
        <v>7647.41</v>
      </c>
      <c r="AI50" s="528">
        <v>0</v>
      </c>
      <c r="AJ50" s="528">
        <v>0</v>
      </c>
      <c r="AK50" s="528">
        <v>177640.4</v>
      </c>
      <c r="AL50" s="528">
        <v>6466.83</v>
      </c>
      <c r="AM50" s="528">
        <v>154574.63</v>
      </c>
      <c r="AN50" s="528">
        <v>18904.940000000002</v>
      </c>
      <c r="AO50" s="528">
        <v>142113.51</v>
      </c>
      <c r="AP50" s="528">
        <v>8691.94</v>
      </c>
      <c r="AQ50" s="528">
        <v>69224.94</v>
      </c>
      <c r="AR50" s="528">
        <v>288118.2</v>
      </c>
      <c r="AS50" s="528">
        <v>0</v>
      </c>
      <c r="AT50" s="528">
        <v>137487.19</v>
      </c>
      <c r="AU50" s="528">
        <v>425832.99</v>
      </c>
      <c r="AV50" s="528">
        <v>33670.019999999997</v>
      </c>
      <c r="AW50" s="528">
        <v>0</v>
      </c>
      <c r="AX50" s="528">
        <v>176311</v>
      </c>
      <c r="AY50" s="528">
        <v>176160.66</v>
      </c>
      <c r="AZ50" s="528">
        <v>0</v>
      </c>
      <c r="BA50" s="528">
        <v>289710.52</v>
      </c>
      <c r="BB50" s="528">
        <v>0</v>
      </c>
      <c r="BC50" s="528">
        <v>0</v>
      </c>
      <c r="BD50" s="528">
        <v>0</v>
      </c>
      <c r="BE50" s="528">
        <v>10733898.809999999</v>
      </c>
      <c r="BF50" s="528">
        <v>400536.03000000259</v>
      </c>
      <c r="BG50" s="528">
        <v>137841.23000000417</v>
      </c>
      <c r="BH50" s="528">
        <v>538377.26000000676</v>
      </c>
      <c r="BI50" s="528">
        <v>55700.06</v>
      </c>
      <c r="BJ50" s="528">
        <v>0</v>
      </c>
      <c r="BK50" s="528">
        <v>0</v>
      </c>
      <c r="BL50" s="528">
        <v>55700.06</v>
      </c>
      <c r="BM50" s="528">
        <v>0</v>
      </c>
      <c r="BN50" s="528">
        <v>48583.91</v>
      </c>
      <c r="BO50" s="528">
        <v>0</v>
      </c>
      <c r="BP50" s="528">
        <v>77270.98</v>
      </c>
      <c r="BQ50" s="528">
        <v>125854.89</v>
      </c>
      <c r="BR50" s="528">
        <v>76713</v>
      </c>
      <c r="BS50" s="528">
        <v>-70154.83</v>
      </c>
      <c r="BT50" s="528">
        <v>6558.1699999999983</v>
      </c>
      <c r="BU50" s="528">
        <v>0</v>
      </c>
      <c r="BV50" s="528">
        <v>0</v>
      </c>
      <c r="BW50" s="528">
        <v>0</v>
      </c>
      <c r="BX50" s="528">
        <v>0</v>
      </c>
      <c r="BY50" s="528">
        <v>0</v>
      </c>
      <c r="BZ50" s="528">
        <v>0</v>
      </c>
      <c r="CA50" s="528">
        <v>0</v>
      </c>
      <c r="CB50" s="528">
        <v>0</v>
      </c>
      <c r="CC50" s="528">
        <v>0</v>
      </c>
      <c r="CD50" s="528">
        <v>538377.26000000676</v>
      </c>
      <c r="CE50" s="528">
        <v>0</v>
      </c>
      <c r="CF50" s="528">
        <v>6558.1699999999983</v>
      </c>
      <c r="CG50" s="528">
        <v>0</v>
      </c>
      <c r="CH50" s="528">
        <v>0</v>
      </c>
      <c r="CI50" s="528">
        <f t="shared" si="0"/>
        <v>544935.4300000068</v>
      </c>
      <c r="CJ50" s="528" t="s">
        <v>1285</v>
      </c>
      <c r="CK50" s="528" t="s">
        <v>1286</v>
      </c>
      <c r="CL50" s="528" t="s">
        <v>1287</v>
      </c>
      <c r="CM50" s="528">
        <v>602967.49</v>
      </c>
      <c r="CN50" s="528">
        <v>0</v>
      </c>
      <c r="CO50" s="528">
        <v>0</v>
      </c>
      <c r="CP50" s="528">
        <v>65663.509999999995</v>
      </c>
      <c r="CQ50" s="528">
        <v>154157.48000000001</v>
      </c>
      <c r="CR50" s="528">
        <v>0</v>
      </c>
      <c r="CS50" s="528">
        <v>822788.48</v>
      </c>
      <c r="CT50" s="528">
        <v>0</v>
      </c>
      <c r="CU50" s="528">
        <v>0</v>
      </c>
      <c r="CV50" s="528">
        <v>0</v>
      </c>
      <c r="CW50" s="528">
        <v>0</v>
      </c>
      <c r="CX50" s="528"/>
      <c r="CY50" s="528"/>
      <c r="CZ50" s="528"/>
      <c r="DA50" s="528">
        <v>0</v>
      </c>
      <c r="DB50" s="528">
        <v>0</v>
      </c>
      <c r="DC50" s="528">
        <v>0</v>
      </c>
      <c r="DD50" s="528">
        <v>0</v>
      </c>
      <c r="DE50" s="528">
        <v>0</v>
      </c>
      <c r="DF50" s="528">
        <v>144109.26999999999</v>
      </c>
      <c r="DG50" s="528">
        <v>-15470.12</v>
      </c>
      <c r="DH50" s="528">
        <v>0</v>
      </c>
      <c r="DI50" s="528">
        <v>-425210.8</v>
      </c>
      <c r="DJ50" s="528">
        <v>0</v>
      </c>
      <c r="DK50" s="528">
        <v>-296571.65000000002</v>
      </c>
      <c r="DL50" s="528">
        <v>3202.58</v>
      </c>
      <c r="DM50" s="528">
        <v>18216.09</v>
      </c>
      <c r="DN50" s="528">
        <v>-2700</v>
      </c>
      <c r="DO50" s="528">
        <v>0</v>
      </c>
      <c r="DP50" s="528">
        <v>0</v>
      </c>
      <c r="DQ50" s="529">
        <v>-6.9999999832361937E-2</v>
      </c>
      <c r="DR50" s="530">
        <v>8621343.6300000008</v>
      </c>
      <c r="DS50" s="531">
        <v>2112555.1799999978</v>
      </c>
      <c r="DT50" s="530">
        <v>176160.66</v>
      </c>
      <c r="DU50" s="530">
        <v>162915.29</v>
      </c>
      <c r="DV50" s="530">
        <v>105206.04</v>
      </c>
      <c r="DW50" s="530">
        <v>18718.669999999998</v>
      </c>
    </row>
    <row r="51" spans="1:127" s="103" customFormat="1">
      <c r="A51" s="525">
        <v>2054</v>
      </c>
      <c r="B51" s="526" t="s">
        <v>616</v>
      </c>
      <c r="C51" s="525">
        <v>2054</v>
      </c>
      <c r="D51" s="527" t="s">
        <v>1284</v>
      </c>
      <c r="E51" s="527" t="s">
        <v>538</v>
      </c>
      <c r="F51" s="527" t="s">
        <v>5</v>
      </c>
      <c r="G51" s="527" t="s">
        <v>535</v>
      </c>
      <c r="H51" s="528">
        <v>2036147.98</v>
      </c>
      <c r="I51" s="528">
        <v>0</v>
      </c>
      <c r="J51" s="528">
        <v>170901.33</v>
      </c>
      <c r="K51" s="528">
        <v>0</v>
      </c>
      <c r="L51" s="528">
        <v>116010</v>
      </c>
      <c r="M51" s="528">
        <v>2400</v>
      </c>
      <c r="N51" s="528">
        <v>0</v>
      </c>
      <c r="O51" s="528">
        <v>0</v>
      </c>
      <c r="P51" s="528">
        <v>27254.62</v>
      </c>
      <c r="Q51" s="528">
        <v>166736.26</v>
      </c>
      <c r="R51" s="528">
        <v>0</v>
      </c>
      <c r="S51" s="528">
        <v>0</v>
      </c>
      <c r="T51" s="528">
        <v>5633.77</v>
      </c>
      <c r="U51" s="528">
        <v>0</v>
      </c>
      <c r="V51" s="528">
        <v>0</v>
      </c>
      <c r="W51" s="528">
        <v>4136.88</v>
      </c>
      <c r="X51" s="528">
        <v>143163</v>
      </c>
      <c r="Y51" s="528">
        <v>2672383.8400000003</v>
      </c>
      <c r="Z51" s="528">
        <v>1083486.81</v>
      </c>
      <c r="AA51" s="528">
        <v>0</v>
      </c>
      <c r="AB51" s="528">
        <v>364533.47</v>
      </c>
      <c r="AC51" s="528">
        <v>57103</v>
      </c>
      <c r="AD51" s="528">
        <v>99441.21</v>
      </c>
      <c r="AE51" s="528">
        <v>198616.83</v>
      </c>
      <c r="AF51" s="528">
        <v>70873.919999999998</v>
      </c>
      <c r="AG51" s="528">
        <v>272.8</v>
      </c>
      <c r="AH51" s="528">
        <v>4041</v>
      </c>
      <c r="AI51" s="528">
        <v>0</v>
      </c>
      <c r="AJ51" s="528">
        <v>0</v>
      </c>
      <c r="AK51" s="528">
        <v>49721.88</v>
      </c>
      <c r="AL51" s="528">
        <v>83.33</v>
      </c>
      <c r="AM51" s="528">
        <v>2194.35</v>
      </c>
      <c r="AN51" s="528">
        <v>7906.37</v>
      </c>
      <c r="AO51" s="528">
        <v>39409</v>
      </c>
      <c r="AP51" s="528">
        <v>14233.07</v>
      </c>
      <c r="AQ51" s="528">
        <v>7641.44</v>
      </c>
      <c r="AR51" s="528">
        <v>31893.99</v>
      </c>
      <c r="AS51" s="528">
        <v>6187.96</v>
      </c>
      <c r="AT51" s="528">
        <v>0</v>
      </c>
      <c r="AU51" s="528">
        <v>29641.59</v>
      </c>
      <c r="AV51" s="528">
        <v>9471</v>
      </c>
      <c r="AW51" s="528">
        <v>0</v>
      </c>
      <c r="AX51" s="528">
        <v>135896.32999999999</v>
      </c>
      <c r="AY51" s="528">
        <v>419279.61000000004</v>
      </c>
      <c r="AZ51" s="528">
        <v>23379.74</v>
      </c>
      <c r="BA51" s="528">
        <v>79095.509999999995</v>
      </c>
      <c r="BB51" s="528">
        <v>0</v>
      </c>
      <c r="BC51" s="528">
        <v>0</v>
      </c>
      <c r="BD51" s="528">
        <v>0</v>
      </c>
      <c r="BE51" s="528">
        <v>2734404.21</v>
      </c>
      <c r="BF51" s="528">
        <v>198226.82000000018</v>
      </c>
      <c r="BG51" s="528">
        <v>-62020.369999999646</v>
      </c>
      <c r="BH51" s="528">
        <v>136206.45000000054</v>
      </c>
      <c r="BI51" s="528">
        <v>8401</v>
      </c>
      <c r="BJ51" s="528">
        <v>0</v>
      </c>
      <c r="BK51" s="528">
        <v>0</v>
      </c>
      <c r="BL51" s="528">
        <v>8401</v>
      </c>
      <c r="BM51" s="528">
        <v>0</v>
      </c>
      <c r="BN51" s="528">
        <v>0</v>
      </c>
      <c r="BO51" s="528">
        <v>0</v>
      </c>
      <c r="BP51" s="528">
        <v>0</v>
      </c>
      <c r="BQ51" s="528">
        <v>0</v>
      </c>
      <c r="BR51" s="528">
        <v>34529.64</v>
      </c>
      <c r="BS51" s="528">
        <v>8401</v>
      </c>
      <c r="BT51" s="528">
        <v>42930.64</v>
      </c>
      <c r="BU51" s="528">
        <v>0</v>
      </c>
      <c r="BV51" s="528">
        <v>0</v>
      </c>
      <c r="BW51" s="528">
        <v>0</v>
      </c>
      <c r="BX51" s="528">
        <v>0</v>
      </c>
      <c r="BY51" s="528">
        <v>0</v>
      </c>
      <c r="BZ51" s="528">
        <v>0</v>
      </c>
      <c r="CA51" s="528">
        <v>0</v>
      </c>
      <c r="CB51" s="528">
        <v>0</v>
      </c>
      <c r="CC51" s="528">
        <v>0</v>
      </c>
      <c r="CD51" s="528">
        <v>136206.45000000054</v>
      </c>
      <c r="CE51" s="528">
        <v>0</v>
      </c>
      <c r="CF51" s="528">
        <v>42930.64</v>
      </c>
      <c r="CG51" s="528">
        <v>0</v>
      </c>
      <c r="CH51" s="528">
        <v>0</v>
      </c>
      <c r="CI51" s="528">
        <f t="shared" si="0"/>
        <v>179137.09000000055</v>
      </c>
      <c r="CJ51" s="528">
        <v>369569.95</v>
      </c>
      <c r="CK51" s="528">
        <v>192321.78</v>
      </c>
      <c r="CL51" s="528">
        <v>0</v>
      </c>
      <c r="CM51" s="528">
        <v>177248.17</v>
      </c>
      <c r="CN51" s="528">
        <v>0</v>
      </c>
      <c r="CO51" s="528">
        <v>0</v>
      </c>
      <c r="CP51" s="528">
        <v>9384.17</v>
      </c>
      <c r="CQ51" s="528">
        <v>0</v>
      </c>
      <c r="CR51" s="528">
        <v>0</v>
      </c>
      <c r="CS51" s="528">
        <v>186632.34000000003</v>
      </c>
      <c r="CT51" s="528">
        <v>0</v>
      </c>
      <c r="CU51" s="528">
        <v>0</v>
      </c>
      <c r="CV51" s="528">
        <v>0</v>
      </c>
      <c r="CW51" s="528">
        <v>0</v>
      </c>
      <c r="CX51" s="528"/>
      <c r="CY51" s="528"/>
      <c r="CZ51" s="528"/>
      <c r="DA51" s="528">
        <v>0</v>
      </c>
      <c r="DB51" s="528">
        <v>0</v>
      </c>
      <c r="DC51" s="528">
        <v>0</v>
      </c>
      <c r="DD51" s="528">
        <v>0</v>
      </c>
      <c r="DE51" s="528">
        <v>0</v>
      </c>
      <c r="DF51" s="528">
        <v>0</v>
      </c>
      <c r="DG51" s="528">
        <v>-9022.65</v>
      </c>
      <c r="DH51" s="528">
        <v>0</v>
      </c>
      <c r="DI51" s="528">
        <v>0</v>
      </c>
      <c r="DJ51" s="528">
        <v>0</v>
      </c>
      <c r="DK51" s="528">
        <v>-9022.65</v>
      </c>
      <c r="DL51" s="528">
        <v>1527.4</v>
      </c>
      <c r="DM51" s="528">
        <v>0</v>
      </c>
      <c r="DN51" s="528">
        <v>0</v>
      </c>
      <c r="DO51" s="528">
        <v>0</v>
      </c>
      <c r="DP51" s="528">
        <v>0</v>
      </c>
      <c r="DQ51" s="529">
        <v>0</v>
      </c>
      <c r="DR51" s="530">
        <v>1874328.04</v>
      </c>
      <c r="DS51" s="531">
        <v>860076.16999999993</v>
      </c>
      <c r="DT51" s="530">
        <v>419279.61000000004</v>
      </c>
      <c r="DU51" s="530">
        <v>199624.65</v>
      </c>
      <c r="DV51" s="530">
        <v>0</v>
      </c>
      <c r="DW51" s="530">
        <v>1527.4</v>
      </c>
    </row>
    <row r="52" spans="1:127" s="103" customFormat="1">
      <c r="A52" s="525">
        <v>2053</v>
      </c>
      <c r="B52" s="526" t="s">
        <v>618</v>
      </c>
      <c r="C52" s="525">
        <v>2053</v>
      </c>
      <c r="D52" s="527" t="s">
        <v>1284</v>
      </c>
      <c r="E52" s="527" t="s">
        <v>538</v>
      </c>
      <c r="F52" s="527" t="s">
        <v>5</v>
      </c>
      <c r="G52" s="527" t="s">
        <v>535</v>
      </c>
      <c r="H52" s="528">
        <v>2404325.4700000002</v>
      </c>
      <c r="I52" s="528">
        <v>0</v>
      </c>
      <c r="J52" s="528">
        <v>120802.44</v>
      </c>
      <c r="K52" s="528">
        <v>0</v>
      </c>
      <c r="L52" s="528">
        <v>205870</v>
      </c>
      <c r="M52" s="528">
        <v>8200</v>
      </c>
      <c r="N52" s="528">
        <v>0</v>
      </c>
      <c r="O52" s="528">
        <v>0</v>
      </c>
      <c r="P52" s="528">
        <v>282885.22000000003</v>
      </c>
      <c r="Q52" s="528">
        <v>-76915.960000000006</v>
      </c>
      <c r="R52" s="528">
        <v>0</v>
      </c>
      <c r="S52" s="528">
        <v>0</v>
      </c>
      <c r="T52" s="528">
        <v>58570.29</v>
      </c>
      <c r="U52" s="528">
        <v>0</v>
      </c>
      <c r="V52" s="528">
        <v>0</v>
      </c>
      <c r="W52" s="528">
        <v>8630</v>
      </c>
      <c r="X52" s="528">
        <v>20770</v>
      </c>
      <c r="Y52" s="528">
        <v>3033137.4600000004</v>
      </c>
      <c r="Z52" s="528">
        <v>1462123.37</v>
      </c>
      <c r="AA52" s="528">
        <v>0</v>
      </c>
      <c r="AB52" s="528">
        <v>526058.76</v>
      </c>
      <c r="AC52" s="528">
        <v>99382.53</v>
      </c>
      <c r="AD52" s="528">
        <v>147668.75</v>
      </c>
      <c r="AE52" s="528">
        <v>0</v>
      </c>
      <c r="AF52" s="528">
        <v>159328.78</v>
      </c>
      <c r="AG52" s="528">
        <v>2758.13</v>
      </c>
      <c r="AH52" s="528">
        <v>7180.6</v>
      </c>
      <c r="AI52" s="528">
        <v>0</v>
      </c>
      <c r="AJ52" s="528">
        <v>0</v>
      </c>
      <c r="AK52" s="528">
        <v>60410.11</v>
      </c>
      <c r="AL52" s="528">
        <v>0</v>
      </c>
      <c r="AM52" s="528">
        <v>6983.98</v>
      </c>
      <c r="AN52" s="528">
        <v>13157.78</v>
      </c>
      <c r="AO52" s="528">
        <v>89945.45</v>
      </c>
      <c r="AP52" s="528">
        <v>20481.73</v>
      </c>
      <c r="AQ52" s="528">
        <v>4356.8999999999996</v>
      </c>
      <c r="AR52" s="528">
        <v>117629.37</v>
      </c>
      <c r="AS52" s="528">
        <v>40730.47</v>
      </c>
      <c r="AT52" s="528">
        <v>0</v>
      </c>
      <c r="AU52" s="528">
        <v>27239.759999999998</v>
      </c>
      <c r="AV52" s="528">
        <v>12566.4</v>
      </c>
      <c r="AW52" s="528">
        <v>7748.5</v>
      </c>
      <c r="AX52" s="528">
        <v>3308.64</v>
      </c>
      <c r="AY52" s="528">
        <v>201347.6</v>
      </c>
      <c r="AZ52" s="528">
        <v>132217.56</v>
      </c>
      <c r="BA52" s="528">
        <v>60235.1</v>
      </c>
      <c r="BB52" s="528">
        <v>0</v>
      </c>
      <c r="BC52" s="528">
        <v>0</v>
      </c>
      <c r="BD52" s="528">
        <v>0</v>
      </c>
      <c r="BE52" s="528">
        <v>3202860.27</v>
      </c>
      <c r="BF52" s="528">
        <v>362818.87000000005</v>
      </c>
      <c r="BG52" s="528">
        <v>-169722.80999999959</v>
      </c>
      <c r="BH52" s="528">
        <v>193096.06000000046</v>
      </c>
      <c r="BI52" s="528">
        <v>9366.25</v>
      </c>
      <c r="BJ52" s="528">
        <v>0</v>
      </c>
      <c r="BK52" s="528">
        <v>0</v>
      </c>
      <c r="BL52" s="528">
        <v>9366.25</v>
      </c>
      <c r="BM52" s="528">
        <v>0</v>
      </c>
      <c r="BN52" s="528">
        <v>0</v>
      </c>
      <c r="BO52" s="528">
        <v>356</v>
      </c>
      <c r="BP52" s="528">
        <v>0</v>
      </c>
      <c r="BQ52" s="528">
        <v>356</v>
      </c>
      <c r="BR52" s="528">
        <v>26804.32</v>
      </c>
      <c r="BS52" s="528">
        <v>9010.25</v>
      </c>
      <c r="BT52" s="528">
        <v>35814.57</v>
      </c>
      <c r="BU52" s="528">
        <v>0</v>
      </c>
      <c r="BV52" s="528">
        <v>0</v>
      </c>
      <c r="BW52" s="528">
        <v>0</v>
      </c>
      <c r="BX52" s="528">
        <v>0</v>
      </c>
      <c r="BY52" s="528">
        <v>0</v>
      </c>
      <c r="BZ52" s="528">
        <v>0</v>
      </c>
      <c r="CA52" s="528">
        <v>0</v>
      </c>
      <c r="CB52" s="528">
        <v>0</v>
      </c>
      <c r="CC52" s="528">
        <v>0</v>
      </c>
      <c r="CD52" s="528">
        <v>193096.06000000046</v>
      </c>
      <c r="CE52" s="528">
        <v>0</v>
      </c>
      <c r="CF52" s="528">
        <v>35814.57</v>
      </c>
      <c r="CG52" s="528">
        <v>0</v>
      </c>
      <c r="CH52" s="528">
        <v>0</v>
      </c>
      <c r="CI52" s="528">
        <f t="shared" si="0"/>
        <v>228910.63000000047</v>
      </c>
      <c r="CJ52" s="528">
        <v>457810.94</v>
      </c>
      <c r="CK52" s="528">
        <v>217863.12</v>
      </c>
      <c r="CL52" s="528">
        <v>0</v>
      </c>
      <c r="CM52" s="528">
        <v>239947.82</v>
      </c>
      <c r="CN52" s="528">
        <v>0</v>
      </c>
      <c r="CO52" s="528">
        <v>0</v>
      </c>
      <c r="CP52" s="528">
        <v>9419.92</v>
      </c>
      <c r="CQ52" s="528">
        <v>0</v>
      </c>
      <c r="CR52" s="528">
        <v>0</v>
      </c>
      <c r="CS52" s="528">
        <v>249367.74000000002</v>
      </c>
      <c r="CT52" s="528">
        <v>1321.19</v>
      </c>
      <c r="CU52" s="528">
        <v>0</v>
      </c>
      <c r="CV52" s="528">
        <v>0</v>
      </c>
      <c r="CW52" s="528">
        <v>1321.19</v>
      </c>
      <c r="CX52" s="528"/>
      <c r="CY52" s="528"/>
      <c r="CZ52" s="528"/>
      <c r="DA52" s="528">
        <v>0</v>
      </c>
      <c r="DB52" s="528">
        <v>1321.19</v>
      </c>
      <c r="DC52" s="528">
        <v>0</v>
      </c>
      <c r="DD52" s="528">
        <v>699.21</v>
      </c>
      <c r="DE52" s="528">
        <v>0</v>
      </c>
      <c r="DF52" s="528">
        <v>0</v>
      </c>
      <c r="DG52" s="528">
        <v>-22477.51</v>
      </c>
      <c r="DH52" s="528">
        <v>0</v>
      </c>
      <c r="DI52" s="528">
        <v>0</v>
      </c>
      <c r="DJ52" s="528">
        <v>0</v>
      </c>
      <c r="DK52" s="528">
        <v>-21778.3</v>
      </c>
      <c r="DL52" s="528">
        <v>0</v>
      </c>
      <c r="DM52" s="528">
        <v>0</v>
      </c>
      <c r="DN52" s="528">
        <v>0</v>
      </c>
      <c r="DO52" s="528">
        <v>0</v>
      </c>
      <c r="DP52" s="528">
        <v>0</v>
      </c>
      <c r="DQ52" s="529"/>
      <c r="DR52" s="530">
        <v>2397320.3199999998</v>
      </c>
      <c r="DS52" s="531">
        <v>805539.95000000019</v>
      </c>
      <c r="DT52" s="530">
        <v>201347.6</v>
      </c>
      <c r="DU52" s="530">
        <v>264539.55</v>
      </c>
      <c r="DV52" s="530">
        <v>0</v>
      </c>
      <c r="DW52" s="530">
        <v>0</v>
      </c>
    </row>
    <row r="53" spans="1:127" s="103" customFormat="1">
      <c r="A53" s="525">
        <v>2464</v>
      </c>
      <c r="B53" s="526" t="s">
        <v>865</v>
      </c>
      <c r="C53" s="525">
        <v>2464</v>
      </c>
      <c r="D53" s="527" t="s">
        <v>1284</v>
      </c>
      <c r="E53" s="527" t="s">
        <v>538</v>
      </c>
      <c r="F53" s="527" t="s">
        <v>5</v>
      </c>
      <c r="G53" s="527" t="s">
        <v>957</v>
      </c>
      <c r="H53" s="528">
        <v>2056319.81</v>
      </c>
      <c r="I53" s="528">
        <v>0</v>
      </c>
      <c r="J53" s="528">
        <v>57915.92</v>
      </c>
      <c r="K53" s="528">
        <v>0</v>
      </c>
      <c r="L53" s="528">
        <v>44710</v>
      </c>
      <c r="M53" s="528">
        <v>7713.86</v>
      </c>
      <c r="N53" s="528">
        <v>0</v>
      </c>
      <c r="O53" s="528">
        <v>19716.75</v>
      </c>
      <c r="P53" s="528">
        <v>224076.69000000006</v>
      </c>
      <c r="Q53" s="528">
        <v>38934.47</v>
      </c>
      <c r="R53" s="528">
        <v>0</v>
      </c>
      <c r="S53" s="528">
        <v>0</v>
      </c>
      <c r="T53" s="528">
        <v>104816.93</v>
      </c>
      <c r="U53" s="528">
        <v>0</v>
      </c>
      <c r="V53" s="528">
        <v>0</v>
      </c>
      <c r="W53" s="528">
        <v>716.25</v>
      </c>
      <c r="X53" s="528">
        <v>94681</v>
      </c>
      <c r="Y53" s="528">
        <v>2649601.6800000002</v>
      </c>
      <c r="Z53" s="528">
        <v>1173370.9500000007</v>
      </c>
      <c r="AA53" s="528">
        <v>-209.02999999999997</v>
      </c>
      <c r="AB53" s="528">
        <v>4742.4299999999994</v>
      </c>
      <c r="AC53" s="528">
        <v>351290.53000000049</v>
      </c>
      <c r="AD53" s="528">
        <v>133.75999999999991</v>
      </c>
      <c r="AE53" s="528">
        <v>0</v>
      </c>
      <c r="AF53" s="528">
        <v>402802.51999999915</v>
      </c>
      <c r="AG53" s="528">
        <v>-6032.2500000000036</v>
      </c>
      <c r="AH53" s="528">
        <v>80</v>
      </c>
      <c r="AI53" s="528">
        <v>0</v>
      </c>
      <c r="AJ53" s="528">
        <v>0</v>
      </c>
      <c r="AK53" s="528">
        <v>10504.41</v>
      </c>
      <c r="AL53" s="528">
        <v>0</v>
      </c>
      <c r="AM53" s="528">
        <v>4853.7</v>
      </c>
      <c r="AN53" s="528">
        <v>3048.22</v>
      </c>
      <c r="AO53" s="528">
        <v>89608.62999999999</v>
      </c>
      <c r="AP53" s="528">
        <v>32064.81</v>
      </c>
      <c r="AQ53" s="528">
        <v>3457.3</v>
      </c>
      <c r="AR53" s="528">
        <v>363217.63</v>
      </c>
      <c r="AS53" s="528">
        <v>851.4</v>
      </c>
      <c r="AT53" s="528">
        <v>0</v>
      </c>
      <c r="AU53" s="528">
        <v>-31699.740000000009</v>
      </c>
      <c r="AV53" s="528">
        <v>9471</v>
      </c>
      <c r="AW53" s="528">
        <v>0</v>
      </c>
      <c r="AX53" s="528">
        <v>153044.06</v>
      </c>
      <c r="AY53" s="528">
        <v>2304.9299999999998</v>
      </c>
      <c r="AZ53" s="528">
        <v>10454.19</v>
      </c>
      <c r="BA53" s="528">
        <v>73544.649999999994</v>
      </c>
      <c r="BB53" s="528">
        <v>0</v>
      </c>
      <c r="BC53" s="528">
        <v>0</v>
      </c>
      <c r="BD53" s="528">
        <v>0</v>
      </c>
      <c r="BE53" s="528">
        <v>2650904.0999999996</v>
      </c>
      <c r="BF53" s="528">
        <v>-373296.31000000017</v>
      </c>
      <c r="BG53" s="528">
        <v>-1302.4199999994598</v>
      </c>
      <c r="BH53" s="528">
        <v>-374598.72999999963</v>
      </c>
      <c r="BI53" s="528">
        <v>8657.5</v>
      </c>
      <c r="BJ53" s="528">
        <v>0</v>
      </c>
      <c r="BK53" s="528">
        <v>0</v>
      </c>
      <c r="BL53" s="528">
        <v>8657.5</v>
      </c>
      <c r="BM53" s="528">
        <v>0</v>
      </c>
      <c r="BN53" s="528">
        <v>2685.32</v>
      </c>
      <c r="BO53" s="528">
        <v>0</v>
      </c>
      <c r="BP53" s="528">
        <v>0</v>
      </c>
      <c r="BQ53" s="528">
        <v>2685.32</v>
      </c>
      <c r="BR53" s="528">
        <v>10848.38</v>
      </c>
      <c r="BS53" s="528">
        <v>5972.18</v>
      </c>
      <c r="BT53" s="528">
        <v>16820.559999999998</v>
      </c>
      <c r="BU53" s="528">
        <v>0</v>
      </c>
      <c r="BV53" s="528">
        <v>0</v>
      </c>
      <c r="BW53" s="528">
        <v>0</v>
      </c>
      <c r="BX53" s="528">
        <v>0</v>
      </c>
      <c r="BY53" s="528">
        <v>0</v>
      </c>
      <c r="BZ53" s="528">
        <v>0</v>
      </c>
      <c r="CA53" s="528">
        <v>0</v>
      </c>
      <c r="CB53" s="528">
        <v>0</v>
      </c>
      <c r="CC53" s="528">
        <v>0</v>
      </c>
      <c r="CD53" s="528">
        <v>-374598.72999999963</v>
      </c>
      <c r="CE53" s="528">
        <v>0</v>
      </c>
      <c r="CF53" s="528">
        <v>16820.559999999998</v>
      </c>
      <c r="CG53" s="528">
        <v>0</v>
      </c>
      <c r="CH53" s="528">
        <v>0</v>
      </c>
      <c r="CI53" s="528">
        <f t="shared" si="0"/>
        <v>-357778.16999999963</v>
      </c>
      <c r="CJ53" s="528">
        <v>0</v>
      </c>
      <c r="CK53" s="528">
        <v>0</v>
      </c>
      <c r="CL53" s="528">
        <v>0</v>
      </c>
      <c r="CM53" s="528">
        <v>0</v>
      </c>
      <c r="CN53" s="528">
        <v>0</v>
      </c>
      <c r="CO53" s="528">
        <v>0</v>
      </c>
      <c r="CP53" s="528">
        <v>0</v>
      </c>
      <c r="CQ53" s="528">
        <v>0</v>
      </c>
      <c r="CR53" s="528">
        <v>0</v>
      </c>
      <c r="CS53" s="528">
        <v>0</v>
      </c>
      <c r="CT53" s="528">
        <v>0</v>
      </c>
      <c r="CU53" s="528">
        <v>0</v>
      </c>
      <c r="CV53" s="528">
        <v>0</v>
      </c>
      <c r="CW53" s="528">
        <v>0</v>
      </c>
      <c r="CX53" s="528"/>
      <c r="CY53" s="528"/>
      <c r="CZ53" s="528"/>
      <c r="DA53" s="528">
        <v>-311924.47999999998</v>
      </c>
      <c r="DB53" s="528">
        <v>-311924.47999999998</v>
      </c>
      <c r="DC53" s="528">
        <v>0</v>
      </c>
      <c r="DD53" s="528">
        <v>109.2</v>
      </c>
      <c r="DE53" s="528">
        <v>0</v>
      </c>
      <c r="DF53" s="528">
        <v>0</v>
      </c>
      <c r="DG53" s="528">
        <v>0</v>
      </c>
      <c r="DH53" s="528">
        <v>0</v>
      </c>
      <c r="DI53" s="528">
        <v>0</v>
      </c>
      <c r="DJ53" s="528">
        <v>0</v>
      </c>
      <c r="DK53" s="528">
        <v>109.2</v>
      </c>
      <c r="DL53" s="528">
        <v>0</v>
      </c>
      <c r="DM53" s="528">
        <v>0</v>
      </c>
      <c r="DN53" s="528">
        <v>0</v>
      </c>
      <c r="DO53" s="528">
        <v>0</v>
      </c>
      <c r="DP53" s="528">
        <v>0</v>
      </c>
      <c r="DQ53" s="529">
        <v>0</v>
      </c>
      <c r="DR53" s="530">
        <v>1926098.9100000001</v>
      </c>
      <c r="DS53" s="531">
        <v>724805.18999999948</v>
      </c>
      <c r="DT53" s="530">
        <v>2304.9299999999998</v>
      </c>
      <c r="DU53" s="530">
        <v>387544.84</v>
      </c>
      <c r="DV53" s="530">
        <v>0</v>
      </c>
      <c r="DW53" s="530">
        <v>0</v>
      </c>
    </row>
    <row r="54" spans="1:127" s="103" customFormat="1">
      <c r="A54" s="525">
        <v>3320</v>
      </c>
      <c r="B54" s="526" t="s">
        <v>620</v>
      </c>
      <c r="C54" s="525">
        <v>3320</v>
      </c>
      <c r="D54" s="527" t="s">
        <v>1284</v>
      </c>
      <c r="E54" s="527" t="s">
        <v>538</v>
      </c>
      <c r="F54" s="527" t="s">
        <v>5</v>
      </c>
      <c r="G54" s="527" t="s">
        <v>535</v>
      </c>
      <c r="H54" s="528">
        <v>2472474.52</v>
      </c>
      <c r="I54" s="528">
        <v>0</v>
      </c>
      <c r="J54" s="528">
        <v>83517.919999999998</v>
      </c>
      <c r="K54" s="528">
        <v>0</v>
      </c>
      <c r="L54" s="528">
        <v>366180</v>
      </c>
      <c r="M54" s="528">
        <v>2213</v>
      </c>
      <c r="N54" s="528">
        <v>4626.07</v>
      </c>
      <c r="O54" s="528">
        <v>0</v>
      </c>
      <c r="P54" s="528">
        <v>105225.66999999998</v>
      </c>
      <c r="Q54" s="528">
        <v>18628.86</v>
      </c>
      <c r="R54" s="528">
        <v>0</v>
      </c>
      <c r="S54" s="528">
        <v>0</v>
      </c>
      <c r="T54" s="528">
        <v>17769.720000000008</v>
      </c>
      <c r="U54" s="528">
        <v>0</v>
      </c>
      <c r="V54" s="528">
        <v>0</v>
      </c>
      <c r="W54" s="528">
        <v>19447.830000000002</v>
      </c>
      <c r="X54" s="528">
        <v>56772</v>
      </c>
      <c r="Y54" s="528">
        <v>3146855.59</v>
      </c>
      <c r="Z54" s="528">
        <v>1298248.9700000011</v>
      </c>
      <c r="AA54" s="528">
        <v>11488.24</v>
      </c>
      <c r="AB54" s="528">
        <v>601038.44000000006</v>
      </c>
      <c r="AC54" s="528">
        <v>40908.739999999874</v>
      </c>
      <c r="AD54" s="528">
        <v>76361.86</v>
      </c>
      <c r="AE54" s="528">
        <v>0</v>
      </c>
      <c r="AF54" s="528">
        <v>98730.10999999987</v>
      </c>
      <c r="AG54" s="528">
        <v>2090.3999999999778</v>
      </c>
      <c r="AH54" s="528">
        <v>15365.03</v>
      </c>
      <c r="AI54" s="528">
        <v>0</v>
      </c>
      <c r="AJ54" s="528">
        <v>0</v>
      </c>
      <c r="AK54" s="528">
        <v>186196.31</v>
      </c>
      <c r="AL54" s="528">
        <v>3155.5</v>
      </c>
      <c r="AM54" s="528">
        <v>40723.990000000005</v>
      </c>
      <c r="AN54" s="528">
        <v>1492.1199999999997</v>
      </c>
      <c r="AO54" s="528">
        <v>39130.990000000013</v>
      </c>
      <c r="AP54" s="528">
        <v>49686.5</v>
      </c>
      <c r="AQ54" s="528">
        <v>60753.2</v>
      </c>
      <c r="AR54" s="528">
        <v>132277.19</v>
      </c>
      <c r="AS54" s="528">
        <v>55827.69</v>
      </c>
      <c r="AT54" s="528">
        <v>0</v>
      </c>
      <c r="AU54" s="528">
        <v>27938.359999999942</v>
      </c>
      <c r="AV54" s="528">
        <v>0</v>
      </c>
      <c r="AW54" s="528">
        <v>2415</v>
      </c>
      <c r="AX54" s="528">
        <v>85292.359999999986</v>
      </c>
      <c r="AY54" s="528">
        <v>52931.500000000007</v>
      </c>
      <c r="AZ54" s="528">
        <v>10479.26</v>
      </c>
      <c r="BA54" s="528">
        <v>53870.889999999992</v>
      </c>
      <c r="BB54" s="528">
        <v>0</v>
      </c>
      <c r="BC54" s="528">
        <v>0</v>
      </c>
      <c r="BD54" s="528">
        <v>0</v>
      </c>
      <c r="BE54" s="528">
        <v>2946402.6500000013</v>
      </c>
      <c r="BF54" s="528">
        <v>961994.23000000021</v>
      </c>
      <c r="BG54" s="528">
        <v>200452.93999999855</v>
      </c>
      <c r="BH54" s="528">
        <v>1162447.1699999988</v>
      </c>
      <c r="BI54" s="528">
        <v>0</v>
      </c>
      <c r="BJ54" s="528">
        <v>0</v>
      </c>
      <c r="BK54" s="528">
        <v>0</v>
      </c>
      <c r="BL54" s="528">
        <v>0</v>
      </c>
      <c r="BM54" s="528">
        <v>0</v>
      </c>
      <c r="BN54" s="528">
        <v>0</v>
      </c>
      <c r="BO54" s="528">
        <v>0</v>
      </c>
      <c r="BP54" s="528">
        <v>0</v>
      </c>
      <c r="BQ54" s="528">
        <v>0</v>
      </c>
      <c r="BR54" s="528">
        <v>0</v>
      </c>
      <c r="BS54" s="528">
        <v>0</v>
      </c>
      <c r="BT54" s="528">
        <v>0</v>
      </c>
      <c r="BU54" s="528">
        <v>0</v>
      </c>
      <c r="BV54" s="528">
        <v>0</v>
      </c>
      <c r="BW54" s="528">
        <v>0</v>
      </c>
      <c r="BX54" s="528">
        <v>0</v>
      </c>
      <c r="BY54" s="528">
        <v>0</v>
      </c>
      <c r="BZ54" s="528">
        <v>0</v>
      </c>
      <c r="CA54" s="528">
        <v>0</v>
      </c>
      <c r="CB54" s="528">
        <v>0</v>
      </c>
      <c r="CC54" s="528">
        <v>0</v>
      </c>
      <c r="CD54" s="528">
        <v>1162447.1699999988</v>
      </c>
      <c r="CE54" s="528">
        <v>0</v>
      </c>
      <c r="CF54" s="528">
        <v>0</v>
      </c>
      <c r="CG54" s="528">
        <v>0</v>
      </c>
      <c r="CH54" s="528">
        <v>0</v>
      </c>
      <c r="CI54" s="528">
        <f t="shared" si="0"/>
        <v>1162447.1699999988</v>
      </c>
      <c r="CJ54" s="528">
        <v>1389734.17</v>
      </c>
      <c r="CK54" s="528">
        <v>0</v>
      </c>
      <c r="CL54" s="528">
        <v>0</v>
      </c>
      <c r="CM54" s="528">
        <v>1389734.17</v>
      </c>
      <c r="CN54" s="528">
        <v>-700</v>
      </c>
      <c r="CO54" s="528">
        <v>0</v>
      </c>
      <c r="CP54" s="528">
        <v>12972.62</v>
      </c>
      <c r="CQ54" s="528">
        <v>0</v>
      </c>
      <c r="CR54" s="528">
        <v>-226408.71999999991</v>
      </c>
      <c r="CS54" s="528">
        <v>1175598.07</v>
      </c>
      <c r="CT54" s="528">
        <v>0</v>
      </c>
      <c r="CU54" s="528">
        <v>0</v>
      </c>
      <c r="CV54" s="528">
        <v>0</v>
      </c>
      <c r="CW54" s="528">
        <v>0</v>
      </c>
      <c r="CX54" s="528"/>
      <c r="CY54" s="528"/>
      <c r="CZ54" s="528"/>
      <c r="DA54" s="528">
        <v>0</v>
      </c>
      <c r="DB54" s="528">
        <v>0</v>
      </c>
      <c r="DC54" s="528">
        <v>0</v>
      </c>
      <c r="DD54" s="528">
        <v>28794.46</v>
      </c>
      <c r="DE54" s="528">
        <v>0</v>
      </c>
      <c r="DF54" s="528">
        <v>0</v>
      </c>
      <c r="DG54" s="528">
        <v>-6767.39</v>
      </c>
      <c r="DH54" s="528">
        <v>-35178.44</v>
      </c>
      <c r="DI54" s="528">
        <v>0</v>
      </c>
      <c r="DJ54" s="528">
        <v>0</v>
      </c>
      <c r="DK54" s="528">
        <v>-13151.370000000003</v>
      </c>
      <c r="DL54" s="528">
        <v>0</v>
      </c>
      <c r="DM54" s="528">
        <v>0</v>
      </c>
      <c r="DN54" s="528">
        <v>0</v>
      </c>
      <c r="DO54" s="528">
        <v>0</v>
      </c>
      <c r="DP54" s="528">
        <v>0</v>
      </c>
      <c r="DQ54" s="529">
        <v>0.46999999997206032</v>
      </c>
      <c r="DR54" s="530">
        <v>2128866.7600000012</v>
      </c>
      <c r="DS54" s="531">
        <v>817535.89000000013</v>
      </c>
      <c r="DT54" s="530">
        <v>52931.500000000007</v>
      </c>
      <c r="DU54" s="530">
        <v>141624.25</v>
      </c>
      <c r="DV54" s="530">
        <v>0</v>
      </c>
      <c r="DW54" s="530">
        <v>0</v>
      </c>
    </row>
    <row r="55" spans="1:127" s="103" customFormat="1">
      <c r="A55" s="525">
        <v>2055</v>
      </c>
      <c r="B55" s="526" t="s">
        <v>622</v>
      </c>
      <c r="C55" s="525">
        <v>2055</v>
      </c>
      <c r="D55" s="527" t="s">
        <v>1284</v>
      </c>
      <c r="E55" s="527" t="s">
        <v>538</v>
      </c>
      <c r="F55" s="527" t="s">
        <v>5</v>
      </c>
      <c r="G55" s="527" t="s">
        <v>535</v>
      </c>
      <c r="H55" s="528">
        <v>2370472.5099999998</v>
      </c>
      <c r="I55" s="528">
        <v>0</v>
      </c>
      <c r="J55" s="528">
        <v>93328.27</v>
      </c>
      <c r="K55" s="528">
        <v>0</v>
      </c>
      <c r="L55" s="528">
        <v>168280</v>
      </c>
      <c r="M55" s="528">
        <v>1056.93</v>
      </c>
      <c r="N55" s="528">
        <v>0</v>
      </c>
      <c r="O55" s="528">
        <v>8584</v>
      </c>
      <c r="P55" s="528">
        <v>5788.95</v>
      </c>
      <c r="Q55" s="528">
        <v>37139.199999999997</v>
      </c>
      <c r="R55" s="528">
        <v>0</v>
      </c>
      <c r="S55" s="528">
        <v>0</v>
      </c>
      <c r="T55" s="528">
        <v>56716.7</v>
      </c>
      <c r="U55" s="528">
        <v>220264.56</v>
      </c>
      <c r="V55" s="528">
        <v>0</v>
      </c>
      <c r="W55" s="528">
        <v>2670.83</v>
      </c>
      <c r="X55" s="528">
        <v>86394</v>
      </c>
      <c r="Y55" s="528">
        <v>3050695.9500000007</v>
      </c>
      <c r="Z55" s="528">
        <v>1328057.29</v>
      </c>
      <c r="AA55" s="528">
        <v>0</v>
      </c>
      <c r="AB55" s="528">
        <v>339128.35</v>
      </c>
      <c r="AC55" s="528">
        <v>250.25</v>
      </c>
      <c r="AD55" s="528">
        <v>420195.53</v>
      </c>
      <c r="AE55" s="528">
        <v>0</v>
      </c>
      <c r="AF55" s="528">
        <v>211816.08</v>
      </c>
      <c r="AG55" s="528">
        <v>9356.8700000000008</v>
      </c>
      <c r="AH55" s="528">
        <v>16148</v>
      </c>
      <c r="AI55" s="528">
        <v>0</v>
      </c>
      <c r="AJ55" s="528">
        <v>0</v>
      </c>
      <c r="AK55" s="528">
        <v>32195.46</v>
      </c>
      <c r="AL55" s="528">
        <v>0</v>
      </c>
      <c r="AM55" s="528">
        <v>36403.410000000003</v>
      </c>
      <c r="AN55" s="528">
        <v>5395.17</v>
      </c>
      <c r="AO55" s="528">
        <v>40573.040000000001</v>
      </c>
      <c r="AP55" s="528">
        <v>27824.83</v>
      </c>
      <c r="AQ55" s="528">
        <v>2125.7399999999998</v>
      </c>
      <c r="AR55" s="528">
        <v>100041.37</v>
      </c>
      <c r="AS55" s="528">
        <v>100292.28</v>
      </c>
      <c r="AT55" s="528">
        <v>0</v>
      </c>
      <c r="AU55" s="528">
        <v>2217.77</v>
      </c>
      <c r="AV55" s="528">
        <v>11075</v>
      </c>
      <c r="AW55" s="528">
        <v>4078</v>
      </c>
      <c r="AX55" s="528">
        <v>130413.16</v>
      </c>
      <c r="AY55" s="528">
        <v>76482.34</v>
      </c>
      <c r="AZ55" s="528">
        <v>65904.69</v>
      </c>
      <c r="BA55" s="528">
        <v>74150.490000000005</v>
      </c>
      <c r="BB55" s="528">
        <v>0</v>
      </c>
      <c r="BC55" s="528">
        <v>0</v>
      </c>
      <c r="BD55" s="528">
        <v>46572.77</v>
      </c>
      <c r="BE55" s="528">
        <v>3080697.8900000006</v>
      </c>
      <c r="BF55" s="528">
        <v>462765.31000000011</v>
      </c>
      <c r="BG55" s="528">
        <v>-30001.939999999944</v>
      </c>
      <c r="BH55" s="528">
        <v>432763.37000000017</v>
      </c>
      <c r="BI55" s="528">
        <v>8948.2000000000007</v>
      </c>
      <c r="BJ55" s="528">
        <v>0</v>
      </c>
      <c r="BK55" s="528">
        <v>46572.77</v>
      </c>
      <c r="BL55" s="528">
        <v>55520.97</v>
      </c>
      <c r="BM55" s="528">
        <v>0</v>
      </c>
      <c r="BN55" s="528">
        <v>0</v>
      </c>
      <c r="BO55" s="528">
        <v>0</v>
      </c>
      <c r="BP55" s="528">
        <v>61482</v>
      </c>
      <c r="BQ55" s="528">
        <v>61482</v>
      </c>
      <c r="BR55" s="528">
        <v>5961.0299999999988</v>
      </c>
      <c r="BS55" s="528">
        <v>-5961.0299999999988</v>
      </c>
      <c r="BT55" s="528">
        <v>0</v>
      </c>
      <c r="BU55" s="528">
        <v>0</v>
      </c>
      <c r="BV55" s="528">
        <v>0</v>
      </c>
      <c r="BW55" s="528">
        <v>0</v>
      </c>
      <c r="BX55" s="528">
        <v>0</v>
      </c>
      <c r="BY55" s="528">
        <v>0</v>
      </c>
      <c r="BZ55" s="528">
        <v>0</v>
      </c>
      <c r="CA55" s="528">
        <v>0</v>
      </c>
      <c r="CB55" s="528">
        <v>0</v>
      </c>
      <c r="CC55" s="528">
        <v>0</v>
      </c>
      <c r="CD55" s="528">
        <v>432763.37000000017</v>
      </c>
      <c r="CE55" s="528">
        <v>0</v>
      </c>
      <c r="CF55" s="528">
        <v>0</v>
      </c>
      <c r="CG55" s="528">
        <v>0</v>
      </c>
      <c r="CH55" s="528">
        <v>0</v>
      </c>
      <c r="CI55" s="528">
        <f t="shared" si="0"/>
        <v>432763.37000000017</v>
      </c>
      <c r="CJ55" s="528">
        <v>601681.48</v>
      </c>
      <c r="CK55" s="528">
        <v>190432.74</v>
      </c>
      <c r="CL55" s="528">
        <v>0</v>
      </c>
      <c r="CM55" s="528">
        <v>411248.74</v>
      </c>
      <c r="CN55" s="528">
        <v>0</v>
      </c>
      <c r="CO55" s="528">
        <v>0</v>
      </c>
      <c r="CP55" s="528">
        <v>4944.34</v>
      </c>
      <c r="CQ55" s="528">
        <v>0</v>
      </c>
      <c r="CR55" s="528">
        <v>12769.87</v>
      </c>
      <c r="CS55" s="528">
        <v>428962.95</v>
      </c>
      <c r="CT55" s="528">
        <v>0</v>
      </c>
      <c r="CU55" s="528">
        <v>0</v>
      </c>
      <c r="CV55" s="528">
        <v>0</v>
      </c>
      <c r="CW55" s="528">
        <v>0</v>
      </c>
      <c r="CX55" s="528"/>
      <c r="CY55" s="528"/>
      <c r="CZ55" s="528"/>
      <c r="DA55" s="528">
        <v>0</v>
      </c>
      <c r="DB55" s="528">
        <v>0</v>
      </c>
      <c r="DC55" s="528">
        <v>0</v>
      </c>
      <c r="DD55" s="528">
        <v>3800.75</v>
      </c>
      <c r="DE55" s="528">
        <v>0</v>
      </c>
      <c r="DF55" s="528">
        <v>0</v>
      </c>
      <c r="DG55" s="528">
        <v>0</v>
      </c>
      <c r="DH55" s="528">
        <v>0</v>
      </c>
      <c r="DI55" s="528">
        <v>0</v>
      </c>
      <c r="DJ55" s="528">
        <v>0</v>
      </c>
      <c r="DK55" s="528">
        <v>3800.75</v>
      </c>
      <c r="DL55" s="528">
        <v>0</v>
      </c>
      <c r="DM55" s="528">
        <v>0</v>
      </c>
      <c r="DN55" s="528">
        <v>0</v>
      </c>
      <c r="DO55" s="528">
        <v>0</v>
      </c>
      <c r="DP55" s="528">
        <v>0</v>
      </c>
      <c r="DQ55" s="529"/>
      <c r="DR55" s="530">
        <v>2308804.37</v>
      </c>
      <c r="DS55" s="531">
        <v>771893.52000000048</v>
      </c>
      <c r="DT55" s="530">
        <v>76482.34</v>
      </c>
      <c r="DU55" s="530">
        <v>108228.84999999999</v>
      </c>
      <c r="DV55" s="530">
        <v>220264.56</v>
      </c>
      <c r="DW55" s="530">
        <v>0</v>
      </c>
    </row>
    <row r="56" spans="1:127" s="103" customFormat="1">
      <c r="A56" s="525">
        <v>1802</v>
      </c>
      <c r="B56" s="526" t="s">
        <v>885</v>
      </c>
      <c r="C56" s="525">
        <v>1802</v>
      </c>
      <c r="D56" s="527" t="s">
        <v>1284</v>
      </c>
      <c r="E56" s="527" t="s">
        <v>534</v>
      </c>
      <c r="F56" s="527" t="s">
        <v>5</v>
      </c>
      <c r="G56" s="527" t="s">
        <v>958</v>
      </c>
      <c r="H56" s="528">
        <v>652598</v>
      </c>
      <c r="I56" s="528">
        <v>0</v>
      </c>
      <c r="J56" s="528">
        <v>29633</v>
      </c>
      <c r="K56" s="528">
        <v>0</v>
      </c>
      <c r="L56" s="528">
        <v>0</v>
      </c>
      <c r="M56" s="528">
        <v>0</v>
      </c>
      <c r="N56" s="528">
        <v>0</v>
      </c>
      <c r="O56" s="528">
        <v>0</v>
      </c>
      <c r="P56" s="528">
        <v>652</v>
      </c>
      <c r="Q56" s="528">
        <v>0</v>
      </c>
      <c r="R56" s="528">
        <v>0</v>
      </c>
      <c r="S56" s="528">
        <v>0</v>
      </c>
      <c r="T56" s="528">
        <v>20660</v>
      </c>
      <c r="U56" s="528">
        <v>23980</v>
      </c>
      <c r="V56" s="528">
        <v>0</v>
      </c>
      <c r="W56" s="528">
        <v>0</v>
      </c>
      <c r="X56" s="528">
        <v>0</v>
      </c>
      <c r="Y56" s="528">
        <v>727523</v>
      </c>
      <c r="Z56" s="528">
        <v>131645</v>
      </c>
      <c r="AA56" s="528">
        <v>2329</v>
      </c>
      <c r="AB56" s="528">
        <v>230074</v>
      </c>
      <c r="AC56" s="528">
        <v>14553</v>
      </c>
      <c r="AD56" s="528">
        <v>32058</v>
      </c>
      <c r="AE56" s="528">
        <v>0</v>
      </c>
      <c r="AF56" s="528">
        <v>29194</v>
      </c>
      <c r="AG56" s="528">
        <v>1922</v>
      </c>
      <c r="AH56" s="528">
        <v>852</v>
      </c>
      <c r="AI56" s="528">
        <v>2477</v>
      </c>
      <c r="AJ56" s="528">
        <v>0</v>
      </c>
      <c r="AK56" s="528">
        <v>0</v>
      </c>
      <c r="AL56" s="528">
        <v>0</v>
      </c>
      <c r="AM56" s="528">
        <v>3706</v>
      </c>
      <c r="AN56" s="528">
        <v>1015</v>
      </c>
      <c r="AO56" s="528">
        <v>15207</v>
      </c>
      <c r="AP56" s="528">
        <v>0</v>
      </c>
      <c r="AQ56" s="528">
        <v>-6125</v>
      </c>
      <c r="AR56" s="528">
        <v>12637</v>
      </c>
      <c r="AS56" s="528">
        <v>6697</v>
      </c>
      <c r="AT56" s="528">
        <v>0</v>
      </c>
      <c r="AU56" s="528">
        <v>4907</v>
      </c>
      <c r="AV56" s="528">
        <v>3292</v>
      </c>
      <c r="AW56" s="528">
        <v>0</v>
      </c>
      <c r="AX56" s="528">
        <v>6019</v>
      </c>
      <c r="AY56" s="528">
        <v>9038</v>
      </c>
      <c r="AZ56" s="528">
        <v>3000</v>
      </c>
      <c r="BA56" s="528">
        <v>35916</v>
      </c>
      <c r="BB56" s="528">
        <v>0</v>
      </c>
      <c r="BC56" s="528">
        <v>0</v>
      </c>
      <c r="BD56" s="528">
        <v>0</v>
      </c>
      <c r="BE56" s="528">
        <v>540413</v>
      </c>
      <c r="BF56" s="528">
        <v>-119817</v>
      </c>
      <c r="BG56" s="528">
        <v>187110</v>
      </c>
      <c r="BH56" s="528">
        <v>67293</v>
      </c>
      <c r="BI56" s="528">
        <v>4709</v>
      </c>
      <c r="BJ56" s="528">
        <v>0</v>
      </c>
      <c r="BK56" s="528">
        <v>0</v>
      </c>
      <c r="BL56" s="528">
        <v>4709</v>
      </c>
      <c r="BM56" s="528">
        <v>0</v>
      </c>
      <c r="BN56" s="528">
        <v>0</v>
      </c>
      <c r="BO56" s="528">
        <v>0</v>
      </c>
      <c r="BP56" s="528">
        <v>0</v>
      </c>
      <c r="BQ56" s="528">
        <v>0</v>
      </c>
      <c r="BR56" s="528">
        <v>15621</v>
      </c>
      <c r="BS56" s="528">
        <v>4709</v>
      </c>
      <c r="BT56" s="528">
        <v>20329</v>
      </c>
      <c r="BU56" s="528">
        <v>0</v>
      </c>
      <c r="BV56" s="528">
        <v>0</v>
      </c>
      <c r="BW56" s="528">
        <v>0</v>
      </c>
      <c r="BX56" s="528">
        <v>0</v>
      </c>
      <c r="BY56" s="528">
        <v>0</v>
      </c>
      <c r="BZ56" s="528">
        <v>0</v>
      </c>
      <c r="CA56" s="528">
        <v>0</v>
      </c>
      <c r="CB56" s="528">
        <v>0</v>
      </c>
      <c r="CC56" s="528">
        <v>0</v>
      </c>
      <c r="CD56" s="528">
        <v>67293</v>
      </c>
      <c r="CE56" s="528">
        <v>0</v>
      </c>
      <c r="CF56" s="528">
        <v>20329</v>
      </c>
      <c r="CG56" s="528">
        <v>0</v>
      </c>
      <c r="CH56" s="528">
        <v>0</v>
      </c>
      <c r="CI56" s="528">
        <f t="shared" si="0"/>
        <v>87622</v>
      </c>
      <c r="CJ56" s="528">
        <v>0</v>
      </c>
      <c r="CK56" s="528">
        <v>0</v>
      </c>
      <c r="CL56" s="528">
        <v>0</v>
      </c>
      <c r="CM56" s="528">
        <v>0</v>
      </c>
      <c r="CN56" s="528">
        <v>602</v>
      </c>
      <c r="CO56" s="528">
        <v>0</v>
      </c>
      <c r="CP56" s="528">
        <v>0</v>
      </c>
      <c r="CQ56" s="528">
        <v>0</v>
      </c>
      <c r="CR56" s="528">
        <v>0</v>
      </c>
      <c r="CS56" s="528">
        <v>602</v>
      </c>
      <c r="CT56" s="528">
        <v>0</v>
      </c>
      <c r="CU56" s="528">
        <v>0</v>
      </c>
      <c r="CV56" s="528">
        <v>0</v>
      </c>
      <c r="CW56" s="528">
        <v>0</v>
      </c>
      <c r="CX56" s="528"/>
      <c r="CY56" s="528"/>
      <c r="CZ56" s="528"/>
      <c r="DA56" s="528">
        <v>85651</v>
      </c>
      <c r="DB56" s="528">
        <v>85651</v>
      </c>
      <c r="DC56" s="528">
        <v>0</v>
      </c>
      <c r="DD56" s="528">
        <v>4980</v>
      </c>
      <c r="DE56" s="528">
        <v>0</v>
      </c>
      <c r="DF56" s="528">
        <v>0</v>
      </c>
      <c r="DG56" s="528">
        <v>-3611</v>
      </c>
      <c r="DH56" s="528">
        <v>0</v>
      </c>
      <c r="DI56" s="528">
        <v>0</v>
      </c>
      <c r="DJ56" s="528">
        <v>0</v>
      </c>
      <c r="DK56" s="528">
        <v>1369</v>
      </c>
      <c r="DL56" s="528">
        <v>0</v>
      </c>
      <c r="DM56" s="528">
        <v>0</v>
      </c>
      <c r="DN56" s="528">
        <v>0</v>
      </c>
      <c r="DO56" s="528">
        <v>0</v>
      </c>
      <c r="DP56" s="528">
        <v>0</v>
      </c>
      <c r="DQ56" s="529">
        <v>-3.2480299999999998E-10</v>
      </c>
      <c r="DR56" s="530">
        <v>441775</v>
      </c>
      <c r="DS56" s="531">
        <v>98638</v>
      </c>
      <c r="DT56" s="530">
        <v>9038</v>
      </c>
      <c r="DU56" s="530">
        <v>21312</v>
      </c>
      <c r="DV56" s="530">
        <v>23980</v>
      </c>
      <c r="DW56" s="530">
        <v>0</v>
      </c>
    </row>
    <row r="57" spans="1:127" s="103" customFormat="1">
      <c r="A57" s="525">
        <v>2454</v>
      </c>
      <c r="B57" s="526" t="s">
        <v>624</v>
      </c>
      <c r="C57" s="525">
        <v>2454</v>
      </c>
      <c r="D57" s="527" t="s">
        <v>1284</v>
      </c>
      <c r="E57" s="527" t="s">
        <v>538</v>
      </c>
      <c r="F57" s="527" t="s">
        <v>5</v>
      </c>
      <c r="G57" s="527" t="s">
        <v>535</v>
      </c>
      <c r="H57" s="528">
        <v>2490809.15</v>
      </c>
      <c r="I57" s="528">
        <v>0</v>
      </c>
      <c r="J57" s="528">
        <v>81608.740000000005</v>
      </c>
      <c r="K57" s="528">
        <v>0</v>
      </c>
      <c r="L57" s="528">
        <v>338450</v>
      </c>
      <c r="M57" s="528">
        <v>5000</v>
      </c>
      <c r="N57" s="528">
        <v>0</v>
      </c>
      <c r="O57" s="528">
        <v>0</v>
      </c>
      <c r="P57" s="528">
        <v>16749.79</v>
      </c>
      <c r="Q57" s="528">
        <v>5166.8499999999985</v>
      </c>
      <c r="R57" s="528">
        <v>0</v>
      </c>
      <c r="S57" s="528">
        <v>0</v>
      </c>
      <c r="T57" s="528">
        <v>11566.340000000004</v>
      </c>
      <c r="U57" s="528">
        <v>41115.46</v>
      </c>
      <c r="V57" s="528">
        <v>0</v>
      </c>
      <c r="W57" s="528">
        <v>10530.46</v>
      </c>
      <c r="X57" s="528">
        <v>43601</v>
      </c>
      <c r="Y57" s="528">
        <v>3044597.79</v>
      </c>
      <c r="Z57" s="528">
        <v>1329186.98</v>
      </c>
      <c r="AA57" s="528">
        <v>0</v>
      </c>
      <c r="AB57" s="528">
        <v>544662.18999999994</v>
      </c>
      <c r="AC57" s="528">
        <v>0</v>
      </c>
      <c r="AD57" s="528">
        <v>133161.1</v>
      </c>
      <c r="AE57" s="528">
        <v>0</v>
      </c>
      <c r="AF57" s="528">
        <v>52521.169999999518</v>
      </c>
      <c r="AG57" s="528">
        <v>9603.0700000000143</v>
      </c>
      <c r="AH57" s="528">
        <v>5502.9</v>
      </c>
      <c r="AI57" s="528">
        <v>0</v>
      </c>
      <c r="AJ57" s="528">
        <v>0</v>
      </c>
      <c r="AK57" s="528">
        <v>33301.320000000007</v>
      </c>
      <c r="AL57" s="528">
        <v>100</v>
      </c>
      <c r="AM57" s="528">
        <v>69340.210000000006</v>
      </c>
      <c r="AN57" s="528">
        <v>9409</v>
      </c>
      <c r="AO57" s="528">
        <v>34598.499999999993</v>
      </c>
      <c r="AP57" s="528">
        <v>30475.86</v>
      </c>
      <c r="AQ57" s="528">
        <v>112203.09999999999</v>
      </c>
      <c r="AR57" s="528">
        <v>165292.99000000002</v>
      </c>
      <c r="AS57" s="528">
        <v>6534.85</v>
      </c>
      <c r="AT57" s="528">
        <v>0</v>
      </c>
      <c r="AU57" s="528">
        <v>118379.38999999998</v>
      </c>
      <c r="AV57" s="528">
        <v>10121</v>
      </c>
      <c r="AW57" s="528">
        <v>7415</v>
      </c>
      <c r="AX57" s="528">
        <v>80005.86</v>
      </c>
      <c r="AY57" s="528">
        <v>94321.499999999985</v>
      </c>
      <c r="AZ57" s="528">
        <v>170</v>
      </c>
      <c r="BA57" s="528">
        <v>224708.80000000002</v>
      </c>
      <c r="BB57" s="528">
        <v>0</v>
      </c>
      <c r="BC57" s="528">
        <v>0</v>
      </c>
      <c r="BD57" s="528">
        <v>0</v>
      </c>
      <c r="BE57" s="528">
        <v>3071014.7899999996</v>
      </c>
      <c r="BF57" s="528">
        <v>510242.99999999983</v>
      </c>
      <c r="BG57" s="528">
        <v>-26416.999999999534</v>
      </c>
      <c r="BH57" s="528">
        <v>483826.00000000029</v>
      </c>
      <c r="BI57" s="528">
        <v>8214.25</v>
      </c>
      <c r="BJ57" s="528">
        <v>0</v>
      </c>
      <c r="BK57" s="528">
        <v>0</v>
      </c>
      <c r="BL57" s="528">
        <v>8214.25</v>
      </c>
      <c r="BM57" s="528">
        <v>0</v>
      </c>
      <c r="BN57" s="528">
        <v>0</v>
      </c>
      <c r="BO57" s="528">
        <v>0</v>
      </c>
      <c r="BP57" s="528">
        <v>0</v>
      </c>
      <c r="BQ57" s="528">
        <v>0</v>
      </c>
      <c r="BR57" s="528">
        <v>8433</v>
      </c>
      <c r="BS57" s="528">
        <v>8214.25</v>
      </c>
      <c r="BT57" s="528">
        <v>16647.25</v>
      </c>
      <c r="BU57" s="528">
        <v>0</v>
      </c>
      <c r="BV57" s="528">
        <v>0</v>
      </c>
      <c r="BW57" s="528">
        <v>0</v>
      </c>
      <c r="BX57" s="528">
        <v>0</v>
      </c>
      <c r="BY57" s="528">
        <v>0</v>
      </c>
      <c r="BZ57" s="528">
        <v>0</v>
      </c>
      <c r="CA57" s="528">
        <v>0</v>
      </c>
      <c r="CB57" s="528">
        <v>0</v>
      </c>
      <c r="CC57" s="528">
        <v>0</v>
      </c>
      <c r="CD57" s="528">
        <v>483826</v>
      </c>
      <c r="CE57" s="528">
        <v>0</v>
      </c>
      <c r="CF57" s="528">
        <v>16647.25</v>
      </c>
      <c r="CG57" s="528">
        <v>0</v>
      </c>
      <c r="CH57" s="528">
        <v>0</v>
      </c>
      <c r="CI57" s="528">
        <f t="shared" si="0"/>
        <v>500473.25</v>
      </c>
      <c r="CJ57" s="528">
        <v>715039.42</v>
      </c>
      <c r="CK57" s="528">
        <v>58727.839999999997</v>
      </c>
      <c r="CL57" s="528">
        <v>0</v>
      </c>
      <c r="CM57" s="528">
        <v>656311.58000000007</v>
      </c>
      <c r="CN57" s="528">
        <v>7.45</v>
      </c>
      <c r="CO57" s="528">
        <v>0</v>
      </c>
      <c r="CP57" s="528">
        <v>16105.49</v>
      </c>
      <c r="CQ57" s="528">
        <v>5297.47</v>
      </c>
      <c r="CR57" s="528">
        <v>-39702.459999999963</v>
      </c>
      <c r="CS57" s="528">
        <v>638019.53</v>
      </c>
      <c r="CT57" s="528">
        <v>0</v>
      </c>
      <c r="CU57" s="528">
        <v>0</v>
      </c>
      <c r="CV57" s="528">
        <v>0</v>
      </c>
      <c r="CW57" s="528">
        <v>0</v>
      </c>
      <c r="CX57" s="528"/>
      <c r="CY57" s="528"/>
      <c r="CZ57" s="528"/>
      <c r="DA57" s="528">
        <v>0</v>
      </c>
      <c r="DB57" s="528">
        <v>0</v>
      </c>
      <c r="DC57" s="528">
        <v>0</v>
      </c>
      <c r="DD57" s="528">
        <v>15974.12</v>
      </c>
      <c r="DE57" s="528">
        <v>0</v>
      </c>
      <c r="DF57" s="528">
        <v>0</v>
      </c>
      <c r="DG57" s="528">
        <v>-21817.39</v>
      </c>
      <c r="DH57" s="528">
        <v>-70314.92</v>
      </c>
      <c r="DI57" s="528">
        <v>0</v>
      </c>
      <c r="DJ57" s="528">
        <v>0</v>
      </c>
      <c r="DK57" s="528">
        <v>-5843.2699999999986</v>
      </c>
      <c r="DL57" s="528">
        <v>0</v>
      </c>
      <c r="DM57" s="528">
        <v>0</v>
      </c>
      <c r="DN57" s="528">
        <v>-250</v>
      </c>
      <c r="DO57" s="528">
        <v>-100841</v>
      </c>
      <c r="DP57" s="528">
        <v>0</v>
      </c>
      <c r="DQ57" s="529">
        <v>-30612.010000000009</v>
      </c>
      <c r="DR57" s="530">
        <v>-30612.010000000038</v>
      </c>
      <c r="DS57" s="531"/>
      <c r="DT57" s="530"/>
      <c r="DU57" s="530"/>
      <c r="DV57" s="530"/>
      <c r="DW57" s="530">
        <v>-101091</v>
      </c>
    </row>
    <row r="58" spans="1:127" s="103" customFormat="1">
      <c r="A58" s="525">
        <v>3321</v>
      </c>
      <c r="B58" s="526" t="s">
        <v>626</v>
      </c>
      <c r="C58" s="525">
        <v>3321</v>
      </c>
      <c r="D58" s="527" t="s">
        <v>1284</v>
      </c>
      <c r="E58" s="527" t="s">
        <v>538</v>
      </c>
      <c r="F58" s="527" t="s">
        <v>5</v>
      </c>
      <c r="G58" s="527" t="s">
        <v>535</v>
      </c>
      <c r="H58" s="528">
        <v>2069498.55</v>
      </c>
      <c r="I58" s="528">
        <v>0</v>
      </c>
      <c r="J58" s="528">
        <v>104150.85</v>
      </c>
      <c r="K58" s="528">
        <v>0</v>
      </c>
      <c r="L58" s="528">
        <v>214210</v>
      </c>
      <c r="M58" s="528">
        <v>8056.93</v>
      </c>
      <c r="N58" s="528">
        <v>0</v>
      </c>
      <c r="O58" s="528">
        <v>0</v>
      </c>
      <c r="P58" s="528">
        <v>28805.299999999996</v>
      </c>
      <c r="Q58" s="528">
        <v>0</v>
      </c>
      <c r="R58" s="528">
        <v>0</v>
      </c>
      <c r="S58" s="528">
        <v>0</v>
      </c>
      <c r="T58" s="528">
        <v>4438.6200000000008</v>
      </c>
      <c r="U58" s="528">
        <v>4950.390000000014</v>
      </c>
      <c r="V58" s="528">
        <v>0</v>
      </c>
      <c r="W58" s="528">
        <v>2833.13</v>
      </c>
      <c r="X58" s="528">
        <v>59241</v>
      </c>
      <c r="Y58" s="528">
        <v>2496184.77</v>
      </c>
      <c r="Z58" s="528">
        <v>1029614.2600000013</v>
      </c>
      <c r="AA58" s="528">
        <v>0</v>
      </c>
      <c r="AB58" s="528">
        <v>425038.67</v>
      </c>
      <c r="AC58" s="528">
        <v>62199.90000000078</v>
      </c>
      <c r="AD58" s="528">
        <v>100726.22</v>
      </c>
      <c r="AE58" s="528">
        <v>0</v>
      </c>
      <c r="AF58" s="528">
        <v>29826.73999999935</v>
      </c>
      <c r="AG58" s="528">
        <v>1.6370904631912708E-11</v>
      </c>
      <c r="AH58" s="528">
        <v>10758.26</v>
      </c>
      <c r="AI58" s="528">
        <v>0</v>
      </c>
      <c r="AJ58" s="528">
        <v>0</v>
      </c>
      <c r="AK58" s="528">
        <v>58068.619999999995</v>
      </c>
      <c r="AL58" s="528">
        <v>8539</v>
      </c>
      <c r="AM58" s="528">
        <v>17594.16</v>
      </c>
      <c r="AN58" s="528">
        <v>3079.39</v>
      </c>
      <c r="AO58" s="528">
        <v>45701.89</v>
      </c>
      <c r="AP58" s="528">
        <v>3815.97</v>
      </c>
      <c r="AQ58" s="528">
        <v>11280.21</v>
      </c>
      <c r="AR58" s="528">
        <v>130742.96000000009</v>
      </c>
      <c r="AS58" s="528">
        <v>14001.959999999992</v>
      </c>
      <c r="AT58" s="528">
        <v>0</v>
      </c>
      <c r="AU58" s="528">
        <v>3283.18</v>
      </c>
      <c r="AV58" s="528">
        <v>15576.34</v>
      </c>
      <c r="AW58" s="528">
        <v>3275</v>
      </c>
      <c r="AX58" s="528">
        <v>97035.693999999989</v>
      </c>
      <c r="AY58" s="528">
        <v>201909.24999999994</v>
      </c>
      <c r="AZ58" s="528">
        <v>39192.26</v>
      </c>
      <c r="BA58" s="528">
        <v>75850.959999999992</v>
      </c>
      <c r="BB58" s="528">
        <v>0</v>
      </c>
      <c r="BC58" s="528">
        <v>0</v>
      </c>
      <c r="BD58" s="528">
        <v>0</v>
      </c>
      <c r="BE58" s="528">
        <v>2387110.8940000008</v>
      </c>
      <c r="BF58" s="528">
        <v>238037.67000000013</v>
      </c>
      <c r="BG58" s="528">
        <v>109073.87599999923</v>
      </c>
      <c r="BH58" s="528">
        <v>347111.54599999939</v>
      </c>
      <c r="BI58" s="528">
        <v>0</v>
      </c>
      <c r="BJ58" s="528">
        <v>0</v>
      </c>
      <c r="BK58" s="528">
        <v>0</v>
      </c>
      <c r="BL58" s="528">
        <v>0</v>
      </c>
      <c r="BM58" s="528">
        <v>0</v>
      </c>
      <c r="BN58" s="528">
        <v>0</v>
      </c>
      <c r="BO58" s="528">
        <v>0</v>
      </c>
      <c r="BP58" s="528">
        <v>0</v>
      </c>
      <c r="BQ58" s="528">
        <v>0</v>
      </c>
      <c r="BR58" s="528">
        <v>0</v>
      </c>
      <c r="BS58" s="528">
        <v>0</v>
      </c>
      <c r="BT58" s="528">
        <v>0</v>
      </c>
      <c r="BU58" s="528">
        <v>0</v>
      </c>
      <c r="BV58" s="528">
        <v>0</v>
      </c>
      <c r="BW58" s="528">
        <v>0</v>
      </c>
      <c r="BX58" s="528">
        <v>0</v>
      </c>
      <c r="BY58" s="528">
        <v>0</v>
      </c>
      <c r="BZ58" s="528">
        <v>0</v>
      </c>
      <c r="CA58" s="528">
        <v>0</v>
      </c>
      <c r="CB58" s="528">
        <v>0</v>
      </c>
      <c r="CC58" s="528">
        <v>0</v>
      </c>
      <c r="CD58" s="528">
        <v>347111.54599999939</v>
      </c>
      <c r="CE58" s="528">
        <v>0</v>
      </c>
      <c r="CF58" s="528">
        <v>0</v>
      </c>
      <c r="CG58" s="528">
        <v>0</v>
      </c>
      <c r="CH58" s="528">
        <v>0</v>
      </c>
      <c r="CI58" s="528">
        <f t="shared" si="0"/>
        <v>347111.54599999939</v>
      </c>
      <c r="CJ58" s="528">
        <v>601391.44999999995</v>
      </c>
      <c r="CK58" s="528">
        <v>1896.2</v>
      </c>
      <c r="CL58" s="528">
        <v>0</v>
      </c>
      <c r="CM58" s="528">
        <v>599495.25</v>
      </c>
      <c r="CN58" s="528">
        <v>0</v>
      </c>
      <c r="CO58" s="528">
        <v>0</v>
      </c>
      <c r="CP58" s="528">
        <v>9412.2900000000009</v>
      </c>
      <c r="CQ58" s="528">
        <v>0</v>
      </c>
      <c r="CR58" s="528">
        <v>-221535.92</v>
      </c>
      <c r="CS58" s="528">
        <v>387371.62</v>
      </c>
      <c r="CT58" s="528">
        <v>0</v>
      </c>
      <c r="CU58" s="528">
        <v>0</v>
      </c>
      <c r="CV58" s="528">
        <v>0</v>
      </c>
      <c r="CW58" s="528">
        <v>0</v>
      </c>
      <c r="CX58" s="528"/>
      <c r="CY58" s="528"/>
      <c r="CZ58" s="528"/>
      <c r="DA58" s="528">
        <v>0</v>
      </c>
      <c r="DB58" s="528">
        <v>0</v>
      </c>
      <c r="DC58" s="528">
        <v>0</v>
      </c>
      <c r="DD58" s="528">
        <v>7599.38</v>
      </c>
      <c r="DE58" s="528">
        <v>0</v>
      </c>
      <c r="DF58" s="528">
        <v>0</v>
      </c>
      <c r="DG58" s="528">
        <v>-8023.91</v>
      </c>
      <c r="DH58" s="528">
        <v>-39835.453999999998</v>
      </c>
      <c r="DI58" s="528">
        <v>0</v>
      </c>
      <c r="DJ58" s="528">
        <v>0</v>
      </c>
      <c r="DK58" s="528">
        <v>-40259.983999999997</v>
      </c>
      <c r="DL58" s="528">
        <v>0</v>
      </c>
      <c r="DM58" s="528">
        <v>0</v>
      </c>
      <c r="DN58" s="528">
        <v>0</v>
      </c>
      <c r="DO58" s="528">
        <v>0</v>
      </c>
      <c r="DP58" s="528">
        <v>0</v>
      </c>
      <c r="DQ58" s="529">
        <v>-8.999999996740371E-2</v>
      </c>
      <c r="DR58" s="530">
        <v>1647405.7900000014</v>
      </c>
      <c r="DS58" s="531">
        <v>739705.10399999935</v>
      </c>
      <c r="DT58" s="530">
        <v>201909.24999999994</v>
      </c>
      <c r="DU58" s="530">
        <v>33243.919999999998</v>
      </c>
      <c r="DV58" s="530">
        <v>4950.390000000014</v>
      </c>
      <c r="DW58" s="530">
        <v>0</v>
      </c>
    </row>
    <row r="59" spans="1:127" s="103" customFormat="1">
      <c r="A59" s="525">
        <v>1026</v>
      </c>
      <c r="B59" s="526" t="s">
        <v>628</v>
      </c>
      <c r="C59" s="525">
        <v>1026</v>
      </c>
      <c r="D59" s="527" t="s">
        <v>1284</v>
      </c>
      <c r="E59" s="527" t="s">
        <v>534</v>
      </c>
      <c r="F59" s="527" t="s">
        <v>5</v>
      </c>
      <c r="G59" s="527" t="s">
        <v>535</v>
      </c>
      <c r="H59" s="528">
        <v>800925</v>
      </c>
      <c r="I59" s="528">
        <v>0</v>
      </c>
      <c r="J59" s="528">
        <v>24481</v>
      </c>
      <c r="K59" s="528">
        <v>0</v>
      </c>
      <c r="L59" s="528">
        <v>0</v>
      </c>
      <c r="M59" s="528">
        <v>0</v>
      </c>
      <c r="N59" s="528">
        <v>135724</v>
      </c>
      <c r="O59" s="528">
        <v>24356</v>
      </c>
      <c r="P59" s="528">
        <v>7253</v>
      </c>
      <c r="Q59" s="528">
        <v>0</v>
      </c>
      <c r="R59" s="528">
        <v>0</v>
      </c>
      <c r="S59" s="528">
        <v>0</v>
      </c>
      <c r="T59" s="528">
        <v>22228</v>
      </c>
      <c r="U59" s="528">
        <v>34918</v>
      </c>
      <c r="V59" s="528">
        <v>0</v>
      </c>
      <c r="W59" s="528">
        <v>0</v>
      </c>
      <c r="X59" s="528">
        <v>0</v>
      </c>
      <c r="Y59" s="528">
        <v>1049885</v>
      </c>
      <c r="Z59" s="528">
        <v>137633</v>
      </c>
      <c r="AA59" s="528">
        <v>0</v>
      </c>
      <c r="AB59" s="528">
        <v>294234</v>
      </c>
      <c r="AC59" s="528">
        <v>26902</v>
      </c>
      <c r="AD59" s="528">
        <v>70418</v>
      </c>
      <c r="AE59" s="528">
        <v>0</v>
      </c>
      <c r="AF59" s="528">
        <v>-31869</v>
      </c>
      <c r="AG59" s="528">
        <v>2519</v>
      </c>
      <c r="AH59" s="528">
        <v>0</v>
      </c>
      <c r="AI59" s="528">
        <v>0</v>
      </c>
      <c r="AJ59" s="528">
        <v>0</v>
      </c>
      <c r="AK59" s="528">
        <v>24831</v>
      </c>
      <c r="AL59" s="528">
        <v>22</v>
      </c>
      <c r="AM59" s="528">
        <v>2277</v>
      </c>
      <c r="AN59" s="528">
        <v>5704</v>
      </c>
      <c r="AO59" s="528">
        <v>18753</v>
      </c>
      <c r="AP59" s="528">
        <v>0</v>
      </c>
      <c r="AQ59" s="528">
        <v>22917</v>
      </c>
      <c r="AR59" s="528">
        <v>15112</v>
      </c>
      <c r="AS59" s="528">
        <v>0</v>
      </c>
      <c r="AT59" s="528">
        <v>0</v>
      </c>
      <c r="AU59" s="528">
        <v>174507</v>
      </c>
      <c r="AV59" s="528">
        <v>3292</v>
      </c>
      <c r="AW59" s="528">
        <v>0</v>
      </c>
      <c r="AX59" s="528">
        <v>18411</v>
      </c>
      <c r="AY59" s="528">
        <v>70230</v>
      </c>
      <c r="AZ59" s="528">
        <v>380</v>
      </c>
      <c r="BA59" s="528">
        <v>40277</v>
      </c>
      <c r="BB59" s="528">
        <v>0</v>
      </c>
      <c r="BC59" s="528">
        <v>0</v>
      </c>
      <c r="BD59" s="528">
        <v>0</v>
      </c>
      <c r="BE59" s="528">
        <v>896551</v>
      </c>
      <c r="BF59" s="528">
        <v>201529</v>
      </c>
      <c r="BG59" s="528">
        <v>153334</v>
      </c>
      <c r="BH59" s="528">
        <v>354863</v>
      </c>
      <c r="BI59" s="528">
        <v>17313</v>
      </c>
      <c r="BJ59" s="528">
        <v>0</v>
      </c>
      <c r="BK59" s="528">
        <v>0</v>
      </c>
      <c r="BL59" s="528">
        <v>17313</v>
      </c>
      <c r="BM59" s="528">
        <v>0</v>
      </c>
      <c r="BN59" s="528">
        <v>0</v>
      </c>
      <c r="BO59" s="528">
        <v>0</v>
      </c>
      <c r="BP59" s="528">
        <v>0</v>
      </c>
      <c r="BQ59" s="528">
        <v>0</v>
      </c>
      <c r="BR59" s="528">
        <v>0</v>
      </c>
      <c r="BS59" s="528">
        <v>17313</v>
      </c>
      <c r="BT59" s="528">
        <v>17313</v>
      </c>
      <c r="BU59" s="528">
        <v>0</v>
      </c>
      <c r="BV59" s="528">
        <v>0</v>
      </c>
      <c r="BW59" s="528">
        <v>0</v>
      </c>
      <c r="BX59" s="528">
        <v>0</v>
      </c>
      <c r="BY59" s="528">
        <v>0</v>
      </c>
      <c r="BZ59" s="528">
        <v>0</v>
      </c>
      <c r="CA59" s="528">
        <v>0</v>
      </c>
      <c r="CB59" s="528">
        <v>0</v>
      </c>
      <c r="CC59" s="528">
        <v>0</v>
      </c>
      <c r="CD59" s="528">
        <v>354863</v>
      </c>
      <c r="CE59" s="528">
        <v>0</v>
      </c>
      <c r="CF59" s="528">
        <v>17313</v>
      </c>
      <c r="CG59" s="528">
        <v>0</v>
      </c>
      <c r="CH59" s="528">
        <v>0</v>
      </c>
      <c r="CI59" s="528">
        <f t="shared" si="0"/>
        <v>372176</v>
      </c>
      <c r="CJ59" s="528">
        <v>210818</v>
      </c>
      <c r="CK59" s="528">
        <v>0</v>
      </c>
      <c r="CL59" s="528">
        <v>0</v>
      </c>
      <c r="CM59" s="528">
        <v>210818</v>
      </c>
      <c r="CN59" s="528">
        <v>8530</v>
      </c>
      <c r="CO59" s="528">
        <v>0</v>
      </c>
      <c r="CP59" s="528">
        <v>1582</v>
      </c>
      <c r="CQ59" s="528">
        <v>19</v>
      </c>
      <c r="CR59" s="528">
        <v>0</v>
      </c>
      <c r="CS59" s="528">
        <v>220949</v>
      </c>
      <c r="CT59" s="528">
        <v>50019</v>
      </c>
      <c r="CU59" s="528">
        <v>0</v>
      </c>
      <c r="CV59" s="528">
        <v>0</v>
      </c>
      <c r="CW59" s="528">
        <v>50019</v>
      </c>
      <c r="CX59" s="528"/>
      <c r="CY59" s="528"/>
      <c r="CZ59" s="528"/>
      <c r="DA59" s="528">
        <v>0</v>
      </c>
      <c r="DB59" s="528">
        <v>50019</v>
      </c>
      <c r="DC59" s="528">
        <v>0</v>
      </c>
      <c r="DD59" s="528">
        <v>7232</v>
      </c>
      <c r="DE59" s="528">
        <v>0</v>
      </c>
      <c r="DF59" s="528">
        <v>0</v>
      </c>
      <c r="DG59" s="528">
        <v>0</v>
      </c>
      <c r="DH59" s="528">
        <v>0</v>
      </c>
      <c r="DI59" s="528">
        <v>0</v>
      </c>
      <c r="DJ59" s="528">
        <v>0</v>
      </c>
      <c r="DK59" s="528">
        <v>7232</v>
      </c>
      <c r="DL59" s="528">
        <v>1601</v>
      </c>
      <c r="DM59" s="528">
        <v>94663</v>
      </c>
      <c r="DN59" s="528">
        <v>-2287</v>
      </c>
      <c r="DO59" s="528">
        <v>0</v>
      </c>
      <c r="DP59" s="528">
        <v>0</v>
      </c>
      <c r="DQ59" s="529">
        <v>-0.37</v>
      </c>
      <c r="DR59" s="530">
        <v>499837</v>
      </c>
      <c r="DS59" s="531">
        <v>396714</v>
      </c>
      <c r="DT59" s="530">
        <v>70230</v>
      </c>
      <c r="DU59" s="530">
        <v>53837</v>
      </c>
      <c r="DV59" s="530">
        <v>34918</v>
      </c>
      <c r="DW59" s="530">
        <v>93977</v>
      </c>
    </row>
    <row r="60" spans="1:127" s="103" customFormat="1">
      <c r="A60" s="525">
        <v>2294</v>
      </c>
      <c r="B60" s="526" t="s">
        <v>630</v>
      </c>
      <c r="C60" s="525">
        <v>2294</v>
      </c>
      <c r="D60" s="527" t="s">
        <v>1284</v>
      </c>
      <c r="E60" s="527" t="s">
        <v>538</v>
      </c>
      <c r="F60" s="527" t="s">
        <v>5</v>
      </c>
      <c r="G60" s="527" t="s">
        <v>535</v>
      </c>
      <c r="H60" s="528">
        <v>2461218</v>
      </c>
      <c r="I60" s="528">
        <v>0</v>
      </c>
      <c r="J60" s="528">
        <v>193696</v>
      </c>
      <c r="K60" s="528">
        <v>0</v>
      </c>
      <c r="L60" s="528">
        <v>279720</v>
      </c>
      <c r="M60" s="528">
        <v>9828</v>
      </c>
      <c r="N60" s="528">
        <v>0</v>
      </c>
      <c r="O60" s="528">
        <v>0</v>
      </c>
      <c r="P60" s="528">
        <v>29749</v>
      </c>
      <c r="Q60" s="528">
        <v>16056</v>
      </c>
      <c r="R60" s="528">
        <v>0</v>
      </c>
      <c r="S60" s="528">
        <v>0</v>
      </c>
      <c r="T60" s="528">
        <v>4675</v>
      </c>
      <c r="U60" s="528">
        <v>0</v>
      </c>
      <c r="V60" s="528">
        <v>0</v>
      </c>
      <c r="W60" s="528">
        <v>7050</v>
      </c>
      <c r="X60" s="528">
        <v>66098</v>
      </c>
      <c r="Y60" s="528">
        <v>3068090</v>
      </c>
      <c r="Z60" s="528">
        <v>1136356</v>
      </c>
      <c r="AA60" s="528">
        <v>0</v>
      </c>
      <c r="AB60" s="528">
        <v>432628</v>
      </c>
      <c r="AC60" s="528">
        <v>91035</v>
      </c>
      <c r="AD60" s="528">
        <v>148872</v>
      </c>
      <c r="AE60" s="528">
        <v>0</v>
      </c>
      <c r="AF60" s="528">
        <v>57875</v>
      </c>
      <c r="AG60" s="528">
        <v>-1154</v>
      </c>
      <c r="AH60" s="528">
        <v>8336</v>
      </c>
      <c r="AI60" s="528">
        <v>0</v>
      </c>
      <c r="AJ60" s="528">
        <v>0</v>
      </c>
      <c r="AK60" s="528">
        <v>26521</v>
      </c>
      <c r="AL60" s="528">
        <v>1800</v>
      </c>
      <c r="AM60" s="528">
        <v>14926</v>
      </c>
      <c r="AN60" s="528">
        <v>2463</v>
      </c>
      <c r="AO60" s="528">
        <v>46138</v>
      </c>
      <c r="AP60" s="528">
        <v>28090</v>
      </c>
      <c r="AQ60" s="528">
        <v>44556</v>
      </c>
      <c r="AR60" s="528">
        <v>100628</v>
      </c>
      <c r="AS60" s="528">
        <v>3427</v>
      </c>
      <c r="AT60" s="528">
        <v>0</v>
      </c>
      <c r="AU60" s="528">
        <v>27177</v>
      </c>
      <c r="AV60" s="528">
        <v>11095</v>
      </c>
      <c r="AW60" s="528">
        <v>10058</v>
      </c>
      <c r="AX60" s="528">
        <v>156873.07</v>
      </c>
      <c r="AY60" s="528">
        <v>217011</v>
      </c>
      <c r="AZ60" s="528">
        <v>29341</v>
      </c>
      <c r="BA60" s="528">
        <v>388572</v>
      </c>
      <c r="BB60" s="528">
        <v>0</v>
      </c>
      <c r="BC60" s="528">
        <v>0</v>
      </c>
      <c r="BD60" s="528">
        <v>0</v>
      </c>
      <c r="BE60" s="528">
        <v>2982623.07</v>
      </c>
      <c r="BF60" s="528">
        <v>539386</v>
      </c>
      <c r="BG60" s="528">
        <v>85466.930000000168</v>
      </c>
      <c r="BH60" s="528">
        <v>624852.93000000017</v>
      </c>
      <c r="BI60" s="528">
        <v>8691</v>
      </c>
      <c r="BJ60" s="528">
        <v>0</v>
      </c>
      <c r="BK60" s="528">
        <v>0</v>
      </c>
      <c r="BL60" s="528">
        <v>8691</v>
      </c>
      <c r="BM60" s="528">
        <v>0</v>
      </c>
      <c r="BN60" s="528">
        <v>0</v>
      </c>
      <c r="BO60" s="528">
        <v>0</v>
      </c>
      <c r="BP60" s="528">
        <v>0</v>
      </c>
      <c r="BQ60" s="528">
        <v>0</v>
      </c>
      <c r="BR60" s="528">
        <v>4828</v>
      </c>
      <c r="BS60" s="528">
        <v>8691</v>
      </c>
      <c r="BT60" s="528">
        <v>13520</v>
      </c>
      <c r="BU60" s="528">
        <v>0</v>
      </c>
      <c r="BV60" s="528">
        <v>0</v>
      </c>
      <c r="BW60" s="528">
        <v>0</v>
      </c>
      <c r="BX60" s="528">
        <v>0</v>
      </c>
      <c r="BY60" s="528">
        <v>0</v>
      </c>
      <c r="BZ60" s="528">
        <v>0</v>
      </c>
      <c r="CA60" s="528">
        <v>0</v>
      </c>
      <c r="CB60" s="528">
        <v>0</v>
      </c>
      <c r="CC60" s="528">
        <v>0</v>
      </c>
      <c r="CD60" s="528">
        <v>624852.93000000017</v>
      </c>
      <c r="CE60" s="528">
        <v>0</v>
      </c>
      <c r="CF60" s="528">
        <v>13520</v>
      </c>
      <c r="CG60" s="528">
        <v>0</v>
      </c>
      <c r="CH60" s="528">
        <v>0</v>
      </c>
      <c r="CI60" s="528">
        <f t="shared" si="0"/>
        <v>638372.93000000017</v>
      </c>
      <c r="CJ60" s="528">
        <v>801800</v>
      </c>
      <c r="CK60" s="528">
        <v>0</v>
      </c>
      <c r="CL60" s="528">
        <v>0</v>
      </c>
      <c r="CM60" s="528">
        <v>801800</v>
      </c>
      <c r="CN60" s="528">
        <v>0</v>
      </c>
      <c r="CO60" s="528">
        <v>0</v>
      </c>
      <c r="CP60" s="528">
        <v>10407</v>
      </c>
      <c r="CQ60" s="528">
        <v>18362</v>
      </c>
      <c r="CR60" s="528">
        <v>576</v>
      </c>
      <c r="CS60" s="528">
        <v>831146</v>
      </c>
      <c r="CT60" s="528">
        <v>0</v>
      </c>
      <c r="CU60" s="528">
        <v>0</v>
      </c>
      <c r="CV60" s="528">
        <v>0</v>
      </c>
      <c r="CW60" s="528">
        <v>0</v>
      </c>
      <c r="CX60" s="528"/>
      <c r="CY60" s="528"/>
      <c r="CZ60" s="528"/>
      <c r="DA60" s="528">
        <v>0</v>
      </c>
      <c r="DB60" s="528">
        <v>0</v>
      </c>
      <c r="DC60" s="528">
        <v>0</v>
      </c>
      <c r="DD60" s="528">
        <v>19188.72</v>
      </c>
      <c r="DE60" s="528">
        <v>0</v>
      </c>
      <c r="DF60" s="528">
        <v>0</v>
      </c>
      <c r="DG60" s="528">
        <v>0</v>
      </c>
      <c r="DH60" s="528">
        <v>-38095.07</v>
      </c>
      <c r="DI60" s="528">
        <v>0</v>
      </c>
      <c r="DJ60" s="528">
        <v>0</v>
      </c>
      <c r="DK60" s="528">
        <v>-18906.349999999999</v>
      </c>
      <c r="DL60" s="528">
        <v>0</v>
      </c>
      <c r="DM60" s="528">
        <v>0</v>
      </c>
      <c r="DN60" s="528">
        <v>-525</v>
      </c>
      <c r="DO60" s="528">
        <v>-173343</v>
      </c>
      <c r="DP60" s="528">
        <v>0</v>
      </c>
      <c r="DQ60" s="529">
        <v>0.09</v>
      </c>
      <c r="DR60" s="530">
        <v>1865612</v>
      </c>
      <c r="DS60" s="531">
        <v>1117011.0699999998</v>
      </c>
      <c r="DT60" s="530">
        <v>217011</v>
      </c>
      <c r="DU60" s="530">
        <v>50480</v>
      </c>
      <c r="DV60" s="530">
        <v>0</v>
      </c>
      <c r="DW60" s="530">
        <v>-173868</v>
      </c>
    </row>
    <row r="61" spans="1:127" s="103" customFormat="1">
      <c r="A61" s="525">
        <v>2486</v>
      </c>
      <c r="B61" s="526" t="s">
        <v>632</v>
      </c>
      <c r="C61" s="525">
        <v>2486</v>
      </c>
      <c r="D61" s="527" t="s">
        <v>1284</v>
      </c>
      <c r="E61" s="527" t="s">
        <v>538</v>
      </c>
      <c r="F61" s="527" t="s">
        <v>5</v>
      </c>
      <c r="G61" s="527" t="s">
        <v>535</v>
      </c>
      <c r="H61" s="528">
        <v>1454335.95</v>
      </c>
      <c r="I61" s="528">
        <v>0</v>
      </c>
      <c r="J61" s="528">
        <v>111650.58</v>
      </c>
      <c r="K61" s="528">
        <v>0</v>
      </c>
      <c r="L61" s="528">
        <v>207960</v>
      </c>
      <c r="M61" s="528">
        <v>0</v>
      </c>
      <c r="N61" s="528">
        <v>0</v>
      </c>
      <c r="O61" s="528">
        <v>200</v>
      </c>
      <c r="P61" s="528">
        <v>8195.76</v>
      </c>
      <c r="Q61" s="528">
        <v>4360.3999999999996</v>
      </c>
      <c r="R61" s="528">
        <v>0</v>
      </c>
      <c r="S61" s="528">
        <v>0</v>
      </c>
      <c r="T61" s="528">
        <v>2506</v>
      </c>
      <c r="U61" s="528">
        <v>11806.67</v>
      </c>
      <c r="V61" s="528">
        <v>0</v>
      </c>
      <c r="W61" s="528">
        <v>5844.25</v>
      </c>
      <c r="X61" s="528">
        <v>30554</v>
      </c>
      <c r="Y61" s="528">
        <v>1837413.6099999999</v>
      </c>
      <c r="Z61" s="528">
        <v>708072.24</v>
      </c>
      <c r="AA61" s="528">
        <v>0</v>
      </c>
      <c r="AB61" s="528">
        <v>408139.72</v>
      </c>
      <c r="AC61" s="528">
        <v>78119.350000000006</v>
      </c>
      <c r="AD61" s="528">
        <v>102318.94</v>
      </c>
      <c r="AE61" s="528">
        <v>78088.240000000005</v>
      </c>
      <c r="AF61" s="528">
        <v>52328.21</v>
      </c>
      <c r="AG61" s="528">
        <v>3000.16</v>
      </c>
      <c r="AH61" s="528">
        <v>5947</v>
      </c>
      <c r="AI61" s="528">
        <v>0</v>
      </c>
      <c r="AJ61" s="528">
        <v>0</v>
      </c>
      <c r="AK61" s="528">
        <v>21990.63</v>
      </c>
      <c r="AL61" s="528">
        <v>3562.1</v>
      </c>
      <c r="AM61" s="528">
        <v>3713.74</v>
      </c>
      <c r="AN61" s="528">
        <v>4200.24</v>
      </c>
      <c r="AO61" s="528">
        <v>61286.31</v>
      </c>
      <c r="AP61" s="528">
        <v>14979.66</v>
      </c>
      <c r="AQ61" s="528">
        <v>25972.1</v>
      </c>
      <c r="AR61" s="528">
        <v>41118.5</v>
      </c>
      <c r="AS61" s="528">
        <v>8260.23</v>
      </c>
      <c r="AT61" s="528">
        <v>0</v>
      </c>
      <c r="AU61" s="528">
        <v>11227.33</v>
      </c>
      <c r="AV61" s="528">
        <v>4925</v>
      </c>
      <c r="AW61" s="528">
        <v>0</v>
      </c>
      <c r="AX61" s="528">
        <v>40315.81</v>
      </c>
      <c r="AY61" s="528">
        <v>88841.85</v>
      </c>
      <c r="AZ61" s="528">
        <v>33073.46</v>
      </c>
      <c r="BA61" s="528">
        <v>67909.75</v>
      </c>
      <c r="BB61" s="528">
        <v>0</v>
      </c>
      <c r="BC61" s="528">
        <v>0</v>
      </c>
      <c r="BD61" s="528">
        <v>0</v>
      </c>
      <c r="BE61" s="528">
        <v>1867390.57</v>
      </c>
      <c r="BF61" s="528">
        <v>309284.0700000003</v>
      </c>
      <c r="BG61" s="528">
        <v>-29976.960000000196</v>
      </c>
      <c r="BH61" s="528">
        <v>279307.1100000001</v>
      </c>
      <c r="BI61" s="528">
        <v>6295</v>
      </c>
      <c r="BJ61" s="528">
        <v>0</v>
      </c>
      <c r="BK61" s="528">
        <v>0</v>
      </c>
      <c r="BL61" s="528">
        <v>6295</v>
      </c>
      <c r="BM61" s="528">
        <v>0</v>
      </c>
      <c r="BN61" s="528">
        <v>0</v>
      </c>
      <c r="BO61" s="528">
        <v>0</v>
      </c>
      <c r="BP61" s="528">
        <v>6870.5</v>
      </c>
      <c r="BQ61" s="528">
        <v>6870.5</v>
      </c>
      <c r="BR61" s="528">
        <v>5540.7000000000007</v>
      </c>
      <c r="BS61" s="528">
        <v>-575.5</v>
      </c>
      <c r="BT61" s="528">
        <v>4965.2000000000007</v>
      </c>
      <c r="BU61" s="528">
        <v>0</v>
      </c>
      <c r="BV61" s="528">
        <v>0</v>
      </c>
      <c r="BW61" s="528">
        <v>0</v>
      </c>
      <c r="BX61" s="528">
        <v>0</v>
      </c>
      <c r="BY61" s="528">
        <v>0</v>
      </c>
      <c r="BZ61" s="528">
        <v>0</v>
      </c>
      <c r="CA61" s="528">
        <v>0</v>
      </c>
      <c r="CB61" s="528">
        <v>0</v>
      </c>
      <c r="CC61" s="528">
        <v>0</v>
      </c>
      <c r="CD61" s="528">
        <v>279307.1100000001</v>
      </c>
      <c r="CE61" s="528">
        <v>0</v>
      </c>
      <c r="CF61" s="528">
        <v>4965.2000000000007</v>
      </c>
      <c r="CG61" s="528">
        <v>0</v>
      </c>
      <c r="CH61" s="528">
        <v>0</v>
      </c>
      <c r="CI61" s="528">
        <f t="shared" si="0"/>
        <v>284272.31000000011</v>
      </c>
      <c r="CJ61" s="528">
        <v>202366.11</v>
      </c>
      <c r="CK61" s="528">
        <v>0</v>
      </c>
      <c r="CL61" s="528">
        <v>0</v>
      </c>
      <c r="CM61" s="528">
        <v>202366.11</v>
      </c>
      <c r="CN61" s="528">
        <v>0</v>
      </c>
      <c r="CO61" s="528">
        <v>0</v>
      </c>
      <c r="CP61" s="528">
        <v>4467.5600000000004</v>
      </c>
      <c r="CQ61" s="528">
        <v>0</v>
      </c>
      <c r="CR61" s="528">
        <v>0</v>
      </c>
      <c r="CS61" s="528">
        <v>206833.66999999998</v>
      </c>
      <c r="CT61" s="528">
        <v>102735.67</v>
      </c>
      <c r="CU61" s="528">
        <v>0</v>
      </c>
      <c r="CV61" s="528">
        <v>0</v>
      </c>
      <c r="CW61" s="528">
        <v>102735.67</v>
      </c>
      <c r="CX61" s="528"/>
      <c r="CY61" s="528"/>
      <c r="CZ61" s="528"/>
      <c r="DA61" s="528">
        <v>0</v>
      </c>
      <c r="DB61" s="528">
        <v>102735.67</v>
      </c>
      <c r="DC61" s="528">
        <v>0</v>
      </c>
      <c r="DD61" s="528">
        <v>1825.8</v>
      </c>
      <c r="DE61" s="528">
        <v>0</v>
      </c>
      <c r="DF61" s="528">
        <v>0</v>
      </c>
      <c r="DG61" s="528">
        <v>-12212.93</v>
      </c>
      <c r="DH61" s="528">
        <v>0</v>
      </c>
      <c r="DI61" s="528">
        <v>0</v>
      </c>
      <c r="DJ61" s="528">
        <v>0</v>
      </c>
      <c r="DK61" s="528">
        <v>-10387.130000000001</v>
      </c>
      <c r="DL61" s="528">
        <v>0</v>
      </c>
      <c r="DM61" s="528">
        <v>5558</v>
      </c>
      <c r="DN61" s="528">
        <v>0</v>
      </c>
      <c r="DO61" s="528">
        <v>-20468.169999999998</v>
      </c>
      <c r="DP61" s="528">
        <v>0</v>
      </c>
      <c r="DQ61" s="529">
        <v>0.27000000001862645</v>
      </c>
      <c r="DR61" s="530">
        <v>1430066.8599999999</v>
      </c>
      <c r="DS61" s="531">
        <v>437323.7100000002</v>
      </c>
      <c r="DT61" s="530">
        <v>88841.85</v>
      </c>
      <c r="DU61" s="530">
        <v>15262.16</v>
      </c>
      <c r="DV61" s="530">
        <v>11806.67</v>
      </c>
      <c r="DW61" s="530">
        <v>-14910.169999999998</v>
      </c>
    </row>
    <row r="62" spans="1:127" s="103" customFormat="1">
      <c r="A62" s="525">
        <v>3435</v>
      </c>
      <c r="B62" s="526" t="s">
        <v>634</v>
      </c>
      <c r="C62" s="525">
        <v>3435</v>
      </c>
      <c r="D62" s="527" t="s">
        <v>1284</v>
      </c>
      <c r="E62" s="527" t="s">
        <v>538</v>
      </c>
      <c r="F62" s="527" t="s">
        <v>5</v>
      </c>
      <c r="G62" s="527" t="s">
        <v>535</v>
      </c>
      <c r="H62" s="528">
        <v>2054320.97</v>
      </c>
      <c r="I62" s="528">
        <v>0</v>
      </c>
      <c r="J62" s="528">
        <v>206440.53</v>
      </c>
      <c r="K62" s="528">
        <v>0</v>
      </c>
      <c r="L62" s="528">
        <v>66270</v>
      </c>
      <c r="M62" s="528">
        <v>3256.93</v>
      </c>
      <c r="N62" s="528">
        <v>0</v>
      </c>
      <c r="O62" s="528">
        <v>59377.820000000007</v>
      </c>
      <c r="P62" s="528">
        <v>172294.13000000003</v>
      </c>
      <c r="Q62" s="528">
        <v>0</v>
      </c>
      <c r="R62" s="528">
        <v>0</v>
      </c>
      <c r="S62" s="528">
        <v>0</v>
      </c>
      <c r="T62" s="528">
        <v>30062.42</v>
      </c>
      <c r="U62" s="528">
        <v>11080.650000000001</v>
      </c>
      <c r="V62" s="528">
        <v>0</v>
      </c>
      <c r="W62" s="528">
        <v>600.83000000000004</v>
      </c>
      <c r="X62" s="528">
        <v>100619</v>
      </c>
      <c r="Y62" s="528">
        <v>2704323.28</v>
      </c>
      <c r="Z62" s="528">
        <v>1302544.0699999996</v>
      </c>
      <c r="AA62" s="528">
        <v>0</v>
      </c>
      <c r="AB62" s="528">
        <v>404864.01</v>
      </c>
      <c r="AC62" s="528">
        <v>105052.80999999854</v>
      </c>
      <c r="AD62" s="528">
        <v>131615.04999999999</v>
      </c>
      <c r="AE62" s="528">
        <v>0</v>
      </c>
      <c r="AF62" s="528">
        <v>85909.570000000065</v>
      </c>
      <c r="AG62" s="528">
        <v>7149.300000000002</v>
      </c>
      <c r="AH62" s="528">
        <v>6027.04</v>
      </c>
      <c r="AI62" s="528">
        <v>0</v>
      </c>
      <c r="AJ62" s="528">
        <v>0</v>
      </c>
      <c r="AK62" s="528">
        <v>9913.2099999999991</v>
      </c>
      <c r="AL62" s="528">
        <v>3829.3200000000006</v>
      </c>
      <c r="AM62" s="528">
        <v>3173.64</v>
      </c>
      <c r="AN62" s="528">
        <v>10042.09</v>
      </c>
      <c r="AO62" s="528">
        <v>39094.25</v>
      </c>
      <c r="AP62" s="528">
        <v>5193.97</v>
      </c>
      <c r="AQ62" s="528">
        <v>6954.4</v>
      </c>
      <c r="AR62" s="528">
        <v>75638.880000000092</v>
      </c>
      <c r="AS62" s="528">
        <v>7909.6000000000013</v>
      </c>
      <c r="AT62" s="528">
        <v>0</v>
      </c>
      <c r="AU62" s="528">
        <v>19290.12</v>
      </c>
      <c r="AV62" s="528">
        <v>10240.799999999999</v>
      </c>
      <c r="AW62" s="528">
        <v>0</v>
      </c>
      <c r="AX62" s="528">
        <v>242236.85</v>
      </c>
      <c r="AY62" s="528">
        <v>35978.680000000008</v>
      </c>
      <c r="AZ62" s="528">
        <v>10579.54</v>
      </c>
      <c r="BA62" s="528">
        <v>196447.64</v>
      </c>
      <c r="BB62" s="528">
        <v>0</v>
      </c>
      <c r="BC62" s="528">
        <v>0</v>
      </c>
      <c r="BD62" s="528">
        <v>0</v>
      </c>
      <c r="BE62" s="528">
        <v>2719684.8399999989</v>
      </c>
      <c r="BF62" s="528">
        <v>173560.11999999988</v>
      </c>
      <c r="BG62" s="528">
        <v>-15361.559999999125</v>
      </c>
      <c r="BH62" s="528">
        <v>158198.56000000075</v>
      </c>
      <c r="BI62" s="528">
        <v>8736.25</v>
      </c>
      <c r="BJ62" s="528">
        <v>0</v>
      </c>
      <c r="BK62" s="528">
        <v>0</v>
      </c>
      <c r="BL62" s="528">
        <v>8736.25</v>
      </c>
      <c r="BM62" s="528">
        <v>0</v>
      </c>
      <c r="BN62" s="528">
        <v>0</v>
      </c>
      <c r="BO62" s="528">
        <v>0</v>
      </c>
      <c r="BP62" s="528">
        <v>8614.59</v>
      </c>
      <c r="BQ62" s="528">
        <v>8614.59</v>
      </c>
      <c r="BR62" s="528">
        <v>11098.259999999995</v>
      </c>
      <c r="BS62" s="528">
        <v>121.65999999999985</v>
      </c>
      <c r="BT62" s="528">
        <v>11219.919999999995</v>
      </c>
      <c r="BU62" s="528">
        <v>0</v>
      </c>
      <c r="BV62" s="528">
        <v>0</v>
      </c>
      <c r="BW62" s="528">
        <v>0</v>
      </c>
      <c r="BX62" s="528">
        <v>0</v>
      </c>
      <c r="BY62" s="528">
        <v>0</v>
      </c>
      <c r="BZ62" s="528">
        <v>0</v>
      </c>
      <c r="CA62" s="528">
        <v>0</v>
      </c>
      <c r="CB62" s="528">
        <v>0</v>
      </c>
      <c r="CC62" s="528">
        <v>0</v>
      </c>
      <c r="CD62" s="528">
        <v>158198.56000000075</v>
      </c>
      <c r="CE62" s="528">
        <v>0</v>
      </c>
      <c r="CF62" s="528">
        <v>11219.919999999995</v>
      </c>
      <c r="CG62" s="528">
        <v>0</v>
      </c>
      <c r="CH62" s="528">
        <v>0</v>
      </c>
      <c r="CI62" s="528">
        <f t="shared" si="0"/>
        <v>169418.48000000074</v>
      </c>
      <c r="CJ62" s="528">
        <v>242119.88</v>
      </c>
      <c r="CK62" s="528">
        <v>2516.9499999999998</v>
      </c>
      <c r="CL62" s="528">
        <v>251857.37</v>
      </c>
      <c r="CM62" s="528">
        <v>491460.3</v>
      </c>
      <c r="CN62" s="528">
        <v>0</v>
      </c>
      <c r="CO62" s="528">
        <v>0</v>
      </c>
      <c r="CP62" s="528">
        <v>4963.76</v>
      </c>
      <c r="CQ62" s="528">
        <v>0</v>
      </c>
      <c r="CR62" s="528">
        <v>-254142.28</v>
      </c>
      <c r="CS62" s="528">
        <v>242281.78</v>
      </c>
      <c r="CT62" s="528">
        <v>0</v>
      </c>
      <c r="CU62" s="528">
        <v>0</v>
      </c>
      <c r="CV62" s="528">
        <v>0</v>
      </c>
      <c r="CW62" s="528">
        <v>0</v>
      </c>
      <c r="CX62" s="528"/>
      <c r="CY62" s="528"/>
      <c r="CZ62" s="528"/>
      <c r="DA62" s="528">
        <v>0</v>
      </c>
      <c r="DB62" s="528">
        <v>0</v>
      </c>
      <c r="DC62" s="528">
        <v>0</v>
      </c>
      <c r="DD62" s="528">
        <v>5705.68</v>
      </c>
      <c r="DE62" s="528">
        <v>0</v>
      </c>
      <c r="DF62" s="528">
        <v>0</v>
      </c>
      <c r="DG62" s="528">
        <v>-13312.94</v>
      </c>
      <c r="DH62" s="528">
        <v>-65256.04</v>
      </c>
      <c r="DI62" s="528">
        <v>0</v>
      </c>
      <c r="DJ62" s="528">
        <v>0</v>
      </c>
      <c r="DK62" s="528">
        <v>-72863.3</v>
      </c>
      <c r="DL62" s="528">
        <v>0</v>
      </c>
      <c r="DM62" s="528">
        <v>0</v>
      </c>
      <c r="DN62" s="528">
        <v>0</v>
      </c>
      <c r="DO62" s="528">
        <v>0</v>
      </c>
      <c r="DP62" s="528">
        <v>0</v>
      </c>
      <c r="DQ62" s="529">
        <v>0</v>
      </c>
      <c r="DR62" s="530">
        <v>2037134.8099999984</v>
      </c>
      <c r="DS62" s="531">
        <v>682550.03000000049</v>
      </c>
      <c r="DT62" s="530">
        <v>35978.680000000008</v>
      </c>
      <c r="DU62" s="530">
        <v>261734.37000000005</v>
      </c>
      <c r="DV62" s="530">
        <v>11080.650000000001</v>
      </c>
      <c r="DW62" s="530">
        <v>0</v>
      </c>
    </row>
    <row r="63" spans="1:127" s="103" customFormat="1">
      <c r="A63" s="525">
        <v>7050</v>
      </c>
      <c r="B63" s="526" t="s">
        <v>636</v>
      </c>
      <c r="C63" s="525">
        <v>7050</v>
      </c>
      <c r="D63" s="527" t="s">
        <v>1284</v>
      </c>
      <c r="E63" s="527" t="s">
        <v>553</v>
      </c>
      <c r="F63" s="527" t="s">
        <v>5</v>
      </c>
      <c r="G63" s="527" t="s">
        <v>535</v>
      </c>
      <c r="H63" s="528">
        <v>1300199.33</v>
      </c>
      <c r="I63" s="528">
        <v>0</v>
      </c>
      <c r="J63" s="528">
        <v>1865446.68</v>
      </c>
      <c r="K63" s="528">
        <v>0</v>
      </c>
      <c r="L63" s="528">
        <v>51450</v>
      </c>
      <c r="M63" s="528">
        <v>2400</v>
      </c>
      <c r="N63" s="528">
        <v>0</v>
      </c>
      <c r="O63" s="528">
        <v>0</v>
      </c>
      <c r="P63" s="528">
        <v>35614.840000000011</v>
      </c>
      <c r="Q63" s="528">
        <v>0</v>
      </c>
      <c r="R63" s="528">
        <v>0</v>
      </c>
      <c r="S63" s="528">
        <v>0</v>
      </c>
      <c r="T63" s="528">
        <v>2020.06</v>
      </c>
      <c r="U63" s="528">
        <v>32553.63</v>
      </c>
      <c r="V63" s="528">
        <v>0</v>
      </c>
      <c r="W63" s="528">
        <v>11936.19</v>
      </c>
      <c r="X63" s="528">
        <v>0</v>
      </c>
      <c r="Y63" s="528">
        <v>3301620.7299999995</v>
      </c>
      <c r="Z63" s="528">
        <v>1291347.4699999904</v>
      </c>
      <c r="AA63" s="528">
        <v>0</v>
      </c>
      <c r="AB63" s="528">
        <v>1016078.86</v>
      </c>
      <c r="AC63" s="528">
        <v>-1.5133991837501526E-9</v>
      </c>
      <c r="AD63" s="528">
        <v>193420.93</v>
      </c>
      <c r="AE63" s="528">
        <v>0</v>
      </c>
      <c r="AF63" s="528">
        <v>40449.490000001155</v>
      </c>
      <c r="AG63" s="528">
        <v>222.76000000002387</v>
      </c>
      <c r="AH63" s="528">
        <v>9049.7800000000025</v>
      </c>
      <c r="AI63" s="528">
        <v>0</v>
      </c>
      <c r="AJ63" s="528">
        <v>0</v>
      </c>
      <c r="AK63" s="528">
        <v>80445.53</v>
      </c>
      <c r="AL63" s="528">
        <v>3658.9199999999996</v>
      </c>
      <c r="AM63" s="528">
        <v>48109.669999999991</v>
      </c>
      <c r="AN63" s="528">
        <v>2026.64</v>
      </c>
      <c r="AO63" s="528">
        <v>21509.479999999996</v>
      </c>
      <c r="AP63" s="528">
        <v>0</v>
      </c>
      <c r="AQ63" s="528">
        <v>20305.149999999998</v>
      </c>
      <c r="AR63" s="528">
        <v>74958.380000000019</v>
      </c>
      <c r="AS63" s="528">
        <v>21932.260000000002</v>
      </c>
      <c r="AT63" s="528">
        <v>0</v>
      </c>
      <c r="AU63" s="528">
        <v>26040.060000000005</v>
      </c>
      <c r="AV63" s="528">
        <v>3291.75</v>
      </c>
      <c r="AW63" s="528">
        <v>2310</v>
      </c>
      <c r="AX63" s="528">
        <v>98289.31</v>
      </c>
      <c r="AY63" s="528">
        <v>231399.23999999996</v>
      </c>
      <c r="AZ63" s="528">
        <v>2062.81</v>
      </c>
      <c r="BA63" s="528">
        <v>140819.50999999998</v>
      </c>
      <c r="BB63" s="528">
        <v>0</v>
      </c>
      <c r="BC63" s="528">
        <v>0</v>
      </c>
      <c r="BD63" s="528">
        <v>0</v>
      </c>
      <c r="BE63" s="528">
        <v>3327727.9999999893</v>
      </c>
      <c r="BF63" s="528">
        <v>926856.29</v>
      </c>
      <c r="BG63" s="528">
        <v>-26107.269999989774</v>
      </c>
      <c r="BH63" s="528">
        <v>900749.02000001026</v>
      </c>
      <c r="BI63" s="528">
        <v>9568.75</v>
      </c>
      <c r="BJ63" s="528">
        <v>0</v>
      </c>
      <c r="BK63" s="528">
        <v>0</v>
      </c>
      <c r="BL63" s="528">
        <v>9568.75</v>
      </c>
      <c r="BM63" s="528">
        <v>0</v>
      </c>
      <c r="BN63" s="528">
        <v>7460</v>
      </c>
      <c r="BO63" s="528">
        <v>0</v>
      </c>
      <c r="BP63" s="528">
        <v>0</v>
      </c>
      <c r="BQ63" s="528">
        <v>7460</v>
      </c>
      <c r="BR63" s="528">
        <v>12581.46</v>
      </c>
      <c r="BS63" s="528">
        <v>2108.75</v>
      </c>
      <c r="BT63" s="528">
        <v>14690.21</v>
      </c>
      <c r="BU63" s="528">
        <v>0</v>
      </c>
      <c r="BV63" s="528">
        <v>0</v>
      </c>
      <c r="BW63" s="528">
        <v>0</v>
      </c>
      <c r="BX63" s="528">
        <v>0</v>
      </c>
      <c r="BY63" s="528">
        <v>0</v>
      </c>
      <c r="BZ63" s="528">
        <v>0</v>
      </c>
      <c r="CA63" s="528">
        <v>0</v>
      </c>
      <c r="CB63" s="528">
        <v>0</v>
      </c>
      <c r="CC63" s="528">
        <v>0</v>
      </c>
      <c r="CD63" s="528">
        <v>900749.02000001026</v>
      </c>
      <c r="CE63" s="528">
        <v>0</v>
      </c>
      <c r="CF63" s="528">
        <v>14690.21</v>
      </c>
      <c r="CG63" s="528">
        <v>0</v>
      </c>
      <c r="CH63" s="528">
        <v>0</v>
      </c>
      <c r="CI63" s="528">
        <f t="shared" si="0"/>
        <v>915439.23000001023</v>
      </c>
      <c r="CJ63" s="528">
        <v>1137055.8799999999</v>
      </c>
      <c r="CK63" s="528">
        <v>3952.58</v>
      </c>
      <c r="CL63" s="528">
        <v>0</v>
      </c>
      <c r="CM63" s="528">
        <v>1133103.2999999998</v>
      </c>
      <c r="CN63" s="528">
        <v>0</v>
      </c>
      <c r="CO63" s="528">
        <v>0</v>
      </c>
      <c r="CP63" s="528">
        <v>5346.58</v>
      </c>
      <c r="CQ63" s="528">
        <v>-159.14999999999964</v>
      </c>
      <c r="CR63" s="528">
        <v>-216744.86</v>
      </c>
      <c r="CS63" s="528">
        <v>921545.87</v>
      </c>
      <c r="CT63" s="528">
        <v>0</v>
      </c>
      <c r="CU63" s="528">
        <v>0</v>
      </c>
      <c r="CV63" s="528">
        <v>0</v>
      </c>
      <c r="CW63" s="528">
        <v>0</v>
      </c>
      <c r="CX63" s="528"/>
      <c r="CY63" s="528"/>
      <c r="CZ63" s="528"/>
      <c r="DA63" s="528">
        <v>0</v>
      </c>
      <c r="DB63" s="528">
        <v>0</v>
      </c>
      <c r="DC63" s="528">
        <v>0</v>
      </c>
      <c r="DD63" s="528">
        <v>29097.439999999999</v>
      </c>
      <c r="DE63" s="528">
        <v>0</v>
      </c>
      <c r="DF63" s="528">
        <v>0</v>
      </c>
      <c r="DG63" s="528">
        <v>-35203.99</v>
      </c>
      <c r="DH63" s="528">
        <v>0</v>
      </c>
      <c r="DI63" s="528">
        <v>0</v>
      </c>
      <c r="DJ63" s="528">
        <v>0</v>
      </c>
      <c r="DK63" s="528">
        <v>-6106.5499999999993</v>
      </c>
      <c r="DL63" s="528">
        <v>0</v>
      </c>
      <c r="DM63" s="528">
        <v>0</v>
      </c>
      <c r="DN63" s="528">
        <v>0</v>
      </c>
      <c r="DO63" s="528">
        <v>0</v>
      </c>
      <c r="DP63" s="528">
        <v>0</v>
      </c>
      <c r="DQ63" s="529">
        <v>-8.999999996740371E-2</v>
      </c>
      <c r="DR63" s="530">
        <v>2541519.5099999905</v>
      </c>
      <c r="DS63" s="531">
        <v>786208.48999999883</v>
      </c>
      <c r="DT63" s="530">
        <v>231399.23999999996</v>
      </c>
      <c r="DU63" s="530">
        <v>37634.900000000009</v>
      </c>
      <c r="DV63" s="530">
        <v>32553.63</v>
      </c>
      <c r="DW63" s="530">
        <v>0</v>
      </c>
    </row>
    <row r="64" spans="1:127" s="103" customFormat="1">
      <c r="A64" s="525">
        <v>1006</v>
      </c>
      <c r="B64" s="526" t="s">
        <v>638</v>
      </c>
      <c r="C64" s="525">
        <v>1006</v>
      </c>
      <c r="D64" s="527" t="s">
        <v>1284</v>
      </c>
      <c r="E64" s="527" t="s">
        <v>534</v>
      </c>
      <c r="F64" s="527" t="s">
        <v>5</v>
      </c>
      <c r="G64" s="527" t="s">
        <v>535</v>
      </c>
      <c r="H64" s="528">
        <v>646139.41</v>
      </c>
      <c r="I64" s="528">
        <v>0</v>
      </c>
      <c r="J64" s="528">
        <v>87804.29</v>
      </c>
      <c r="K64" s="528">
        <v>0</v>
      </c>
      <c r="L64" s="528">
        <v>0</v>
      </c>
      <c r="M64" s="528">
        <v>0</v>
      </c>
      <c r="N64" s="528">
        <v>0</v>
      </c>
      <c r="O64" s="528">
        <v>0</v>
      </c>
      <c r="P64" s="528">
        <v>13896.38</v>
      </c>
      <c r="Q64" s="528">
        <v>0</v>
      </c>
      <c r="R64" s="528">
        <v>0</v>
      </c>
      <c r="S64" s="528">
        <v>0</v>
      </c>
      <c r="T64" s="528">
        <v>0</v>
      </c>
      <c r="U64" s="528">
        <v>41500</v>
      </c>
      <c r="V64" s="528">
        <v>0</v>
      </c>
      <c r="W64" s="528">
        <v>0</v>
      </c>
      <c r="X64" s="528">
        <v>0</v>
      </c>
      <c r="Y64" s="528">
        <v>789340.08000000007</v>
      </c>
      <c r="Z64" s="528">
        <v>241518.38999999984</v>
      </c>
      <c r="AA64" s="528">
        <v>172.3</v>
      </c>
      <c r="AB64" s="528">
        <v>237578.63</v>
      </c>
      <c r="AC64" s="528">
        <v>44554.539999999892</v>
      </c>
      <c r="AD64" s="528">
        <v>29279.190000000002</v>
      </c>
      <c r="AE64" s="528">
        <v>0</v>
      </c>
      <c r="AF64" s="528">
        <v>48546.570000000065</v>
      </c>
      <c r="AG64" s="528">
        <v>10329.190000000004</v>
      </c>
      <c r="AH64" s="528">
        <v>1764</v>
      </c>
      <c r="AI64" s="528">
        <v>0</v>
      </c>
      <c r="AJ64" s="528">
        <v>0</v>
      </c>
      <c r="AK64" s="528">
        <v>1588.83</v>
      </c>
      <c r="AL64" s="528">
        <v>0</v>
      </c>
      <c r="AM64" s="528">
        <v>567.1</v>
      </c>
      <c r="AN64" s="528">
        <v>0</v>
      </c>
      <c r="AO64" s="528">
        <v>9407.489999999998</v>
      </c>
      <c r="AP64" s="528">
        <v>0</v>
      </c>
      <c r="AQ64" s="528">
        <v>4697.7999999999993</v>
      </c>
      <c r="AR64" s="528">
        <v>25450.059999999983</v>
      </c>
      <c r="AS64" s="528">
        <v>2555.86</v>
      </c>
      <c r="AT64" s="528">
        <v>6774.04</v>
      </c>
      <c r="AU64" s="528">
        <v>8980.1699999999983</v>
      </c>
      <c r="AV64" s="528">
        <v>3291.75</v>
      </c>
      <c r="AW64" s="528">
        <v>0</v>
      </c>
      <c r="AX64" s="528">
        <v>244.54</v>
      </c>
      <c r="AY64" s="528">
        <v>0</v>
      </c>
      <c r="AZ64" s="528">
        <v>0</v>
      </c>
      <c r="BA64" s="528">
        <v>113861.70000000007</v>
      </c>
      <c r="BB64" s="528">
        <v>0</v>
      </c>
      <c r="BC64" s="528">
        <v>0</v>
      </c>
      <c r="BD64" s="528">
        <v>0</v>
      </c>
      <c r="BE64" s="528">
        <v>791162.15</v>
      </c>
      <c r="BF64" s="528">
        <v>156942.24000000011</v>
      </c>
      <c r="BG64" s="528">
        <v>-1822.0699999999488</v>
      </c>
      <c r="BH64" s="528">
        <v>155120.17000000016</v>
      </c>
      <c r="BI64" s="528">
        <v>14449.75</v>
      </c>
      <c r="BJ64" s="528">
        <v>0</v>
      </c>
      <c r="BK64" s="528">
        <v>0</v>
      </c>
      <c r="BL64" s="528">
        <v>14449.75</v>
      </c>
      <c r="BM64" s="528">
        <v>0</v>
      </c>
      <c r="BN64" s="528">
        <v>26927.429999999997</v>
      </c>
      <c r="BO64" s="528">
        <v>0</v>
      </c>
      <c r="BP64" s="528">
        <v>0</v>
      </c>
      <c r="BQ64" s="528">
        <v>26927.429999999997</v>
      </c>
      <c r="BR64" s="528">
        <v>20824.68</v>
      </c>
      <c r="BS64" s="528">
        <v>-12477.679999999997</v>
      </c>
      <c r="BT64" s="528">
        <v>8347.0000000000036</v>
      </c>
      <c r="BU64" s="528">
        <v>0</v>
      </c>
      <c r="BV64" s="528">
        <v>0</v>
      </c>
      <c r="BW64" s="528">
        <v>0</v>
      </c>
      <c r="BX64" s="528">
        <v>0</v>
      </c>
      <c r="BY64" s="528">
        <v>0</v>
      </c>
      <c r="BZ64" s="528">
        <v>0</v>
      </c>
      <c r="CA64" s="528">
        <v>0</v>
      </c>
      <c r="CB64" s="528">
        <v>0</v>
      </c>
      <c r="CC64" s="528">
        <v>0</v>
      </c>
      <c r="CD64" s="528">
        <v>155120.17000000016</v>
      </c>
      <c r="CE64" s="528">
        <v>0</v>
      </c>
      <c r="CF64" s="528">
        <v>8347.0000000000036</v>
      </c>
      <c r="CG64" s="528">
        <v>0</v>
      </c>
      <c r="CH64" s="528">
        <v>0</v>
      </c>
      <c r="CI64" s="528">
        <f t="shared" si="0"/>
        <v>163467.17000000016</v>
      </c>
      <c r="CJ64" s="528">
        <v>201638.31</v>
      </c>
      <c r="CK64" s="528">
        <v>0</v>
      </c>
      <c r="CL64" s="528">
        <v>0</v>
      </c>
      <c r="CM64" s="528">
        <v>201638.31</v>
      </c>
      <c r="CN64" s="528">
        <v>0</v>
      </c>
      <c r="CO64" s="528">
        <v>0</v>
      </c>
      <c r="CP64" s="528">
        <v>0</v>
      </c>
      <c r="CQ64" s="528">
        <v>0</v>
      </c>
      <c r="CR64" s="528">
        <v>-40909.980000000003</v>
      </c>
      <c r="CS64" s="528">
        <v>160728.32999999999</v>
      </c>
      <c r="CT64" s="528">
        <v>0</v>
      </c>
      <c r="CU64" s="528">
        <v>0</v>
      </c>
      <c r="CV64" s="528">
        <v>0</v>
      </c>
      <c r="CW64" s="528">
        <v>0</v>
      </c>
      <c r="CX64" s="528"/>
      <c r="CY64" s="528"/>
      <c r="CZ64" s="528"/>
      <c r="DA64" s="528">
        <v>-1000</v>
      </c>
      <c r="DB64" s="528">
        <v>-1000</v>
      </c>
      <c r="DC64" s="528">
        <v>0</v>
      </c>
      <c r="DD64" s="528">
        <v>4405.09</v>
      </c>
      <c r="DE64" s="528">
        <v>0</v>
      </c>
      <c r="DF64" s="528">
        <v>0</v>
      </c>
      <c r="DG64" s="528">
        <v>-666.25</v>
      </c>
      <c r="DH64" s="528">
        <v>0</v>
      </c>
      <c r="DI64" s="528">
        <v>0</v>
      </c>
      <c r="DJ64" s="528">
        <v>0</v>
      </c>
      <c r="DK64" s="528">
        <v>3738.84</v>
      </c>
      <c r="DL64" s="528">
        <v>0</v>
      </c>
      <c r="DM64" s="528">
        <v>0</v>
      </c>
      <c r="DN64" s="528">
        <v>0</v>
      </c>
      <c r="DO64" s="528">
        <v>0</v>
      </c>
      <c r="DP64" s="528">
        <v>0</v>
      </c>
      <c r="DQ64" s="529">
        <v>0</v>
      </c>
      <c r="DR64" s="530">
        <v>611978.80999999994</v>
      </c>
      <c r="DS64" s="531">
        <v>179183.34000000008</v>
      </c>
      <c r="DT64" s="530">
        <v>0</v>
      </c>
      <c r="DU64" s="530">
        <v>13896.38</v>
      </c>
      <c r="DV64" s="530">
        <v>41500</v>
      </c>
      <c r="DW64" s="530">
        <v>0</v>
      </c>
    </row>
    <row r="65" spans="1:127" s="103" customFormat="1">
      <c r="A65" s="525">
        <v>2079</v>
      </c>
      <c r="B65" s="526" t="s">
        <v>887</v>
      </c>
      <c r="C65" s="525">
        <v>2079</v>
      </c>
      <c r="D65" s="527" t="s">
        <v>1284</v>
      </c>
      <c r="E65" s="527" t="s">
        <v>538</v>
      </c>
      <c r="F65" s="527" t="s">
        <v>5</v>
      </c>
      <c r="G65" s="527" t="s">
        <v>958</v>
      </c>
      <c r="H65" s="528">
        <v>2025759.52</v>
      </c>
      <c r="I65" s="528">
        <v>0</v>
      </c>
      <c r="J65" s="528">
        <v>177959.05</v>
      </c>
      <c r="K65" s="528">
        <v>0</v>
      </c>
      <c r="L65" s="528">
        <v>257520</v>
      </c>
      <c r="M65" s="528">
        <v>3456.93</v>
      </c>
      <c r="N65" s="528">
        <v>0</v>
      </c>
      <c r="O65" s="528">
        <v>0</v>
      </c>
      <c r="P65" s="528">
        <v>28697.479999999996</v>
      </c>
      <c r="Q65" s="528">
        <v>32147.45</v>
      </c>
      <c r="R65" s="528">
        <v>0</v>
      </c>
      <c r="S65" s="528">
        <v>0</v>
      </c>
      <c r="T65" s="528">
        <v>4387.97</v>
      </c>
      <c r="U65" s="528">
        <v>0</v>
      </c>
      <c r="V65" s="528">
        <v>0</v>
      </c>
      <c r="W65" s="528">
        <v>4676.25</v>
      </c>
      <c r="X65" s="528">
        <v>50148</v>
      </c>
      <c r="Y65" s="528">
        <v>2584752.6500000004</v>
      </c>
      <c r="Z65" s="528">
        <v>1028164.7700000011</v>
      </c>
      <c r="AA65" s="528">
        <v>15580.849999999999</v>
      </c>
      <c r="AB65" s="528">
        <v>327153.52</v>
      </c>
      <c r="AC65" s="528">
        <v>27221.120000000461</v>
      </c>
      <c r="AD65" s="528">
        <v>71423.199999999997</v>
      </c>
      <c r="AE65" s="528">
        <v>0</v>
      </c>
      <c r="AF65" s="528">
        <v>132769.65000000002</v>
      </c>
      <c r="AG65" s="528">
        <v>848.46000000001004</v>
      </c>
      <c r="AH65" s="528">
        <v>5715</v>
      </c>
      <c r="AI65" s="528">
        <v>0</v>
      </c>
      <c r="AJ65" s="528">
        <v>0</v>
      </c>
      <c r="AK65" s="528">
        <v>32140.619999999995</v>
      </c>
      <c r="AL65" s="528">
        <v>0</v>
      </c>
      <c r="AM65" s="528">
        <v>5995.88</v>
      </c>
      <c r="AN65" s="528">
        <v>9413.68</v>
      </c>
      <c r="AO65" s="528">
        <v>41599.069999999985</v>
      </c>
      <c r="AP65" s="528">
        <v>23115.16</v>
      </c>
      <c r="AQ65" s="528">
        <v>5318.28</v>
      </c>
      <c r="AR65" s="528">
        <v>77366.7</v>
      </c>
      <c r="AS65" s="528">
        <v>27755.18</v>
      </c>
      <c r="AT65" s="528">
        <v>0</v>
      </c>
      <c r="AU65" s="528">
        <v>44122.170000000006</v>
      </c>
      <c r="AV65" s="528">
        <v>8600</v>
      </c>
      <c r="AW65" s="528">
        <v>5726.3700000000008</v>
      </c>
      <c r="AX65" s="528">
        <v>162354.40000000002</v>
      </c>
      <c r="AY65" s="528">
        <v>200890.60999999996</v>
      </c>
      <c r="AZ65" s="528">
        <v>8624.08</v>
      </c>
      <c r="BA65" s="528">
        <v>208080.60000000006</v>
      </c>
      <c r="BB65" s="528">
        <v>0</v>
      </c>
      <c r="BC65" s="528">
        <v>0</v>
      </c>
      <c r="BD65" s="528">
        <v>0</v>
      </c>
      <c r="BE65" s="528">
        <v>2469979.3700000015</v>
      </c>
      <c r="BF65" s="528">
        <v>-81700.390000000305</v>
      </c>
      <c r="BG65" s="528">
        <v>114773.27999999886</v>
      </c>
      <c r="BH65" s="528">
        <v>33072.889999998559</v>
      </c>
      <c r="BI65" s="528">
        <v>8038.75</v>
      </c>
      <c r="BJ65" s="528">
        <v>0</v>
      </c>
      <c r="BK65" s="528">
        <v>0</v>
      </c>
      <c r="BL65" s="528">
        <v>8038.75</v>
      </c>
      <c r="BM65" s="528">
        <v>0</v>
      </c>
      <c r="BN65" s="528">
        <v>0</v>
      </c>
      <c r="BO65" s="528">
        <v>0</v>
      </c>
      <c r="BP65" s="528">
        <v>4527</v>
      </c>
      <c r="BQ65" s="528">
        <v>4527</v>
      </c>
      <c r="BR65" s="528">
        <v>22961.439999999999</v>
      </c>
      <c r="BS65" s="528">
        <v>3511.75</v>
      </c>
      <c r="BT65" s="528">
        <v>26473.19</v>
      </c>
      <c r="BU65" s="528">
        <v>0</v>
      </c>
      <c r="BV65" s="528">
        <v>0</v>
      </c>
      <c r="BW65" s="528">
        <v>0</v>
      </c>
      <c r="BX65" s="528">
        <v>0</v>
      </c>
      <c r="BY65" s="528">
        <v>0</v>
      </c>
      <c r="BZ65" s="528">
        <v>0</v>
      </c>
      <c r="CA65" s="528">
        <v>0</v>
      </c>
      <c r="CB65" s="528">
        <v>0</v>
      </c>
      <c r="CC65" s="528">
        <v>0</v>
      </c>
      <c r="CD65" s="528">
        <v>114467.42</v>
      </c>
      <c r="CE65" s="528">
        <v>0</v>
      </c>
      <c r="CF65" s="528">
        <v>26473.19</v>
      </c>
      <c r="CG65" s="528">
        <v>0</v>
      </c>
      <c r="CH65" s="528">
        <v>0</v>
      </c>
      <c r="CI65" s="528">
        <f t="shared" si="0"/>
        <v>140940.60999999999</v>
      </c>
      <c r="CJ65" s="528">
        <v>6286.23</v>
      </c>
      <c r="CK65" s="528">
        <v>233.8</v>
      </c>
      <c r="CL65" s="528">
        <v>96.3</v>
      </c>
      <c r="CM65" s="528">
        <v>6148.73</v>
      </c>
      <c r="CN65" s="528">
        <v>0</v>
      </c>
      <c r="CO65" s="528">
        <v>0</v>
      </c>
      <c r="CP65" s="528">
        <v>0</v>
      </c>
      <c r="CQ65" s="528">
        <v>0</v>
      </c>
      <c r="CR65" s="528">
        <v>-4745</v>
      </c>
      <c r="CS65" s="528">
        <v>1403.7299999999996</v>
      </c>
      <c r="CT65" s="528">
        <v>0</v>
      </c>
      <c r="CU65" s="528">
        <v>0</v>
      </c>
      <c r="CV65" s="528">
        <v>0</v>
      </c>
      <c r="CW65" s="528">
        <v>0</v>
      </c>
      <c r="CX65" s="528"/>
      <c r="CY65" s="528"/>
      <c r="CZ65" s="528"/>
      <c r="DA65" s="528">
        <v>169418.01999999836</v>
      </c>
      <c r="DB65" s="528">
        <v>169418.01999999836</v>
      </c>
      <c r="DC65" s="528">
        <v>0</v>
      </c>
      <c r="DD65" s="528">
        <v>38.770000000000003</v>
      </c>
      <c r="DE65" s="528">
        <v>0</v>
      </c>
      <c r="DF65" s="528">
        <v>0</v>
      </c>
      <c r="DG65" s="528">
        <v>-28516.18</v>
      </c>
      <c r="DH65" s="528">
        <v>-81394.53</v>
      </c>
      <c r="DI65" s="528">
        <v>0</v>
      </c>
      <c r="DJ65" s="528">
        <v>0</v>
      </c>
      <c r="DK65" s="528">
        <f>SUM(DC65:DJ65)</f>
        <v>-109871.94</v>
      </c>
      <c r="DL65" s="528">
        <v>0</v>
      </c>
      <c r="DM65" s="528">
        <v>0</v>
      </c>
      <c r="DN65" s="528">
        <v>0</v>
      </c>
      <c r="DO65" s="528">
        <v>0</v>
      </c>
      <c r="DP65" s="528">
        <v>0</v>
      </c>
      <c r="DQ65" s="529">
        <v>1.6298145055770874E-9</v>
      </c>
      <c r="DR65" s="530">
        <v>1603161.5700000017</v>
      </c>
      <c r="DS65" s="531">
        <v>866817.79999999981</v>
      </c>
      <c r="DT65" s="530">
        <v>200890.60999999996</v>
      </c>
      <c r="DU65" s="530">
        <v>65232.899999999994</v>
      </c>
      <c r="DV65" s="530">
        <v>0</v>
      </c>
      <c r="DW65" s="530">
        <v>0</v>
      </c>
    </row>
    <row r="66" spans="1:127" s="103" customFormat="1">
      <c r="A66" s="525">
        <v>2081</v>
      </c>
      <c r="B66" s="526" t="s">
        <v>640</v>
      </c>
      <c r="C66" s="525">
        <v>2081</v>
      </c>
      <c r="D66" s="527" t="s">
        <v>1284</v>
      </c>
      <c r="E66" s="527" t="s">
        <v>538</v>
      </c>
      <c r="F66" s="527" t="s">
        <v>5</v>
      </c>
      <c r="G66" s="527" t="s">
        <v>535</v>
      </c>
      <c r="H66" s="528">
        <v>2167302.9300000002</v>
      </c>
      <c r="I66" s="528">
        <v>0</v>
      </c>
      <c r="J66" s="528">
        <v>88193.45</v>
      </c>
      <c r="K66" s="528">
        <v>0</v>
      </c>
      <c r="L66" s="528">
        <v>223400</v>
      </c>
      <c r="M66" s="528">
        <v>856.93</v>
      </c>
      <c r="N66" s="528">
        <v>0</v>
      </c>
      <c r="O66" s="528">
        <v>0</v>
      </c>
      <c r="P66" s="528">
        <v>107193.86999999998</v>
      </c>
      <c r="Q66" s="528">
        <v>10312.399999999998</v>
      </c>
      <c r="R66" s="528">
        <v>0</v>
      </c>
      <c r="S66" s="528">
        <v>0</v>
      </c>
      <c r="T66" s="528">
        <v>12725.400000000001</v>
      </c>
      <c r="U66" s="528">
        <v>0</v>
      </c>
      <c r="V66" s="528">
        <v>0</v>
      </c>
      <c r="W66" s="528">
        <v>12369.25</v>
      </c>
      <c r="X66" s="528">
        <v>73173</v>
      </c>
      <c r="Y66" s="528">
        <v>2695527.2300000004</v>
      </c>
      <c r="Z66" s="528">
        <v>1172834.3199999989</v>
      </c>
      <c r="AA66" s="528">
        <v>0</v>
      </c>
      <c r="AB66" s="528">
        <v>318067.96999999997</v>
      </c>
      <c r="AC66" s="528">
        <v>39928.349999999627</v>
      </c>
      <c r="AD66" s="528">
        <v>171155.81</v>
      </c>
      <c r="AE66" s="528">
        <v>0</v>
      </c>
      <c r="AF66" s="528">
        <v>92207.989999999641</v>
      </c>
      <c r="AG66" s="528">
        <v>6963.1400000000031</v>
      </c>
      <c r="AH66" s="528">
        <v>1255</v>
      </c>
      <c r="AI66" s="528">
        <v>0</v>
      </c>
      <c r="AJ66" s="528">
        <v>0</v>
      </c>
      <c r="AK66" s="528">
        <v>6341.04</v>
      </c>
      <c r="AL66" s="528">
        <v>7444.21</v>
      </c>
      <c r="AM66" s="528">
        <v>41067.61</v>
      </c>
      <c r="AN66" s="528">
        <v>12349.39</v>
      </c>
      <c r="AO66" s="528">
        <v>24560.7</v>
      </c>
      <c r="AP66" s="528">
        <v>41339.75</v>
      </c>
      <c r="AQ66" s="528">
        <v>6880.45</v>
      </c>
      <c r="AR66" s="528">
        <v>156226.62000000005</v>
      </c>
      <c r="AS66" s="528">
        <v>10690.41</v>
      </c>
      <c r="AT66" s="528">
        <v>0</v>
      </c>
      <c r="AU66" s="528">
        <v>17666.52999999997</v>
      </c>
      <c r="AV66" s="528">
        <v>9471</v>
      </c>
      <c r="AW66" s="528">
        <v>4715</v>
      </c>
      <c r="AX66" s="528">
        <v>173546.37</v>
      </c>
      <c r="AY66" s="528">
        <v>230145.16999999998</v>
      </c>
      <c r="AZ66" s="528">
        <v>10479.26</v>
      </c>
      <c r="BA66" s="528">
        <v>215347.23</v>
      </c>
      <c r="BB66" s="528">
        <v>0</v>
      </c>
      <c r="BC66" s="528">
        <v>0</v>
      </c>
      <c r="BD66" s="528">
        <v>0</v>
      </c>
      <c r="BE66" s="528">
        <v>2770683.3199999975</v>
      </c>
      <c r="BF66" s="528">
        <v>128567.02000000005</v>
      </c>
      <c r="BG66" s="528">
        <v>-75156.089999997057</v>
      </c>
      <c r="BH66" s="528">
        <v>53410.930000002991</v>
      </c>
      <c r="BI66" s="528">
        <v>8754.25</v>
      </c>
      <c r="BJ66" s="528">
        <v>0</v>
      </c>
      <c r="BK66" s="528">
        <v>0</v>
      </c>
      <c r="BL66" s="528">
        <v>8754.25</v>
      </c>
      <c r="BM66" s="528">
        <v>0</v>
      </c>
      <c r="BN66" s="528">
        <v>16077.139999999998</v>
      </c>
      <c r="BO66" s="528">
        <v>0</v>
      </c>
      <c r="BP66" s="528">
        <v>3584</v>
      </c>
      <c r="BQ66" s="528">
        <v>19661.14</v>
      </c>
      <c r="BR66" s="528">
        <v>50918.68</v>
      </c>
      <c r="BS66" s="528">
        <v>-10906.89</v>
      </c>
      <c r="BT66" s="528">
        <v>40011.79</v>
      </c>
      <c r="BU66" s="528">
        <v>0</v>
      </c>
      <c r="BV66" s="528">
        <v>0</v>
      </c>
      <c r="BW66" s="528">
        <v>0</v>
      </c>
      <c r="BX66" s="528">
        <v>0</v>
      </c>
      <c r="BY66" s="528">
        <v>0</v>
      </c>
      <c r="BZ66" s="528">
        <v>0</v>
      </c>
      <c r="CA66" s="528">
        <v>0</v>
      </c>
      <c r="CB66" s="528">
        <v>0</v>
      </c>
      <c r="CC66" s="528">
        <v>0</v>
      </c>
      <c r="CD66" s="528">
        <v>53410.930000002991</v>
      </c>
      <c r="CE66" s="528">
        <v>0</v>
      </c>
      <c r="CF66" s="528">
        <v>40011.79</v>
      </c>
      <c r="CG66" s="528">
        <v>0</v>
      </c>
      <c r="CH66" s="528">
        <v>0</v>
      </c>
      <c r="CI66" s="528">
        <f t="shared" si="0"/>
        <v>93422.720000002999</v>
      </c>
      <c r="CJ66" s="528">
        <v>363161.46</v>
      </c>
      <c r="CK66" s="528">
        <v>2243.88</v>
      </c>
      <c r="CL66" s="528">
        <v>401.88</v>
      </c>
      <c r="CM66" s="528">
        <v>361319.46</v>
      </c>
      <c r="CN66" s="528">
        <v>0</v>
      </c>
      <c r="CO66" s="528">
        <v>0</v>
      </c>
      <c r="CP66" s="528">
        <v>13126.97</v>
      </c>
      <c r="CQ66" s="528">
        <v>0</v>
      </c>
      <c r="CR66" s="528">
        <v>-223938.19</v>
      </c>
      <c r="CS66" s="528">
        <v>150508.24</v>
      </c>
      <c r="CT66" s="528">
        <v>0</v>
      </c>
      <c r="CU66" s="528">
        <v>0</v>
      </c>
      <c r="CV66" s="528">
        <v>0</v>
      </c>
      <c r="CW66" s="528">
        <v>0</v>
      </c>
      <c r="CX66" s="528"/>
      <c r="CY66" s="528"/>
      <c r="CZ66" s="528"/>
      <c r="DA66" s="528">
        <v>0</v>
      </c>
      <c r="DB66" s="528">
        <v>0</v>
      </c>
      <c r="DC66" s="528">
        <v>0</v>
      </c>
      <c r="DD66" s="528">
        <v>3685.2</v>
      </c>
      <c r="DE66" s="528">
        <v>0</v>
      </c>
      <c r="DF66" s="528">
        <v>0</v>
      </c>
      <c r="DG66" s="528">
        <v>-19522.47</v>
      </c>
      <c r="DH66" s="528">
        <v>-41248.25</v>
      </c>
      <c r="DI66" s="528">
        <v>0</v>
      </c>
      <c r="DJ66" s="528">
        <v>0</v>
      </c>
      <c r="DK66" s="528">
        <v>-57085.520000000004</v>
      </c>
      <c r="DL66" s="528">
        <v>0</v>
      </c>
      <c r="DM66" s="528">
        <v>0</v>
      </c>
      <c r="DN66" s="528">
        <v>0</v>
      </c>
      <c r="DO66" s="528">
        <v>0</v>
      </c>
      <c r="DP66" s="528">
        <v>0</v>
      </c>
      <c r="DQ66" s="529">
        <v>0</v>
      </c>
      <c r="DR66" s="530">
        <v>1801157.579999998</v>
      </c>
      <c r="DS66" s="531">
        <v>969525.73999999953</v>
      </c>
      <c r="DT66" s="530">
        <v>230145.16999999998</v>
      </c>
      <c r="DU66" s="530">
        <v>130231.66999999998</v>
      </c>
      <c r="DV66" s="530">
        <v>0</v>
      </c>
      <c r="DW66" s="530">
        <v>0</v>
      </c>
    </row>
    <row r="67" spans="1:127" s="103" customFormat="1">
      <c r="A67" s="525">
        <v>2296</v>
      </c>
      <c r="B67" s="526" t="s">
        <v>642</v>
      </c>
      <c r="C67" s="525">
        <v>2296</v>
      </c>
      <c r="D67" s="527" t="s">
        <v>1284</v>
      </c>
      <c r="E67" s="527" t="s">
        <v>538</v>
      </c>
      <c r="F67" s="527" t="s">
        <v>5</v>
      </c>
      <c r="G67" s="527" t="s">
        <v>643</v>
      </c>
      <c r="H67" s="528">
        <v>1718445.75</v>
      </c>
      <c r="I67" s="528">
        <v>0</v>
      </c>
      <c r="J67" s="528">
        <v>63863.45</v>
      </c>
      <c r="K67" s="528">
        <v>0</v>
      </c>
      <c r="L67" s="528">
        <v>177130</v>
      </c>
      <c r="M67" s="528">
        <v>800</v>
      </c>
      <c r="N67" s="528">
        <v>0</v>
      </c>
      <c r="O67" s="528">
        <v>41669.03</v>
      </c>
      <c r="P67" s="528">
        <v>0</v>
      </c>
      <c r="Q67" s="528">
        <v>0</v>
      </c>
      <c r="R67" s="528">
        <v>0</v>
      </c>
      <c r="S67" s="528">
        <v>0</v>
      </c>
      <c r="T67" s="528">
        <v>19727.509999999998</v>
      </c>
      <c r="U67" s="528">
        <v>0</v>
      </c>
      <c r="V67" s="528">
        <v>0</v>
      </c>
      <c r="W67" s="528">
        <v>7455.63</v>
      </c>
      <c r="X67" s="528">
        <v>42933</v>
      </c>
      <c r="Y67" s="528">
        <v>2072024.3699999999</v>
      </c>
      <c r="Z67" s="528">
        <v>988873.91</v>
      </c>
      <c r="AA67" s="528">
        <v>0</v>
      </c>
      <c r="AB67" s="528">
        <v>172639.8</v>
      </c>
      <c r="AC67" s="528">
        <v>72871.179999999993</v>
      </c>
      <c r="AD67" s="528">
        <v>103267.66</v>
      </c>
      <c r="AE67" s="528">
        <v>7380.97</v>
      </c>
      <c r="AF67" s="528">
        <v>56332.84</v>
      </c>
      <c r="AG67" s="528">
        <v>6726.28</v>
      </c>
      <c r="AH67" s="528">
        <v>3257.6</v>
      </c>
      <c r="AI67" s="528">
        <v>0</v>
      </c>
      <c r="AJ67" s="528">
        <v>0</v>
      </c>
      <c r="AK67" s="528">
        <v>72236.63</v>
      </c>
      <c r="AL67" s="528">
        <v>2246.25</v>
      </c>
      <c r="AM67" s="528">
        <v>1564.26</v>
      </c>
      <c r="AN67" s="528">
        <v>7471.35</v>
      </c>
      <c r="AO67" s="528">
        <v>27722.6</v>
      </c>
      <c r="AP67" s="528">
        <v>31269.81</v>
      </c>
      <c r="AQ67" s="528">
        <v>19836.21</v>
      </c>
      <c r="AR67" s="528">
        <v>62521.01</v>
      </c>
      <c r="AS67" s="528">
        <v>8186.86</v>
      </c>
      <c r="AT67" s="528">
        <v>0</v>
      </c>
      <c r="AU67" s="528">
        <v>6552.09</v>
      </c>
      <c r="AV67" s="528">
        <v>5377.5</v>
      </c>
      <c r="AW67" s="528">
        <v>0</v>
      </c>
      <c r="AX67" s="528">
        <v>61163.47</v>
      </c>
      <c r="AY67" s="528">
        <v>163766.15</v>
      </c>
      <c r="AZ67" s="528">
        <v>16137.990000000002</v>
      </c>
      <c r="BA67" s="528">
        <v>98854.36</v>
      </c>
      <c r="BB67" s="528">
        <v>0</v>
      </c>
      <c r="BC67" s="528">
        <v>0</v>
      </c>
      <c r="BD67" s="528">
        <v>0</v>
      </c>
      <c r="BE67" s="528">
        <v>1996256.7800000005</v>
      </c>
      <c r="BF67" s="528">
        <v>238822.42999999991</v>
      </c>
      <c r="BG67" s="528">
        <v>75767.589999999385</v>
      </c>
      <c r="BH67" s="528">
        <v>314590.01999999932</v>
      </c>
      <c r="BI67" s="528">
        <v>7403.13</v>
      </c>
      <c r="BJ67" s="528">
        <v>0</v>
      </c>
      <c r="BK67" s="528">
        <v>0</v>
      </c>
      <c r="BL67" s="528">
        <v>7403.13</v>
      </c>
      <c r="BM67" s="528">
        <v>0</v>
      </c>
      <c r="BN67" s="528">
        <v>4990</v>
      </c>
      <c r="BO67" s="528">
        <v>0</v>
      </c>
      <c r="BP67" s="528">
        <v>0</v>
      </c>
      <c r="BQ67" s="528">
        <v>4990</v>
      </c>
      <c r="BR67" s="528">
        <v>18214.11</v>
      </c>
      <c r="BS67" s="528">
        <v>2413.13</v>
      </c>
      <c r="BT67" s="528">
        <v>20627.240000000002</v>
      </c>
      <c r="BU67" s="528">
        <v>0</v>
      </c>
      <c r="BV67" s="528">
        <v>0</v>
      </c>
      <c r="BW67" s="528">
        <v>0</v>
      </c>
      <c r="BX67" s="528">
        <v>0</v>
      </c>
      <c r="BY67" s="528">
        <v>0</v>
      </c>
      <c r="BZ67" s="528">
        <v>0</v>
      </c>
      <c r="CA67" s="528">
        <v>0</v>
      </c>
      <c r="CB67" s="528">
        <v>0</v>
      </c>
      <c r="CC67" s="528">
        <v>0</v>
      </c>
      <c r="CD67" s="528">
        <v>314590.01999999932</v>
      </c>
      <c r="CE67" s="528">
        <v>0</v>
      </c>
      <c r="CF67" s="528">
        <v>20627.240000000002</v>
      </c>
      <c r="CG67" s="528">
        <v>0</v>
      </c>
      <c r="CH67" s="528">
        <v>0</v>
      </c>
      <c r="CI67" s="528">
        <f t="shared" si="0"/>
        <v>335217.25999999931</v>
      </c>
      <c r="CJ67" s="528">
        <v>453549.5</v>
      </c>
      <c r="CK67" s="528">
        <v>136388.35999999999</v>
      </c>
      <c r="CL67" s="528">
        <v>0</v>
      </c>
      <c r="CM67" s="528">
        <v>317161.14</v>
      </c>
      <c r="CN67" s="528">
        <v>0</v>
      </c>
      <c r="CO67" s="528">
        <v>0</v>
      </c>
      <c r="CP67" s="528">
        <v>14483.179999999998</v>
      </c>
      <c r="CQ67" s="528">
        <v>-8325.9</v>
      </c>
      <c r="CR67" s="528">
        <v>33340.5</v>
      </c>
      <c r="CS67" s="528">
        <v>356658.92</v>
      </c>
      <c r="CT67" s="528">
        <v>0</v>
      </c>
      <c r="CU67" s="528">
        <v>0</v>
      </c>
      <c r="CV67" s="528">
        <v>0</v>
      </c>
      <c r="CW67" s="528">
        <v>0</v>
      </c>
      <c r="CX67" s="528"/>
      <c r="CY67" s="528"/>
      <c r="CZ67" s="528"/>
      <c r="DA67" s="528">
        <v>0</v>
      </c>
      <c r="DB67" s="528">
        <v>0</v>
      </c>
      <c r="DC67" s="528">
        <v>0</v>
      </c>
      <c r="DD67" s="528">
        <v>0</v>
      </c>
      <c r="DE67" s="528">
        <v>0</v>
      </c>
      <c r="DF67" s="528">
        <v>0</v>
      </c>
      <c r="DG67" s="528">
        <v>-21441.46</v>
      </c>
      <c r="DH67" s="528">
        <v>0</v>
      </c>
      <c r="DI67" s="528">
        <v>0</v>
      </c>
      <c r="DJ67" s="528">
        <v>0</v>
      </c>
      <c r="DK67" s="528">
        <v>-21441.46</v>
      </c>
      <c r="DL67" s="528">
        <v>0</v>
      </c>
      <c r="DM67" s="528">
        <v>0</v>
      </c>
      <c r="DN67" s="528">
        <v>0</v>
      </c>
      <c r="DO67" s="528">
        <v>0</v>
      </c>
      <c r="DP67" s="528">
        <v>0</v>
      </c>
      <c r="DQ67" s="529">
        <v>-0.19999999995343387</v>
      </c>
      <c r="DR67" s="530">
        <v>1408092.64</v>
      </c>
      <c r="DS67" s="531">
        <v>588164.1400000006</v>
      </c>
      <c r="DT67" s="530">
        <v>163766.15</v>
      </c>
      <c r="DU67" s="530">
        <v>61396.539999999994</v>
      </c>
      <c r="DV67" s="530">
        <v>0</v>
      </c>
      <c r="DW67" s="530">
        <v>0</v>
      </c>
    </row>
    <row r="68" spans="1:127" s="103" customFormat="1">
      <c r="A68" s="525">
        <v>1015</v>
      </c>
      <c r="B68" s="526" t="s">
        <v>645</v>
      </c>
      <c r="C68" s="525">
        <v>1015</v>
      </c>
      <c r="D68" s="527" t="s">
        <v>1284</v>
      </c>
      <c r="E68" s="527" t="s">
        <v>534</v>
      </c>
      <c r="F68" s="527" t="s">
        <v>5</v>
      </c>
      <c r="G68" s="527" t="s">
        <v>535</v>
      </c>
      <c r="H68" s="528">
        <v>757253.73</v>
      </c>
      <c r="I68" s="528">
        <v>0</v>
      </c>
      <c r="J68" s="528">
        <v>31748.560000000001</v>
      </c>
      <c r="K68" s="528">
        <v>0</v>
      </c>
      <c r="L68" s="528">
        <v>0</v>
      </c>
      <c r="M68" s="528">
        <v>500</v>
      </c>
      <c r="N68" s="528">
        <v>0</v>
      </c>
      <c r="O68" s="528">
        <v>0</v>
      </c>
      <c r="P68" s="528">
        <v>52228</v>
      </c>
      <c r="Q68" s="528">
        <v>0</v>
      </c>
      <c r="R68" s="528">
        <v>0</v>
      </c>
      <c r="S68" s="528">
        <v>0</v>
      </c>
      <c r="T68" s="528">
        <v>36125.370000000003</v>
      </c>
      <c r="U68" s="528">
        <v>47413.35</v>
      </c>
      <c r="V68" s="528">
        <v>0</v>
      </c>
      <c r="W68" s="528">
        <v>0</v>
      </c>
      <c r="X68" s="528">
        <v>-1087</v>
      </c>
      <c r="Y68" s="528">
        <v>924182.01</v>
      </c>
      <c r="Z68" s="528">
        <v>251515.69000000012</v>
      </c>
      <c r="AA68" s="528">
        <v>0</v>
      </c>
      <c r="AB68" s="528">
        <v>377365.54</v>
      </c>
      <c r="AC68" s="528">
        <v>32735.470000000059</v>
      </c>
      <c r="AD68" s="528">
        <v>40374.660000000003</v>
      </c>
      <c r="AE68" s="528">
        <v>0</v>
      </c>
      <c r="AF68" s="528">
        <v>9481.3700000001809</v>
      </c>
      <c r="AG68" s="528">
        <v>349.99999999999818</v>
      </c>
      <c r="AH68" s="528">
        <v>5910.83</v>
      </c>
      <c r="AI68" s="528">
        <v>0</v>
      </c>
      <c r="AJ68" s="528">
        <v>3291.75</v>
      </c>
      <c r="AK68" s="528">
        <v>39684.78</v>
      </c>
      <c r="AL68" s="528">
        <v>0</v>
      </c>
      <c r="AM68" s="528">
        <v>151</v>
      </c>
      <c r="AN68" s="528">
        <v>1781.78</v>
      </c>
      <c r="AO68" s="528">
        <v>9493.1400000000012</v>
      </c>
      <c r="AP68" s="528">
        <v>0</v>
      </c>
      <c r="AQ68" s="528">
        <v>1905.1100000000001</v>
      </c>
      <c r="AR68" s="528">
        <v>29712.69000000001</v>
      </c>
      <c r="AS68" s="528">
        <v>158.75</v>
      </c>
      <c r="AT68" s="528">
        <v>0</v>
      </c>
      <c r="AU68" s="528">
        <v>7176.4799999999959</v>
      </c>
      <c r="AV68" s="528">
        <v>3291.75</v>
      </c>
      <c r="AW68" s="528">
        <v>0</v>
      </c>
      <c r="AX68" s="528">
        <v>0</v>
      </c>
      <c r="AY68" s="528">
        <v>326.79999999997381</v>
      </c>
      <c r="AZ68" s="528">
        <v>0</v>
      </c>
      <c r="BA68" s="528">
        <v>0</v>
      </c>
      <c r="BB68" s="528">
        <v>53795.8</v>
      </c>
      <c r="BC68" s="528">
        <v>0</v>
      </c>
      <c r="BD68" s="528">
        <v>0</v>
      </c>
      <c r="BE68" s="528">
        <v>868503.39000000048</v>
      </c>
      <c r="BF68" s="528">
        <v>159353.10000000009</v>
      </c>
      <c r="BG68" s="528">
        <v>55678.61999999953</v>
      </c>
      <c r="BH68" s="528">
        <v>215031.71999999962</v>
      </c>
      <c r="BI68" s="528">
        <v>4951.75</v>
      </c>
      <c r="BJ68" s="528">
        <v>0</v>
      </c>
      <c r="BK68" s="528">
        <v>0</v>
      </c>
      <c r="BL68" s="528">
        <v>4951.75</v>
      </c>
      <c r="BM68" s="528">
        <v>0</v>
      </c>
      <c r="BN68" s="528">
        <v>4250</v>
      </c>
      <c r="BO68" s="528">
        <v>0</v>
      </c>
      <c r="BP68" s="528">
        <v>0</v>
      </c>
      <c r="BQ68" s="528">
        <v>4250</v>
      </c>
      <c r="BR68" s="528">
        <v>16487.5</v>
      </c>
      <c r="BS68" s="528">
        <v>701.75</v>
      </c>
      <c r="BT68" s="528">
        <v>17189.25</v>
      </c>
      <c r="BU68" s="528">
        <v>0</v>
      </c>
      <c r="BV68" s="528">
        <v>0</v>
      </c>
      <c r="BW68" s="528">
        <v>0</v>
      </c>
      <c r="BX68" s="528">
        <v>0</v>
      </c>
      <c r="BY68" s="528">
        <v>0</v>
      </c>
      <c r="BZ68" s="528">
        <v>0</v>
      </c>
      <c r="CA68" s="528">
        <v>0</v>
      </c>
      <c r="CB68" s="528">
        <v>0</v>
      </c>
      <c r="CC68" s="528">
        <v>0</v>
      </c>
      <c r="CD68" s="528">
        <v>215031.71999999962</v>
      </c>
      <c r="CE68" s="528">
        <v>0</v>
      </c>
      <c r="CF68" s="528">
        <v>17189.25</v>
      </c>
      <c r="CG68" s="528">
        <v>0</v>
      </c>
      <c r="CH68" s="528">
        <v>0</v>
      </c>
      <c r="CI68" s="528">
        <f t="shared" si="0"/>
        <v>232220.96999999962</v>
      </c>
      <c r="CJ68" s="528">
        <v>277308.18</v>
      </c>
      <c r="CK68" s="528">
        <v>50273</v>
      </c>
      <c r="CL68" s="528">
        <v>0</v>
      </c>
      <c r="CM68" s="528">
        <v>227035.18</v>
      </c>
      <c r="CN68" s="528">
        <v>1142.46</v>
      </c>
      <c r="CO68" s="528">
        <v>0</v>
      </c>
      <c r="CP68" s="528">
        <v>893.16</v>
      </c>
      <c r="CQ68" s="528">
        <v>0</v>
      </c>
      <c r="CR68" s="528">
        <v>0</v>
      </c>
      <c r="CS68" s="528">
        <v>229070.8</v>
      </c>
      <c r="CT68" s="528">
        <v>0</v>
      </c>
      <c r="CU68" s="528">
        <v>0</v>
      </c>
      <c r="CV68" s="528">
        <v>0</v>
      </c>
      <c r="CW68" s="528">
        <v>0</v>
      </c>
      <c r="CX68" s="528"/>
      <c r="CY68" s="528"/>
      <c r="CZ68" s="528"/>
      <c r="DA68" s="528">
        <v>0</v>
      </c>
      <c r="DB68" s="528">
        <v>0</v>
      </c>
      <c r="DC68" s="528">
        <v>0</v>
      </c>
      <c r="DD68" s="528">
        <v>4792.3999999999996</v>
      </c>
      <c r="DE68" s="528">
        <v>0</v>
      </c>
      <c r="DF68" s="528">
        <v>0</v>
      </c>
      <c r="DG68" s="528">
        <v>-3430.23</v>
      </c>
      <c r="DH68" s="528">
        <v>1788</v>
      </c>
      <c r="DI68" s="528">
        <v>0</v>
      </c>
      <c r="DJ68" s="528">
        <v>0</v>
      </c>
      <c r="DK68" s="528">
        <v>3150.1699999999996</v>
      </c>
      <c r="DL68" s="528">
        <v>0</v>
      </c>
      <c r="DM68" s="528">
        <v>0</v>
      </c>
      <c r="DN68" s="528">
        <v>0</v>
      </c>
      <c r="DO68" s="528">
        <v>0</v>
      </c>
      <c r="DP68" s="528">
        <v>0</v>
      </c>
      <c r="DQ68" s="529">
        <v>0</v>
      </c>
      <c r="DR68" s="530">
        <v>711822.73000000045</v>
      </c>
      <c r="DS68" s="531">
        <v>156680.66000000003</v>
      </c>
      <c r="DT68" s="530">
        <v>326.79999999997381</v>
      </c>
      <c r="DU68" s="530">
        <v>88353.37</v>
      </c>
      <c r="DV68" s="530">
        <v>47413.35</v>
      </c>
      <c r="DW68" s="530">
        <v>0</v>
      </c>
    </row>
    <row r="69" spans="1:127" s="103" customFormat="1">
      <c r="A69" s="525">
        <v>1022</v>
      </c>
      <c r="B69" s="526" t="s">
        <v>647</v>
      </c>
      <c r="C69" s="525">
        <v>1022</v>
      </c>
      <c r="D69" s="527" t="s">
        <v>1284</v>
      </c>
      <c r="E69" s="527" t="s">
        <v>534</v>
      </c>
      <c r="F69" s="527" t="s">
        <v>5</v>
      </c>
      <c r="G69" s="527" t="s">
        <v>535</v>
      </c>
      <c r="H69" s="528">
        <v>649121.31000000006</v>
      </c>
      <c r="I69" s="528">
        <v>0</v>
      </c>
      <c r="J69" s="528">
        <v>48141.16</v>
      </c>
      <c r="K69" s="528">
        <v>0</v>
      </c>
      <c r="L69" s="528">
        <v>0</v>
      </c>
      <c r="M69" s="528">
        <v>856.93</v>
      </c>
      <c r="N69" s="528">
        <v>0</v>
      </c>
      <c r="O69" s="528">
        <v>0</v>
      </c>
      <c r="P69" s="528">
        <v>6647.33</v>
      </c>
      <c r="Q69" s="528">
        <v>0</v>
      </c>
      <c r="R69" s="528">
        <v>0</v>
      </c>
      <c r="S69" s="528">
        <v>0</v>
      </c>
      <c r="T69" s="528">
        <v>9570.4</v>
      </c>
      <c r="U69" s="528">
        <v>54976</v>
      </c>
      <c r="V69" s="528">
        <v>0</v>
      </c>
      <c r="W69" s="528">
        <v>0</v>
      </c>
      <c r="X69" s="528">
        <v>0</v>
      </c>
      <c r="Y69" s="528">
        <v>769313.13000000012</v>
      </c>
      <c r="Z69" s="528">
        <v>205669.80000000016</v>
      </c>
      <c r="AA69" s="528">
        <v>0</v>
      </c>
      <c r="AB69" s="528">
        <v>83287.16</v>
      </c>
      <c r="AC69" s="528">
        <v>1262</v>
      </c>
      <c r="AD69" s="528">
        <v>3270.66</v>
      </c>
      <c r="AE69" s="528">
        <v>0</v>
      </c>
      <c r="AF69" s="528">
        <v>97463.950000000055</v>
      </c>
      <c r="AG69" s="528">
        <v>967.60999999999785</v>
      </c>
      <c r="AH69" s="528">
        <v>2576</v>
      </c>
      <c r="AI69" s="528">
        <v>0</v>
      </c>
      <c r="AJ69" s="528">
        <v>0</v>
      </c>
      <c r="AK69" s="528">
        <v>16286.51</v>
      </c>
      <c r="AL69" s="528">
        <v>11884.4</v>
      </c>
      <c r="AM69" s="528">
        <v>13377.09</v>
      </c>
      <c r="AN69" s="528">
        <v>1165.6699999999998</v>
      </c>
      <c r="AO69" s="528">
        <v>9282.0300000000007</v>
      </c>
      <c r="AP69" s="528">
        <v>0</v>
      </c>
      <c r="AQ69" s="528">
        <v>17111.52</v>
      </c>
      <c r="AR69" s="528">
        <v>16446.139999999996</v>
      </c>
      <c r="AS69" s="528">
        <v>893.14</v>
      </c>
      <c r="AT69" s="528">
        <v>0</v>
      </c>
      <c r="AU69" s="528">
        <v>4997.6399999999994</v>
      </c>
      <c r="AV69" s="528">
        <v>3291.75</v>
      </c>
      <c r="AW69" s="528">
        <v>0</v>
      </c>
      <c r="AX69" s="528">
        <v>1379.2399999999998</v>
      </c>
      <c r="AY69" s="528">
        <v>80488.549999999988</v>
      </c>
      <c r="AZ69" s="528">
        <v>0</v>
      </c>
      <c r="BA69" s="528">
        <v>82789.929999999993</v>
      </c>
      <c r="BB69" s="528">
        <v>0</v>
      </c>
      <c r="BC69" s="528">
        <v>0</v>
      </c>
      <c r="BD69" s="528">
        <v>0</v>
      </c>
      <c r="BE69" s="528">
        <v>653890.79000000027</v>
      </c>
      <c r="BF69" s="528">
        <v>233684.74</v>
      </c>
      <c r="BG69" s="528">
        <v>115422.33999999985</v>
      </c>
      <c r="BH69" s="528">
        <v>349107.07999999984</v>
      </c>
      <c r="BI69" s="528">
        <v>4627.75</v>
      </c>
      <c r="BJ69" s="528">
        <v>0</v>
      </c>
      <c r="BK69" s="528">
        <v>0</v>
      </c>
      <c r="BL69" s="528">
        <v>4627.75</v>
      </c>
      <c r="BM69" s="528">
        <v>0</v>
      </c>
      <c r="BN69" s="528">
        <v>0</v>
      </c>
      <c r="BO69" s="528">
        <v>0</v>
      </c>
      <c r="BP69" s="528">
        <v>0</v>
      </c>
      <c r="BQ69" s="528">
        <v>0</v>
      </c>
      <c r="BR69" s="528">
        <v>7297.5899999999965</v>
      </c>
      <c r="BS69" s="528">
        <v>4627.75</v>
      </c>
      <c r="BT69" s="528">
        <v>11925.339999999997</v>
      </c>
      <c r="BU69" s="528">
        <v>0</v>
      </c>
      <c r="BV69" s="528">
        <v>0</v>
      </c>
      <c r="BW69" s="528">
        <v>0</v>
      </c>
      <c r="BX69" s="528">
        <v>0</v>
      </c>
      <c r="BY69" s="528">
        <v>0</v>
      </c>
      <c r="BZ69" s="528">
        <v>0</v>
      </c>
      <c r="CA69" s="528">
        <v>0</v>
      </c>
      <c r="CB69" s="528">
        <v>0</v>
      </c>
      <c r="CC69" s="528">
        <v>0</v>
      </c>
      <c r="CD69" s="528">
        <v>349107.07999999984</v>
      </c>
      <c r="CE69" s="528">
        <v>0</v>
      </c>
      <c r="CF69" s="528">
        <v>11925.339999999997</v>
      </c>
      <c r="CG69" s="528">
        <v>0</v>
      </c>
      <c r="CH69" s="528">
        <v>0</v>
      </c>
      <c r="CI69" s="528">
        <f t="shared" si="0"/>
        <v>361032.41999999981</v>
      </c>
      <c r="CJ69" s="528">
        <v>363258.17</v>
      </c>
      <c r="CK69" s="528">
        <v>0</v>
      </c>
      <c r="CL69" s="528">
        <v>0</v>
      </c>
      <c r="CM69" s="528">
        <v>363258.17</v>
      </c>
      <c r="CN69" s="528">
        <v>600</v>
      </c>
      <c r="CO69" s="528">
        <v>0</v>
      </c>
      <c r="CP69" s="528">
        <v>2415.84</v>
      </c>
      <c r="CQ69" s="528">
        <v>0</v>
      </c>
      <c r="CR69" s="528">
        <v>0</v>
      </c>
      <c r="CS69" s="528">
        <v>366274.01</v>
      </c>
      <c r="CT69" s="528">
        <v>0</v>
      </c>
      <c r="CU69" s="528">
        <v>0</v>
      </c>
      <c r="CV69" s="528">
        <v>0</v>
      </c>
      <c r="CW69" s="528">
        <v>0</v>
      </c>
      <c r="CX69" s="528"/>
      <c r="CY69" s="528"/>
      <c r="CZ69" s="528"/>
      <c r="DA69" s="528">
        <v>0</v>
      </c>
      <c r="DB69" s="528">
        <v>0</v>
      </c>
      <c r="DC69" s="528">
        <v>0</v>
      </c>
      <c r="DD69" s="528">
        <v>6647.33</v>
      </c>
      <c r="DE69" s="528">
        <v>0</v>
      </c>
      <c r="DF69" s="528">
        <v>0</v>
      </c>
      <c r="DG69" s="528">
        <v>-11889.31</v>
      </c>
      <c r="DH69" s="528">
        <v>0</v>
      </c>
      <c r="DI69" s="528">
        <v>0</v>
      </c>
      <c r="DJ69" s="528">
        <v>0</v>
      </c>
      <c r="DK69" s="528">
        <v>-5241.9799999999996</v>
      </c>
      <c r="DL69" s="528">
        <v>0</v>
      </c>
      <c r="DM69" s="528">
        <v>0</v>
      </c>
      <c r="DN69" s="528">
        <v>0</v>
      </c>
      <c r="DO69" s="528">
        <v>0</v>
      </c>
      <c r="DP69" s="528">
        <v>0</v>
      </c>
      <c r="DQ69" s="529"/>
      <c r="DR69" s="530">
        <v>391921.18000000023</v>
      </c>
      <c r="DS69" s="531">
        <v>261969.61000000004</v>
      </c>
      <c r="DT69" s="530">
        <v>80488.549999999988</v>
      </c>
      <c r="DU69" s="530">
        <v>16217.73</v>
      </c>
      <c r="DV69" s="530">
        <v>54976</v>
      </c>
      <c r="DW69" s="530">
        <v>0</v>
      </c>
    </row>
    <row r="70" spans="1:127" s="103" customFormat="1">
      <c r="A70" s="525">
        <v>2087</v>
      </c>
      <c r="B70" s="526" t="s">
        <v>649</v>
      </c>
      <c r="C70" s="525">
        <v>2087</v>
      </c>
      <c r="D70" s="527" t="s">
        <v>1284</v>
      </c>
      <c r="E70" s="527" t="s">
        <v>538</v>
      </c>
      <c r="F70" s="527" t="s">
        <v>5</v>
      </c>
      <c r="G70" s="527" t="s">
        <v>535</v>
      </c>
      <c r="H70" s="528">
        <v>2219419.39</v>
      </c>
      <c r="I70" s="528">
        <v>0</v>
      </c>
      <c r="J70" s="528">
        <v>144946.63</v>
      </c>
      <c r="K70" s="528">
        <v>0</v>
      </c>
      <c r="L70" s="528">
        <v>279720</v>
      </c>
      <c r="M70" s="528">
        <v>2600</v>
      </c>
      <c r="N70" s="528">
        <v>0</v>
      </c>
      <c r="O70" s="528">
        <v>0</v>
      </c>
      <c r="P70" s="528">
        <v>51892.259999999995</v>
      </c>
      <c r="Q70" s="528">
        <v>42807.26</v>
      </c>
      <c r="R70" s="528">
        <v>0</v>
      </c>
      <c r="S70" s="528">
        <v>0</v>
      </c>
      <c r="T70" s="528">
        <v>0</v>
      </c>
      <c r="U70" s="528">
        <v>0</v>
      </c>
      <c r="V70" s="528">
        <v>0</v>
      </c>
      <c r="W70" s="528">
        <v>16175.83</v>
      </c>
      <c r="X70" s="528">
        <v>44164</v>
      </c>
      <c r="Y70" s="528">
        <v>2801725.3699999996</v>
      </c>
      <c r="Z70" s="528">
        <v>1121460.5199999968</v>
      </c>
      <c r="AA70" s="528">
        <v>-193.92999999999992</v>
      </c>
      <c r="AB70" s="528">
        <v>559.11999999999978</v>
      </c>
      <c r="AC70" s="528">
        <v>486942.93000000005</v>
      </c>
      <c r="AD70" s="528">
        <v>6.31</v>
      </c>
      <c r="AE70" s="528">
        <v>0</v>
      </c>
      <c r="AF70" s="528">
        <v>393217.04</v>
      </c>
      <c r="AG70" s="528">
        <v>20711.899999999972</v>
      </c>
      <c r="AH70" s="528">
        <v>1159.0500000000002</v>
      </c>
      <c r="AI70" s="528">
        <v>0</v>
      </c>
      <c r="AJ70" s="528">
        <v>0</v>
      </c>
      <c r="AK70" s="528">
        <v>38495.780000000013</v>
      </c>
      <c r="AL70" s="528">
        <v>4652.4400000000005</v>
      </c>
      <c r="AM70" s="528">
        <v>2404.15</v>
      </c>
      <c r="AN70" s="528">
        <v>15671.899999999998</v>
      </c>
      <c r="AO70" s="528">
        <v>35367.840000000004</v>
      </c>
      <c r="AP70" s="528">
        <v>25826.99</v>
      </c>
      <c r="AQ70" s="528">
        <v>8781.880000000001</v>
      </c>
      <c r="AR70" s="528">
        <v>155444.74000000002</v>
      </c>
      <c r="AS70" s="528">
        <v>3589.65</v>
      </c>
      <c r="AT70" s="528">
        <v>0</v>
      </c>
      <c r="AU70" s="528">
        <v>25229.160000000003</v>
      </c>
      <c r="AV70" s="528">
        <v>9471</v>
      </c>
      <c r="AW70" s="528">
        <v>1495</v>
      </c>
      <c r="AX70" s="528">
        <v>149812.95000000001</v>
      </c>
      <c r="AY70" s="528">
        <v>142998.63999999998</v>
      </c>
      <c r="AZ70" s="528">
        <v>9050.27</v>
      </c>
      <c r="BA70" s="528">
        <v>123659.98999999999</v>
      </c>
      <c r="BB70" s="528">
        <v>0</v>
      </c>
      <c r="BC70" s="528">
        <v>0</v>
      </c>
      <c r="BD70" s="528">
        <v>0</v>
      </c>
      <c r="BE70" s="528">
        <v>2775815.3199999975</v>
      </c>
      <c r="BF70" s="528">
        <v>253666.92000000022</v>
      </c>
      <c r="BG70" s="528">
        <v>25910.050000002142</v>
      </c>
      <c r="BH70" s="528">
        <v>279576.97000000236</v>
      </c>
      <c r="BI70" s="528">
        <v>8230</v>
      </c>
      <c r="BJ70" s="528">
        <v>0</v>
      </c>
      <c r="BK70" s="528">
        <v>0</v>
      </c>
      <c r="BL70" s="528">
        <v>8230</v>
      </c>
      <c r="BM70" s="528">
        <v>0</v>
      </c>
      <c r="BN70" s="528">
        <v>5523.18</v>
      </c>
      <c r="BO70" s="528">
        <v>0</v>
      </c>
      <c r="BP70" s="528">
        <v>0</v>
      </c>
      <c r="BQ70" s="528">
        <v>5523.18</v>
      </c>
      <c r="BR70" s="528">
        <v>0</v>
      </c>
      <c r="BS70" s="528">
        <v>2706.8199999999997</v>
      </c>
      <c r="BT70" s="528">
        <v>2706.8199999999997</v>
      </c>
      <c r="BU70" s="528">
        <v>0</v>
      </c>
      <c r="BV70" s="528">
        <v>0</v>
      </c>
      <c r="BW70" s="528">
        <v>0</v>
      </c>
      <c r="BX70" s="528">
        <v>0</v>
      </c>
      <c r="BY70" s="528">
        <v>0</v>
      </c>
      <c r="BZ70" s="528">
        <v>0</v>
      </c>
      <c r="CA70" s="528">
        <v>0</v>
      </c>
      <c r="CB70" s="528">
        <v>0</v>
      </c>
      <c r="CC70" s="528">
        <v>0</v>
      </c>
      <c r="CD70" s="528">
        <v>279576.97000000236</v>
      </c>
      <c r="CE70" s="528">
        <v>0</v>
      </c>
      <c r="CF70" s="528">
        <v>2706.82</v>
      </c>
      <c r="CG70" s="528">
        <v>0</v>
      </c>
      <c r="CH70" s="528">
        <v>0</v>
      </c>
      <c r="CI70" s="528">
        <f t="shared" si="0"/>
        <v>282283.79000000237</v>
      </c>
      <c r="CJ70" s="528">
        <v>725319</v>
      </c>
      <c r="CK70" s="528">
        <v>0</v>
      </c>
      <c r="CL70" s="528">
        <v>0</v>
      </c>
      <c r="CM70" s="528">
        <v>725319</v>
      </c>
      <c r="CN70" s="528">
        <v>0</v>
      </c>
      <c r="CO70" s="528">
        <v>0</v>
      </c>
      <c r="CP70" s="528">
        <v>3635</v>
      </c>
      <c r="CQ70" s="528">
        <v>0</v>
      </c>
      <c r="CR70" s="528">
        <v>-409581.18</v>
      </c>
      <c r="CS70" s="528">
        <v>319372.82</v>
      </c>
      <c r="CT70" s="528">
        <v>0</v>
      </c>
      <c r="CU70" s="528">
        <v>0</v>
      </c>
      <c r="CV70" s="528">
        <v>0</v>
      </c>
      <c r="CW70" s="528">
        <v>0</v>
      </c>
      <c r="CX70" s="528"/>
      <c r="CY70" s="528"/>
      <c r="CZ70" s="528"/>
      <c r="DA70" s="528">
        <v>0</v>
      </c>
      <c r="DB70" s="528">
        <v>0</v>
      </c>
      <c r="DC70" s="528">
        <v>0</v>
      </c>
      <c r="DD70" s="528">
        <v>7545.92</v>
      </c>
      <c r="DE70" s="528">
        <v>0</v>
      </c>
      <c r="DF70" s="528">
        <v>0</v>
      </c>
      <c r="DG70" s="528">
        <v>0</v>
      </c>
      <c r="DH70" s="528">
        <v>-44634.51</v>
      </c>
      <c r="DI70" s="528">
        <v>0</v>
      </c>
      <c r="DJ70" s="528">
        <v>0</v>
      </c>
      <c r="DK70" s="528">
        <v>-37088.590000000004</v>
      </c>
      <c r="DL70" s="528">
        <v>0</v>
      </c>
      <c r="DM70" s="528">
        <v>0</v>
      </c>
      <c r="DN70" s="528">
        <v>0</v>
      </c>
      <c r="DO70" s="528">
        <v>0</v>
      </c>
      <c r="DP70" s="528">
        <v>0</v>
      </c>
      <c r="DQ70" s="529">
        <v>-0.44000000000232831</v>
      </c>
      <c r="DR70" s="530">
        <v>2022703.8899999969</v>
      </c>
      <c r="DS70" s="531">
        <v>753111.43000000063</v>
      </c>
      <c r="DT70" s="530">
        <v>142998.63999999998</v>
      </c>
      <c r="DU70" s="530">
        <v>94699.51999999999</v>
      </c>
      <c r="DV70" s="530">
        <v>0</v>
      </c>
      <c r="DW70" s="530">
        <v>0</v>
      </c>
    </row>
    <row r="71" spans="1:127" s="103" customFormat="1">
      <c r="A71" s="525">
        <v>2466</v>
      </c>
      <c r="B71" s="526" t="s">
        <v>651</v>
      </c>
      <c r="C71" s="525">
        <v>2466</v>
      </c>
      <c r="D71" s="527" t="s">
        <v>1284</v>
      </c>
      <c r="E71" s="527" t="s">
        <v>538</v>
      </c>
      <c r="F71" s="527" t="s">
        <v>5</v>
      </c>
      <c r="G71" s="527" t="s">
        <v>535</v>
      </c>
      <c r="H71" s="528">
        <v>3737307.28</v>
      </c>
      <c r="I71" s="528">
        <v>0</v>
      </c>
      <c r="J71" s="528">
        <v>88352.22</v>
      </c>
      <c r="K71" s="528">
        <v>0</v>
      </c>
      <c r="L71" s="528">
        <v>417300</v>
      </c>
      <c r="M71" s="528">
        <v>13027.72</v>
      </c>
      <c r="N71" s="528">
        <v>0</v>
      </c>
      <c r="O71" s="528">
        <v>0</v>
      </c>
      <c r="P71" s="528">
        <v>59916.990000000005</v>
      </c>
      <c r="Q71" s="528">
        <v>1509.54</v>
      </c>
      <c r="R71" s="528">
        <v>0</v>
      </c>
      <c r="S71" s="528">
        <v>0</v>
      </c>
      <c r="T71" s="528">
        <v>9458.0400000000009</v>
      </c>
      <c r="U71" s="528">
        <v>260</v>
      </c>
      <c r="V71" s="528">
        <v>0</v>
      </c>
      <c r="W71" s="528">
        <v>22809.38</v>
      </c>
      <c r="X71" s="528">
        <v>84343</v>
      </c>
      <c r="Y71" s="528">
        <v>4434284.17</v>
      </c>
      <c r="Z71" s="528">
        <v>1869034.5500000007</v>
      </c>
      <c r="AA71" s="528">
        <v>0</v>
      </c>
      <c r="AB71" s="528">
        <v>373382.39999999997</v>
      </c>
      <c r="AC71" s="528">
        <v>293038.77000000066</v>
      </c>
      <c r="AD71" s="528">
        <v>161586.28</v>
      </c>
      <c r="AE71" s="528">
        <v>91456.07</v>
      </c>
      <c r="AF71" s="528">
        <v>160841.51000000021</v>
      </c>
      <c r="AG71" s="528">
        <v>13327.660000000022</v>
      </c>
      <c r="AH71" s="528">
        <v>289</v>
      </c>
      <c r="AI71" s="528">
        <v>0</v>
      </c>
      <c r="AJ71" s="528">
        <v>0</v>
      </c>
      <c r="AK71" s="528">
        <v>74127.380000000019</v>
      </c>
      <c r="AL71" s="528">
        <v>7750.0499999999993</v>
      </c>
      <c r="AM71" s="528">
        <v>15518.429999999997</v>
      </c>
      <c r="AN71" s="528">
        <v>19708.670000000006</v>
      </c>
      <c r="AO71" s="528">
        <v>102236.13</v>
      </c>
      <c r="AP71" s="528">
        <v>30739.81</v>
      </c>
      <c r="AQ71" s="528">
        <v>50080.3</v>
      </c>
      <c r="AR71" s="528">
        <v>179650.52000000008</v>
      </c>
      <c r="AS71" s="528">
        <v>13692.39</v>
      </c>
      <c r="AT71" s="528">
        <v>0</v>
      </c>
      <c r="AU71" s="528">
        <v>64857.619999999981</v>
      </c>
      <c r="AV71" s="528">
        <v>18745.650000000001</v>
      </c>
      <c r="AW71" s="528">
        <v>0</v>
      </c>
      <c r="AX71" s="528">
        <v>123952.86000000003</v>
      </c>
      <c r="AY71" s="528">
        <v>202923.84000000008</v>
      </c>
      <c r="AZ71" s="528">
        <v>47162.5</v>
      </c>
      <c r="BA71" s="528">
        <v>405716.70999999996</v>
      </c>
      <c r="BB71" s="528">
        <v>0</v>
      </c>
      <c r="BC71" s="528">
        <v>0</v>
      </c>
      <c r="BD71" s="528">
        <v>0</v>
      </c>
      <c r="BE71" s="528">
        <v>4319819.1000000006</v>
      </c>
      <c r="BF71" s="528">
        <v>842018.03000000026</v>
      </c>
      <c r="BG71" s="528">
        <v>114465.06999999937</v>
      </c>
      <c r="BH71" s="528">
        <v>956483.09999999963</v>
      </c>
      <c r="BI71" s="528">
        <v>11402.5</v>
      </c>
      <c r="BJ71" s="528">
        <v>0</v>
      </c>
      <c r="BK71" s="528">
        <v>0</v>
      </c>
      <c r="BL71" s="528">
        <v>11402.5</v>
      </c>
      <c r="BM71" s="528">
        <v>0</v>
      </c>
      <c r="BN71" s="528">
        <v>56612</v>
      </c>
      <c r="BO71" s="528">
        <v>0</v>
      </c>
      <c r="BP71" s="528">
        <v>0</v>
      </c>
      <c r="BQ71" s="528">
        <v>56612</v>
      </c>
      <c r="BR71" s="528">
        <v>58991</v>
      </c>
      <c r="BS71" s="528">
        <v>-45209.5</v>
      </c>
      <c r="BT71" s="528">
        <v>13781.5</v>
      </c>
      <c r="BU71" s="528">
        <v>0</v>
      </c>
      <c r="BV71" s="528">
        <v>0</v>
      </c>
      <c r="BW71" s="528">
        <v>0</v>
      </c>
      <c r="BX71" s="528">
        <v>0</v>
      </c>
      <c r="BY71" s="528">
        <v>0</v>
      </c>
      <c r="BZ71" s="528">
        <v>0</v>
      </c>
      <c r="CA71" s="528">
        <v>0</v>
      </c>
      <c r="CB71" s="528">
        <v>0</v>
      </c>
      <c r="CC71" s="528">
        <v>0</v>
      </c>
      <c r="CD71" s="528">
        <v>956483.09999999963</v>
      </c>
      <c r="CE71" s="528">
        <v>0</v>
      </c>
      <c r="CF71" s="528">
        <v>13781.5</v>
      </c>
      <c r="CG71" s="528">
        <v>0</v>
      </c>
      <c r="CH71" s="528">
        <v>0</v>
      </c>
      <c r="CI71" s="528">
        <f t="shared" si="0"/>
        <v>970264.59999999963</v>
      </c>
      <c r="CJ71" s="528">
        <v>1382428.94</v>
      </c>
      <c r="CK71" s="528">
        <v>78450.350000000006</v>
      </c>
      <c r="CL71" s="528">
        <v>0</v>
      </c>
      <c r="CM71" s="528">
        <v>1303978.5899999999</v>
      </c>
      <c r="CN71" s="528">
        <v>0</v>
      </c>
      <c r="CO71" s="528">
        <v>0</v>
      </c>
      <c r="CP71" s="528">
        <v>21803.25</v>
      </c>
      <c r="CQ71" s="528">
        <v>0</v>
      </c>
      <c r="CR71" s="528">
        <v>-284980.44</v>
      </c>
      <c r="CS71" s="528">
        <v>1040801.3999999999</v>
      </c>
      <c r="CT71" s="528">
        <v>0</v>
      </c>
      <c r="CU71" s="528">
        <v>0</v>
      </c>
      <c r="CV71" s="528">
        <v>0</v>
      </c>
      <c r="CW71" s="528">
        <v>0</v>
      </c>
      <c r="CX71" s="528"/>
      <c r="CY71" s="528"/>
      <c r="CZ71" s="528"/>
      <c r="DA71" s="528">
        <v>0</v>
      </c>
      <c r="DB71" s="528">
        <v>0</v>
      </c>
      <c r="DC71" s="528">
        <v>0</v>
      </c>
      <c r="DD71" s="528">
        <v>26393.14</v>
      </c>
      <c r="DE71" s="528">
        <v>0</v>
      </c>
      <c r="DF71" s="528">
        <v>0</v>
      </c>
      <c r="DG71" s="528">
        <v>-84462.15</v>
      </c>
      <c r="DH71" s="528">
        <v>-12197.13</v>
      </c>
      <c r="DI71" s="528">
        <v>0</v>
      </c>
      <c r="DJ71" s="528">
        <v>0</v>
      </c>
      <c r="DK71" s="528">
        <v>-70266.14</v>
      </c>
      <c r="DL71" s="528">
        <v>0</v>
      </c>
      <c r="DM71" s="528">
        <v>0</v>
      </c>
      <c r="DN71" s="528">
        <v>-270.66000000000003</v>
      </c>
      <c r="DO71" s="528">
        <v>0</v>
      </c>
      <c r="DP71" s="528">
        <v>0</v>
      </c>
      <c r="DQ71" s="529">
        <v>0</v>
      </c>
      <c r="DR71" s="530">
        <v>2962667.2400000012</v>
      </c>
      <c r="DS71" s="531">
        <v>1357151.8599999994</v>
      </c>
      <c r="DT71" s="530">
        <v>202923.84000000008</v>
      </c>
      <c r="DU71" s="530">
        <v>70884.570000000007</v>
      </c>
      <c r="DV71" s="530">
        <v>260</v>
      </c>
      <c r="DW71" s="530">
        <v>-270.66000000000003</v>
      </c>
    </row>
    <row r="72" spans="1:127" s="103" customFormat="1">
      <c r="A72" s="525">
        <v>2091</v>
      </c>
      <c r="B72" s="526" t="s">
        <v>889</v>
      </c>
      <c r="C72" s="525">
        <v>2091</v>
      </c>
      <c r="D72" s="527" t="s">
        <v>1284</v>
      </c>
      <c r="E72" s="527" t="s">
        <v>538</v>
      </c>
      <c r="F72" s="527" t="s">
        <v>5</v>
      </c>
      <c r="G72" s="527" t="s">
        <v>958</v>
      </c>
      <c r="H72" s="528">
        <v>1128540.3999999999</v>
      </c>
      <c r="I72" s="528">
        <v>0</v>
      </c>
      <c r="J72" s="528">
        <v>102537.17</v>
      </c>
      <c r="K72" s="528">
        <v>0</v>
      </c>
      <c r="L72" s="528">
        <v>128690</v>
      </c>
      <c r="M72" s="528">
        <v>2706</v>
      </c>
      <c r="N72" s="528">
        <v>0</v>
      </c>
      <c r="O72" s="528">
        <v>15155</v>
      </c>
      <c r="P72" s="528">
        <v>36357.409999999996</v>
      </c>
      <c r="Q72" s="528">
        <v>1289.92</v>
      </c>
      <c r="R72" s="528">
        <v>0</v>
      </c>
      <c r="S72" s="528">
        <v>0</v>
      </c>
      <c r="T72" s="528">
        <v>12872.26</v>
      </c>
      <c r="U72" s="528">
        <v>3857.0699999999997</v>
      </c>
      <c r="V72" s="528">
        <v>0</v>
      </c>
      <c r="W72" s="528">
        <v>7168.55</v>
      </c>
      <c r="X72" s="528">
        <v>35012</v>
      </c>
      <c r="Y72" s="528">
        <v>1474185.7799999998</v>
      </c>
      <c r="Z72" s="528">
        <v>640779.74999999907</v>
      </c>
      <c r="AA72" s="528">
        <v>1205.2600000000002</v>
      </c>
      <c r="AB72" s="528">
        <v>195.60000000000014</v>
      </c>
      <c r="AC72" s="528">
        <v>328399.58000000025</v>
      </c>
      <c r="AD72" s="528">
        <v>39.989999999999888</v>
      </c>
      <c r="AE72" s="528">
        <v>0</v>
      </c>
      <c r="AF72" s="528">
        <v>370819.13999999937</v>
      </c>
      <c r="AG72" s="528">
        <v>15373.560000000009</v>
      </c>
      <c r="AH72" s="528">
        <v>3337.67</v>
      </c>
      <c r="AI72" s="528">
        <v>0</v>
      </c>
      <c r="AJ72" s="528">
        <v>1084.74</v>
      </c>
      <c r="AK72" s="528">
        <v>51931.020000000004</v>
      </c>
      <c r="AL72" s="528">
        <v>0</v>
      </c>
      <c r="AM72" s="528">
        <v>15865.500000000007</v>
      </c>
      <c r="AN72" s="528">
        <v>9098.92</v>
      </c>
      <c r="AO72" s="528">
        <v>25067.630000000005</v>
      </c>
      <c r="AP72" s="528">
        <v>16916.68</v>
      </c>
      <c r="AQ72" s="528">
        <v>11847.689999999997</v>
      </c>
      <c r="AR72" s="528">
        <v>48973.630000000026</v>
      </c>
      <c r="AS72" s="528">
        <v>346.49</v>
      </c>
      <c r="AT72" s="528">
        <v>0</v>
      </c>
      <c r="AU72" s="528">
        <v>17670.419999999984</v>
      </c>
      <c r="AV72" s="528">
        <v>5139.75</v>
      </c>
      <c r="AW72" s="528">
        <v>4505</v>
      </c>
      <c r="AX72" s="528">
        <v>61620.2</v>
      </c>
      <c r="AY72" s="528">
        <v>64146.03</v>
      </c>
      <c r="AZ72" s="528">
        <v>4462.46</v>
      </c>
      <c r="BA72" s="528">
        <v>147059.66</v>
      </c>
      <c r="BB72" s="528">
        <v>0</v>
      </c>
      <c r="BC72" s="528">
        <v>0</v>
      </c>
      <c r="BD72" s="528">
        <v>0</v>
      </c>
      <c r="BE72" s="528">
        <v>1845886.3699999982</v>
      </c>
      <c r="BF72" s="528">
        <v>-278013.80000000028</v>
      </c>
      <c r="BG72" s="528">
        <v>-371700.58999999845</v>
      </c>
      <c r="BH72" s="528">
        <v>-649714.38999999873</v>
      </c>
      <c r="BI72" s="528">
        <v>6098.13</v>
      </c>
      <c r="BJ72" s="528">
        <v>0</v>
      </c>
      <c r="BK72" s="528">
        <v>0</v>
      </c>
      <c r="BL72" s="528">
        <v>6098.13</v>
      </c>
      <c r="BM72" s="528">
        <v>0</v>
      </c>
      <c r="BN72" s="528">
        <v>0</v>
      </c>
      <c r="BO72" s="528">
        <v>0</v>
      </c>
      <c r="BP72" s="528">
        <v>0</v>
      </c>
      <c r="BQ72" s="528">
        <v>0</v>
      </c>
      <c r="BR72" s="528">
        <v>0</v>
      </c>
      <c r="BS72" s="528">
        <v>6098.13</v>
      </c>
      <c r="BT72" s="528">
        <v>6098.13</v>
      </c>
      <c r="BU72" s="528">
        <v>0</v>
      </c>
      <c r="BV72" s="528">
        <v>0</v>
      </c>
      <c r="BW72" s="528">
        <v>0</v>
      </c>
      <c r="BX72" s="528">
        <v>0</v>
      </c>
      <c r="BY72" s="528">
        <v>0</v>
      </c>
      <c r="BZ72" s="528">
        <v>0</v>
      </c>
      <c r="CA72" s="528">
        <v>0</v>
      </c>
      <c r="CB72" s="528">
        <v>0</v>
      </c>
      <c r="CC72" s="528">
        <v>0</v>
      </c>
      <c r="CD72" s="528">
        <v>-649714.38999999873</v>
      </c>
      <c r="CE72" s="528">
        <v>0</v>
      </c>
      <c r="CF72" s="528">
        <v>6098.13</v>
      </c>
      <c r="CG72" s="528">
        <v>0</v>
      </c>
      <c r="CH72" s="528">
        <v>0</v>
      </c>
      <c r="CI72" s="528">
        <f t="shared" si="0"/>
        <v>-643616.25999999873</v>
      </c>
      <c r="CJ72" s="528">
        <v>0</v>
      </c>
      <c r="CK72" s="528">
        <v>0</v>
      </c>
      <c r="CL72" s="528">
        <v>0</v>
      </c>
      <c r="CM72" s="528">
        <v>0</v>
      </c>
      <c r="CN72" s="528">
        <v>0</v>
      </c>
      <c r="CO72" s="528">
        <v>0</v>
      </c>
      <c r="CP72" s="528">
        <v>0</v>
      </c>
      <c r="CQ72" s="528">
        <v>0</v>
      </c>
      <c r="CR72" s="528">
        <v>0</v>
      </c>
      <c r="CS72" s="528">
        <v>0</v>
      </c>
      <c r="CT72" s="528">
        <v>0</v>
      </c>
      <c r="CU72" s="528">
        <v>0</v>
      </c>
      <c r="CV72" s="528">
        <v>0</v>
      </c>
      <c r="CW72" s="528">
        <v>0</v>
      </c>
      <c r="CX72" s="528"/>
      <c r="CY72" s="528"/>
      <c r="CZ72" s="528"/>
      <c r="DA72" s="528">
        <v>-650507.57999999868</v>
      </c>
      <c r="DB72" s="528">
        <v>-650507.57999999868</v>
      </c>
      <c r="DC72" s="528">
        <v>31000</v>
      </c>
      <c r="DD72" s="528">
        <v>0</v>
      </c>
      <c r="DE72" s="528">
        <v>0</v>
      </c>
      <c r="DF72" s="528">
        <v>0</v>
      </c>
      <c r="DG72" s="528">
        <v>-24108.68</v>
      </c>
      <c r="DH72" s="528">
        <v>0</v>
      </c>
      <c r="DI72" s="528">
        <v>0</v>
      </c>
      <c r="DJ72" s="528">
        <v>0</v>
      </c>
      <c r="DK72" s="528">
        <v>6891.32</v>
      </c>
      <c r="DL72" s="528">
        <v>0</v>
      </c>
      <c r="DM72" s="528">
        <v>0</v>
      </c>
      <c r="DN72" s="528">
        <v>0</v>
      </c>
      <c r="DO72" s="528">
        <v>0</v>
      </c>
      <c r="DP72" s="528">
        <v>0</v>
      </c>
      <c r="DQ72" s="529">
        <v>-1.280568540096283E-9</v>
      </c>
      <c r="DR72" s="530">
        <v>1356812.8799999987</v>
      </c>
      <c r="DS72" s="531">
        <v>489073.48999999953</v>
      </c>
      <c r="DT72" s="530">
        <v>64146.03</v>
      </c>
      <c r="DU72" s="530">
        <v>65674.59</v>
      </c>
      <c r="DV72" s="530">
        <v>3857.0699999999997</v>
      </c>
      <c r="DW72" s="530">
        <v>0</v>
      </c>
    </row>
    <row r="73" spans="1:127" s="103" customFormat="1">
      <c r="A73" s="525">
        <v>2093</v>
      </c>
      <c r="B73" s="526" t="s">
        <v>653</v>
      </c>
      <c r="C73" s="525">
        <v>2093</v>
      </c>
      <c r="D73" s="527" t="s">
        <v>1284</v>
      </c>
      <c r="E73" s="527" t="s">
        <v>538</v>
      </c>
      <c r="F73" s="527" t="s">
        <v>5</v>
      </c>
      <c r="G73" s="527" t="s">
        <v>535</v>
      </c>
      <c r="H73" s="528">
        <v>2049486.62</v>
      </c>
      <c r="I73" s="528">
        <v>0</v>
      </c>
      <c r="J73" s="528">
        <v>99597.5</v>
      </c>
      <c r="K73" s="528">
        <v>0</v>
      </c>
      <c r="L73" s="528">
        <v>114560</v>
      </c>
      <c r="M73" s="528">
        <v>5771.29</v>
      </c>
      <c r="N73" s="528">
        <v>0</v>
      </c>
      <c r="O73" s="528">
        <v>0</v>
      </c>
      <c r="P73" s="528">
        <v>108146.32999999999</v>
      </c>
      <c r="Q73" s="528">
        <v>919.00000000000728</v>
      </c>
      <c r="R73" s="528">
        <v>0</v>
      </c>
      <c r="S73" s="528">
        <v>0</v>
      </c>
      <c r="T73" s="528">
        <v>34895.61</v>
      </c>
      <c r="U73" s="528">
        <v>0</v>
      </c>
      <c r="V73" s="528">
        <v>0</v>
      </c>
      <c r="W73" s="528">
        <v>6295.21</v>
      </c>
      <c r="X73" s="528">
        <v>148416</v>
      </c>
      <c r="Y73" s="528">
        <v>2568087.56</v>
      </c>
      <c r="Z73" s="528">
        <v>840964.75000000012</v>
      </c>
      <c r="AA73" s="528">
        <v>2768.0299999999997</v>
      </c>
      <c r="AB73" s="528">
        <v>1679.7699999999991</v>
      </c>
      <c r="AC73" s="528">
        <v>392189.47000000038</v>
      </c>
      <c r="AD73" s="528">
        <v>1670.87</v>
      </c>
      <c r="AE73" s="528">
        <v>0</v>
      </c>
      <c r="AF73" s="528">
        <v>318140.40999999957</v>
      </c>
      <c r="AG73" s="528">
        <v>18992.349999999995</v>
      </c>
      <c r="AH73" s="528">
        <v>3018.26</v>
      </c>
      <c r="AI73" s="528">
        <v>0</v>
      </c>
      <c r="AJ73" s="528">
        <v>0</v>
      </c>
      <c r="AK73" s="528">
        <v>145377.53999999998</v>
      </c>
      <c r="AL73" s="528">
        <v>0</v>
      </c>
      <c r="AM73" s="528">
        <v>4628.45</v>
      </c>
      <c r="AN73" s="528">
        <v>10706.08</v>
      </c>
      <c r="AO73" s="528">
        <v>58033.279999999999</v>
      </c>
      <c r="AP73" s="528">
        <v>19886.79</v>
      </c>
      <c r="AQ73" s="528">
        <v>8880.4400000000023</v>
      </c>
      <c r="AR73" s="528">
        <v>79647.409999999989</v>
      </c>
      <c r="AS73" s="528">
        <v>17807.919999999998</v>
      </c>
      <c r="AT73" s="528">
        <v>-2792.75</v>
      </c>
      <c r="AU73" s="528">
        <v>29194.720000000005</v>
      </c>
      <c r="AV73" s="528">
        <v>0</v>
      </c>
      <c r="AW73" s="528">
        <v>100</v>
      </c>
      <c r="AX73" s="528">
        <v>185199.23</v>
      </c>
      <c r="AY73" s="528">
        <v>195525</v>
      </c>
      <c r="AZ73" s="528">
        <v>17290</v>
      </c>
      <c r="BA73" s="528">
        <v>45309.000000000015</v>
      </c>
      <c r="BB73" s="528">
        <v>0</v>
      </c>
      <c r="BC73" s="528">
        <v>0</v>
      </c>
      <c r="BD73" s="528">
        <v>0</v>
      </c>
      <c r="BE73" s="528">
        <v>2394217.0200000005</v>
      </c>
      <c r="BF73" s="528">
        <v>365168.97999999981</v>
      </c>
      <c r="BG73" s="528">
        <v>173870.53999999957</v>
      </c>
      <c r="BH73" s="528">
        <v>539039.51999999932</v>
      </c>
      <c r="BI73" s="528">
        <v>49690</v>
      </c>
      <c r="BJ73" s="528">
        <v>0</v>
      </c>
      <c r="BK73" s="528">
        <v>0</v>
      </c>
      <c r="BL73" s="528">
        <v>49690</v>
      </c>
      <c r="BM73" s="528">
        <v>0</v>
      </c>
      <c r="BN73" s="528">
        <v>34570</v>
      </c>
      <c r="BO73" s="528">
        <v>41343</v>
      </c>
      <c r="BP73" s="528">
        <v>0</v>
      </c>
      <c r="BQ73" s="528">
        <v>75913</v>
      </c>
      <c r="BR73" s="528">
        <v>66732.479999999996</v>
      </c>
      <c r="BS73" s="528">
        <v>-26223</v>
      </c>
      <c r="BT73" s="528">
        <v>40509.479999999996</v>
      </c>
      <c r="BU73" s="528">
        <v>0</v>
      </c>
      <c r="BV73" s="528">
        <v>0</v>
      </c>
      <c r="BW73" s="528">
        <v>0</v>
      </c>
      <c r="BX73" s="528">
        <v>0</v>
      </c>
      <c r="BY73" s="528">
        <v>0</v>
      </c>
      <c r="BZ73" s="528">
        <v>0</v>
      </c>
      <c r="CA73" s="528">
        <v>0</v>
      </c>
      <c r="CB73" s="528">
        <v>0</v>
      </c>
      <c r="CC73" s="528">
        <v>0</v>
      </c>
      <c r="CD73" s="528">
        <v>539039.51999999932</v>
      </c>
      <c r="CE73" s="528">
        <v>0</v>
      </c>
      <c r="CF73" s="528">
        <v>40509.479999999996</v>
      </c>
      <c r="CG73" s="528">
        <v>0</v>
      </c>
      <c r="CH73" s="528">
        <v>0</v>
      </c>
      <c r="CI73" s="528">
        <f t="shared" ref="CI73:CI136" si="1">SUM(CD73:CF73)</f>
        <v>579548.9999999993</v>
      </c>
      <c r="CJ73" s="528">
        <v>735039.98</v>
      </c>
      <c r="CK73" s="528">
        <v>0</v>
      </c>
      <c r="CL73" s="528">
        <v>0</v>
      </c>
      <c r="CM73" s="528">
        <v>735039.98</v>
      </c>
      <c r="CN73" s="528">
        <v>0</v>
      </c>
      <c r="CO73" s="528">
        <v>0</v>
      </c>
      <c r="CP73" s="528">
        <v>5335.57</v>
      </c>
      <c r="CQ73" s="528">
        <v>0</v>
      </c>
      <c r="CR73" s="528">
        <v>-125318.04062500004</v>
      </c>
      <c r="CS73" s="528">
        <v>615057.50937499991</v>
      </c>
      <c r="CT73" s="528">
        <v>0</v>
      </c>
      <c r="CU73" s="528">
        <v>0</v>
      </c>
      <c r="CV73" s="528">
        <v>0</v>
      </c>
      <c r="CW73" s="528">
        <v>0</v>
      </c>
      <c r="CX73" s="528"/>
      <c r="CY73" s="528"/>
      <c r="CZ73" s="528"/>
      <c r="DA73" s="528">
        <v>0</v>
      </c>
      <c r="DB73" s="528">
        <v>0</v>
      </c>
      <c r="DC73" s="528">
        <v>0</v>
      </c>
      <c r="DD73" s="528">
        <v>11094.84</v>
      </c>
      <c r="DE73" s="528">
        <v>0</v>
      </c>
      <c r="DF73" s="528">
        <v>0</v>
      </c>
      <c r="DG73" s="528">
        <v>0</v>
      </c>
      <c r="DH73" s="528">
        <v>-46603.35</v>
      </c>
      <c r="DI73" s="528">
        <v>0</v>
      </c>
      <c r="DJ73" s="528">
        <v>0</v>
      </c>
      <c r="DK73" s="528">
        <v>-35508.509999999995</v>
      </c>
      <c r="DL73" s="528">
        <v>0</v>
      </c>
      <c r="DM73" s="528">
        <v>0</v>
      </c>
      <c r="DN73" s="528">
        <v>0</v>
      </c>
      <c r="DO73" s="528">
        <v>0</v>
      </c>
      <c r="DP73" s="528">
        <v>0</v>
      </c>
      <c r="DQ73" s="529">
        <v>6.2500010244548321E-4</v>
      </c>
      <c r="DR73" s="530">
        <v>1576405.6500000004</v>
      </c>
      <c r="DS73" s="531">
        <v>817811.37000000011</v>
      </c>
      <c r="DT73" s="530">
        <v>195525</v>
      </c>
      <c r="DU73" s="530">
        <v>143960.94</v>
      </c>
      <c r="DV73" s="530">
        <v>0</v>
      </c>
      <c r="DW73" s="530">
        <v>0</v>
      </c>
    </row>
    <row r="74" spans="1:127" s="103" customFormat="1">
      <c r="A74" s="525">
        <v>2092</v>
      </c>
      <c r="B74" s="526" t="s">
        <v>655</v>
      </c>
      <c r="C74" s="525">
        <v>2092</v>
      </c>
      <c r="D74" s="527" t="s">
        <v>1284</v>
      </c>
      <c r="E74" s="527" t="s">
        <v>538</v>
      </c>
      <c r="F74" s="527" t="s">
        <v>5</v>
      </c>
      <c r="G74" s="527" t="s">
        <v>535</v>
      </c>
      <c r="H74" s="528">
        <v>2442727.85</v>
      </c>
      <c r="I74" s="528">
        <v>0</v>
      </c>
      <c r="J74" s="528">
        <v>97393.56</v>
      </c>
      <c r="K74" s="528">
        <v>0</v>
      </c>
      <c r="L74" s="528">
        <v>227090</v>
      </c>
      <c r="M74" s="528">
        <v>2400</v>
      </c>
      <c r="N74" s="528">
        <v>0</v>
      </c>
      <c r="O74" s="528">
        <v>0</v>
      </c>
      <c r="P74" s="528">
        <v>73403.820000000007</v>
      </c>
      <c r="Q74" s="528">
        <v>70178.710000000006</v>
      </c>
      <c r="R74" s="528">
        <v>0</v>
      </c>
      <c r="S74" s="528">
        <v>0</v>
      </c>
      <c r="T74" s="528">
        <v>25606</v>
      </c>
      <c r="U74" s="528">
        <v>186122.7</v>
      </c>
      <c r="V74" s="528">
        <v>0</v>
      </c>
      <c r="W74" s="528">
        <v>9636.25</v>
      </c>
      <c r="X74" s="528">
        <v>20807</v>
      </c>
      <c r="Y74" s="528">
        <v>3155365.89</v>
      </c>
      <c r="Z74" s="528">
        <v>1516047.85</v>
      </c>
      <c r="AA74" s="528">
        <v>0</v>
      </c>
      <c r="AB74" s="528">
        <v>158812.82999999999</v>
      </c>
      <c r="AC74" s="528">
        <v>77372.59</v>
      </c>
      <c r="AD74" s="528">
        <v>189433.54</v>
      </c>
      <c r="AE74" s="528">
        <v>0</v>
      </c>
      <c r="AF74" s="528">
        <v>80032.53</v>
      </c>
      <c r="AG74" s="528">
        <v>9248.7199999999993</v>
      </c>
      <c r="AH74" s="528">
        <v>993</v>
      </c>
      <c r="AI74" s="528">
        <v>0</v>
      </c>
      <c r="AJ74" s="528">
        <v>0</v>
      </c>
      <c r="AK74" s="528">
        <v>223838.67</v>
      </c>
      <c r="AL74" s="528">
        <v>4519.49</v>
      </c>
      <c r="AM74" s="528">
        <v>1459.42</v>
      </c>
      <c r="AN74" s="528">
        <v>8229.16</v>
      </c>
      <c r="AO74" s="528">
        <v>95351.16</v>
      </c>
      <c r="AP74" s="528">
        <v>27754.63</v>
      </c>
      <c r="AQ74" s="528">
        <v>12454.94</v>
      </c>
      <c r="AR74" s="528">
        <v>136318.24</v>
      </c>
      <c r="AS74" s="528">
        <v>49275.25</v>
      </c>
      <c r="AT74" s="528">
        <v>0</v>
      </c>
      <c r="AU74" s="528">
        <v>19382.61</v>
      </c>
      <c r="AV74" s="528">
        <v>12100</v>
      </c>
      <c r="AW74" s="528">
        <v>6783</v>
      </c>
      <c r="AX74" s="528">
        <v>145290.87</v>
      </c>
      <c r="AY74" s="528">
        <v>164224.6</v>
      </c>
      <c r="AZ74" s="528">
        <v>12133.88</v>
      </c>
      <c r="BA74" s="528">
        <v>335827.09</v>
      </c>
      <c r="BB74" s="528">
        <v>0</v>
      </c>
      <c r="BC74" s="528">
        <v>0</v>
      </c>
      <c r="BD74" s="528">
        <v>0</v>
      </c>
      <c r="BE74" s="528">
        <v>3286884.0700000003</v>
      </c>
      <c r="BF74" s="528">
        <v>928537.10000000021</v>
      </c>
      <c r="BG74" s="528">
        <v>-131518.18000000017</v>
      </c>
      <c r="BH74" s="528">
        <v>797018.92</v>
      </c>
      <c r="BI74" s="528">
        <v>9388.75</v>
      </c>
      <c r="BJ74" s="528">
        <v>0</v>
      </c>
      <c r="BK74" s="528">
        <v>0</v>
      </c>
      <c r="BL74" s="528">
        <v>9388.75</v>
      </c>
      <c r="BM74" s="528">
        <v>0</v>
      </c>
      <c r="BN74" s="528">
        <v>0</v>
      </c>
      <c r="BO74" s="528">
        <v>0</v>
      </c>
      <c r="BP74" s="528">
        <v>29048</v>
      </c>
      <c r="BQ74" s="528">
        <v>29048</v>
      </c>
      <c r="BR74" s="528">
        <v>66660.91</v>
      </c>
      <c r="BS74" s="528">
        <v>-19659.25</v>
      </c>
      <c r="BT74" s="528">
        <v>47001.66</v>
      </c>
      <c r="BU74" s="528">
        <v>0</v>
      </c>
      <c r="BV74" s="528">
        <v>0</v>
      </c>
      <c r="BW74" s="528">
        <v>0</v>
      </c>
      <c r="BX74" s="528">
        <v>0</v>
      </c>
      <c r="BY74" s="528">
        <v>0</v>
      </c>
      <c r="BZ74" s="528">
        <v>0</v>
      </c>
      <c r="CA74" s="528">
        <v>0</v>
      </c>
      <c r="CB74" s="528">
        <v>0</v>
      </c>
      <c r="CC74" s="528">
        <v>0</v>
      </c>
      <c r="CD74" s="528">
        <v>797018.92</v>
      </c>
      <c r="CE74" s="528">
        <v>0</v>
      </c>
      <c r="CF74" s="528">
        <v>47001.66</v>
      </c>
      <c r="CG74" s="528">
        <v>0</v>
      </c>
      <c r="CH74" s="528">
        <v>0</v>
      </c>
      <c r="CI74" s="528">
        <f t="shared" si="1"/>
        <v>844020.58000000007</v>
      </c>
      <c r="CJ74" s="528">
        <v>959476.43</v>
      </c>
      <c r="CK74" s="528">
        <v>-828</v>
      </c>
      <c r="CL74" s="528">
        <v>0</v>
      </c>
      <c r="CM74" s="528">
        <v>960304.43</v>
      </c>
      <c r="CN74" s="528">
        <v>0</v>
      </c>
      <c r="CO74" s="528">
        <v>0</v>
      </c>
      <c r="CP74" s="528">
        <v>10505.48</v>
      </c>
      <c r="CQ74" s="528">
        <v>8729.35</v>
      </c>
      <c r="CR74" s="528">
        <v>-172266.78</v>
      </c>
      <c r="CS74" s="528">
        <v>807272.48</v>
      </c>
      <c r="CT74" s="528">
        <v>161562.93</v>
      </c>
      <c r="CU74" s="528">
        <v>0</v>
      </c>
      <c r="CV74" s="528">
        <v>0</v>
      </c>
      <c r="CW74" s="528">
        <v>161562.93</v>
      </c>
      <c r="CX74" s="528"/>
      <c r="CY74" s="528"/>
      <c r="CZ74" s="528"/>
      <c r="DA74" s="528">
        <v>0</v>
      </c>
      <c r="DB74" s="528">
        <v>161562.93</v>
      </c>
      <c r="DC74" s="528">
        <v>0</v>
      </c>
      <c r="DD74" s="528">
        <v>0</v>
      </c>
      <c r="DE74" s="528">
        <v>1750</v>
      </c>
      <c r="DF74" s="528">
        <v>0</v>
      </c>
      <c r="DG74" s="528">
        <v>0</v>
      </c>
      <c r="DH74" s="528">
        <v>-45159.33</v>
      </c>
      <c r="DI74" s="528">
        <v>0</v>
      </c>
      <c r="DJ74" s="528">
        <v>-9520</v>
      </c>
      <c r="DK74" s="528">
        <v>-52929.33</v>
      </c>
      <c r="DL74" s="528">
        <v>0</v>
      </c>
      <c r="DM74" s="528">
        <v>0</v>
      </c>
      <c r="DN74" s="528">
        <v>-71885.320000000007</v>
      </c>
      <c r="DO74" s="528">
        <v>0</v>
      </c>
      <c r="DP74" s="528">
        <v>0</v>
      </c>
      <c r="DQ74" s="529">
        <v>-0.1799999998183921</v>
      </c>
      <c r="DR74" s="530">
        <v>2030948.0600000003</v>
      </c>
      <c r="DS74" s="531">
        <v>1255936.01</v>
      </c>
      <c r="DT74" s="530">
        <v>164224.6</v>
      </c>
      <c r="DU74" s="530">
        <v>169188.53000000003</v>
      </c>
      <c r="DV74" s="530">
        <v>186122.7</v>
      </c>
      <c r="DW74" s="530">
        <v>-71885.320000000007</v>
      </c>
    </row>
    <row r="75" spans="1:127" s="103" customFormat="1">
      <c r="A75" s="525">
        <v>7006</v>
      </c>
      <c r="B75" s="526" t="s">
        <v>657</v>
      </c>
      <c r="C75" s="525">
        <v>7006</v>
      </c>
      <c r="D75" s="527" t="s">
        <v>1284</v>
      </c>
      <c r="E75" s="527" t="s">
        <v>553</v>
      </c>
      <c r="F75" s="527" t="s">
        <v>5</v>
      </c>
      <c r="G75" s="527" t="s">
        <v>535</v>
      </c>
      <c r="H75" s="528">
        <v>1934802.45</v>
      </c>
      <c r="I75" s="528">
        <v>0</v>
      </c>
      <c r="J75" s="528">
        <v>2876689.23</v>
      </c>
      <c r="K75" s="528">
        <v>0</v>
      </c>
      <c r="L75" s="528">
        <v>129300</v>
      </c>
      <c r="M75" s="528">
        <v>2237.29</v>
      </c>
      <c r="N75" s="528">
        <v>0</v>
      </c>
      <c r="O75" s="528">
        <v>0</v>
      </c>
      <c r="P75" s="528">
        <v>15466.550000000061</v>
      </c>
      <c r="Q75" s="528">
        <v>108000.57000000005</v>
      </c>
      <c r="R75" s="528">
        <v>0</v>
      </c>
      <c r="S75" s="528">
        <v>0</v>
      </c>
      <c r="T75" s="528">
        <v>1331.1399999999999</v>
      </c>
      <c r="U75" s="528">
        <v>0</v>
      </c>
      <c r="V75" s="528">
        <v>0</v>
      </c>
      <c r="W75" s="528">
        <v>23436.89</v>
      </c>
      <c r="X75" s="528">
        <v>33555</v>
      </c>
      <c r="Y75" s="528">
        <v>5124819.1199999992</v>
      </c>
      <c r="Z75" s="528">
        <v>1198451.3999999859</v>
      </c>
      <c r="AA75" s="528">
        <v>-4288.07</v>
      </c>
      <c r="AB75" s="528">
        <v>-27021.509999999987</v>
      </c>
      <c r="AC75" s="528">
        <v>1017900.6099999987</v>
      </c>
      <c r="AD75" s="528">
        <v>107.97</v>
      </c>
      <c r="AE75" s="528">
        <v>0</v>
      </c>
      <c r="AF75" s="528">
        <v>1693309.580000004</v>
      </c>
      <c r="AG75" s="528">
        <v>56650.269999999982</v>
      </c>
      <c r="AH75" s="528">
        <v>5550</v>
      </c>
      <c r="AI75" s="528">
        <v>0</v>
      </c>
      <c r="AJ75" s="528">
        <v>0</v>
      </c>
      <c r="AK75" s="528">
        <v>115712.87999999993</v>
      </c>
      <c r="AL75" s="528">
        <v>0</v>
      </c>
      <c r="AM75" s="528">
        <v>35499.120000000003</v>
      </c>
      <c r="AN75" s="528">
        <v>12236.069999999996</v>
      </c>
      <c r="AO75" s="528">
        <v>52647.929999999986</v>
      </c>
      <c r="AP75" s="528">
        <v>0</v>
      </c>
      <c r="AQ75" s="528">
        <v>40016.110000000008</v>
      </c>
      <c r="AR75" s="528">
        <v>162931.03</v>
      </c>
      <c r="AS75" s="528">
        <v>246.32</v>
      </c>
      <c r="AT75" s="528">
        <v>0</v>
      </c>
      <c r="AU75" s="528">
        <v>61656.929999999964</v>
      </c>
      <c r="AV75" s="528">
        <v>9565.16</v>
      </c>
      <c r="AW75" s="528">
        <v>747.5</v>
      </c>
      <c r="AX75" s="528">
        <v>115064.84</v>
      </c>
      <c r="AY75" s="528">
        <v>0</v>
      </c>
      <c r="AZ75" s="528">
        <v>0</v>
      </c>
      <c r="BA75" s="528">
        <v>943509.39000000071</v>
      </c>
      <c r="BB75" s="528">
        <v>0</v>
      </c>
      <c r="BC75" s="528">
        <v>0</v>
      </c>
      <c r="BD75" s="528">
        <v>0</v>
      </c>
      <c r="BE75" s="528">
        <v>5490493.52999999</v>
      </c>
      <c r="BF75" s="528">
        <v>286048.80000000104</v>
      </c>
      <c r="BG75" s="528">
        <v>-365674.40999999084</v>
      </c>
      <c r="BH75" s="528">
        <v>-79625.6099999898</v>
      </c>
      <c r="BI75" s="528">
        <v>67170</v>
      </c>
      <c r="BJ75" s="528">
        <v>0</v>
      </c>
      <c r="BK75" s="528">
        <v>0</v>
      </c>
      <c r="BL75" s="528">
        <v>67170</v>
      </c>
      <c r="BM75" s="528">
        <v>0</v>
      </c>
      <c r="BN75" s="528">
        <v>0</v>
      </c>
      <c r="BO75" s="528">
        <v>0</v>
      </c>
      <c r="BP75" s="528">
        <v>0</v>
      </c>
      <c r="BQ75" s="528">
        <v>0</v>
      </c>
      <c r="BR75" s="528">
        <v>40338</v>
      </c>
      <c r="BS75" s="528">
        <v>67170</v>
      </c>
      <c r="BT75" s="528">
        <v>107508</v>
      </c>
      <c r="BU75" s="528">
        <v>0</v>
      </c>
      <c r="BV75" s="528">
        <v>0</v>
      </c>
      <c r="BW75" s="528">
        <v>0</v>
      </c>
      <c r="BX75" s="528">
        <v>0</v>
      </c>
      <c r="BY75" s="528">
        <v>0</v>
      </c>
      <c r="BZ75" s="528">
        <v>0</v>
      </c>
      <c r="CA75" s="528">
        <v>0</v>
      </c>
      <c r="CB75" s="528">
        <v>0</v>
      </c>
      <c r="CC75" s="528">
        <v>0</v>
      </c>
      <c r="CD75" s="528">
        <v>-79625.6099999898</v>
      </c>
      <c r="CE75" s="528">
        <v>0</v>
      </c>
      <c r="CF75" s="528">
        <v>107508</v>
      </c>
      <c r="CG75" s="528">
        <v>0</v>
      </c>
      <c r="CH75" s="528">
        <v>0</v>
      </c>
      <c r="CI75" s="528">
        <f t="shared" si="1"/>
        <v>27882.3900000102</v>
      </c>
      <c r="CJ75" s="528">
        <v>444347.13</v>
      </c>
      <c r="CK75" s="528">
        <v>0</v>
      </c>
      <c r="CL75" s="528">
        <v>0</v>
      </c>
      <c r="CM75" s="528">
        <v>444347.13</v>
      </c>
      <c r="CN75" s="528">
        <v>0</v>
      </c>
      <c r="CO75" s="528">
        <v>0</v>
      </c>
      <c r="CP75" s="528">
        <v>20269.72</v>
      </c>
      <c r="CQ75" s="528">
        <v>0</v>
      </c>
      <c r="CR75" s="528">
        <v>-408151.89</v>
      </c>
      <c r="CS75" s="528">
        <v>56464.959999999963</v>
      </c>
      <c r="CT75" s="528">
        <v>0</v>
      </c>
      <c r="CU75" s="528">
        <v>0</v>
      </c>
      <c r="CV75" s="528">
        <v>0</v>
      </c>
      <c r="CW75" s="528">
        <v>0</v>
      </c>
      <c r="CX75" s="528"/>
      <c r="CY75" s="528"/>
      <c r="CZ75" s="528"/>
      <c r="DA75" s="528">
        <v>0</v>
      </c>
      <c r="DB75" s="528">
        <v>0</v>
      </c>
      <c r="DC75" s="528">
        <v>0</v>
      </c>
      <c r="DD75" s="528">
        <v>8656.11</v>
      </c>
      <c r="DE75" s="528">
        <v>0</v>
      </c>
      <c r="DF75" s="528">
        <v>0</v>
      </c>
      <c r="DG75" s="528">
        <v>0</v>
      </c>
      <c r="DH75" s="528">
        <v>-37238.75</v>
      </c>
      <c r="DI75" s="528">
        <v>0</v>
      </c>
      <c r="DJ75" s="528">
        <v>0</v>
      </c>
      <c r="DK75" s="528">
        <v>-28582.639999999999</v>
      </c>
      <c r="DL75" s="528">
        <v>0</v>
      </c>
      <c r="DM75" s="528">
        <v>0</v>
      </c>
      <c r="DN75" s="528">
        <v>0</v>
      </c>
      <c r="DO75" s="528">
        <v>0</v>
      </c>
      <c r="DP75" s="528">
        <v>0</v>
      </c>
      <c r="DQ75" s="529">
        <v>7.000000003608875E-2</v>
      </c>
      <c r="DR75" s="530">
        <v>3935110.2499999893</v>
      </c>
      <c r="DS75" s="531">
        <v>1555383.2800000007</v>
      </c>
      <c r="DT75" s="530">
        <v>0</v>
      </c>
      <c r="DU75" s="530">
        <v>124798.26000000011</v>
      </c>
      <c r="DV75" s="530">
        <v>0</v>
      </c>
      <c r="DW75" s="530">
        <v>0</v>
      </c>
    </row>
    <row r="76" spans="1:127" s="103" customFormat="1">
      <c r="A76" s="525">
        <v>2477</v>
      </c>
      <c r="B76" s="526" t="s">
        <v>891</v>
      </c>
      <c r="C76" s="525">
        <v>2477</v>
      </c>
      <c r="D76" s="527" t="s">
        <v>1284</v>
      </c>
      <c r="E76" s="527" t="s">
        <v>538</v>
      </c>
      <c r="F76" s="527" t="s">
        <v>5</v>
      </c>
      <c r="G76" s="527" t="s">
        <v>958</v>
      </c>
      <c r="H76" s="528">
        <v>4144062.78</v>
      </c>
      <c r="I76" s="528">
        <v>0</v>
      </c>
      <c r="J76" s="528">
        <v>144950.29999999999</v>
      </c>
      <c r="K76" s="528">
        <v>0</v>
      </c>
      <c r="L76" s="528">
        <v>121230</v>
      </c>
      <c r="M76" s="528">
        <v>5456.93</v>
      </c>
      <c r="N76" s="528">
        <v>0</v>
      </c>
      <c r="O76" s="528">
        <v>0</v>
      </c>
      <c r="P76" s="528">
        <v>-164846.24999999997</v>
      </c>
      <c r="Q76" s="528">
        <v>2295.4899999999998</v>
      </c>
      <c r="R76" s="528">
        <v>0</v>
      </c>
      <c r="S76" s="528">
        <v>0</v>
      </c>
      <c r="T76" s="528">
        <v>302498.90999999992</v>
      </c>
      <c r="U76" s="528">
        <v>0</v>
      </c>
      <c r="V76" s="528">
        <v>0</v>
      </c>
      <c r="W76" s="528">
        <v>1780.83</v>
      </c>
      <c r="X76" s="528">
        <v>174033</v>
      </c>
      <c r="Y76" s="528">
        <v>4731461.99</v>
      </c>
      <c r="Z76" s="528">
        <v>2091475.4500000067</v>
      </c>
      <c r="AA76" s="528">
        <v>12858.79</v>
      </c>
      <c r="AB76" s="528">
        <v>-813.52999999999975</v>
      </c>
      <c r="AC76" s="528">
        <v>720605.05999999912</v>
      </c>
      <c r="AD76" s="528">
        <v>628.50999999999988</v>
      </c>
      <c r="AE76" s="528">
        <v>0</v>
      </c>
      <c r="AF76" s="528">
        <v>955605.33000000089</v>
      </c>
      <c r="AG76" s="528">
        <v>34088.209999999941</v>
      </c>
      <c r="AH76" s="528">
        <v>7083</v>
      </c>
      <c r="AI76" s="528">
        <v>0</v>
      </c>
      <c r="AJ76" s="528">
        <v>2385.2600000000002</v>
      </c>
      <c r="AK76" s="528">
        <v>36354.880000000005</v>
      </c>
      <c r="AL76" s="528">
        <v>0</v>
      </c>
      <c r="AM76" s="528">
        <v>93057.27</v>
      </c>
      <c r="AN76" s="528">
        <v>4908.7000000000007</v>
      </c>
      <c r="AO76" s="528">
        <v>95848.390000000014</v>
      </c>
      <c r="AP76" s="528">
        <v>33389.800000000003</v>
      </c>
      <c r="AQ76" s="528">
        <v>43786.73</v>
      </c>
      <c r="AR76" s="528">
        <v>116871.4800000001</v>
      </c>
      <c r="AS76" s="528">
        <v>20262.36</v>
      </c>
      <c r="AT76" s="528">
        <v>95</v>
      </c>
      <c r="AU76" s="528">
        <v>50566.959999999992</v>
      </c>
      <c r="AV76" s="528">
        <v>24312.75</v>
      </c>
      <c r="AW76" s="528">
        <v>7794.6</v>
      </c>
      <c r="AX76" s="528">
        <v>171339.42</v>
      </c>
      <c r="AY76" s="528">
        <v>274396.14000000013</v>
      </c>
      <c r="AZ76" s="528">
        <v>35335.5</v>
      </c>
      <c r="BA76" s="528">
        <v>323627.32000000036</v>
      </c>
      <c r="BB76" s="528">
        <v>0</v>
      </c>
      <c r="BC76" s="528">
        <v>0</v>
      </c>
      <c r="BD76" s="528">
        <v>0</v>
      </c>
      <c r="BE76" s="528">
        <v>5155863.3800000064</v>
      </c>
      <c r="BF76" s="528">
        <v>-76900.000000000524</v>
      </c>
      <c r="BG76" s="528">
        <v>-424401.39000000618</v>
      </c>
      <c r="BH76" s="528">
        <v>-501301.39000000671</v>
      </c>
      <c r="BI76" s="528">
        <v>44621.38</v>
      </c>
      <c r="BJ76" s="528">
        <v>0</v>
      </c>
      <c r="BK76" s="528">
        <v>0</v>
      </c>
      <c r="BL76" s="528">
        <v>44621.38</v>
      </c>
      <c r="BM76" s="528">
        <v>0</v>
      </c>
      <c r="BN76" s="528">
        <v>0</v>
      </c>
      <c r="BO76" s="528">
        <v>0</v>
      </c>
      <c r="BP76" s="528">
        <v>0</v>
      </c>
      <c r="BQ76" s="528">
        <v>0</v>
      </c>
      <c r="BR76" s="528">
        <v>1214.1100000000006</v>
      </c>
      <c r="BS76" s="528">
        <v>44621.38</v>
      </c>
      <c r="BT76" s="528">
        <v>45835.49</v>
      </c>
      <c r="BU76" s="528">
        <v>0</v>
      </c>
      <c r="BV76" s="528">
        <v>0</v>
      </c>
      <c r="BW76" s="528">
        <v>0</v>
      </c>
      <c r="BX76" s="528">
        <v>0</v>
      </c>
      <c r="BY76" s="528">
        <v>0</v>
      </c>
      <c r="BZ76" s="528">
        <v>0</v>
      </c>
      <c r="CA76" s="528">
        <v>0</v>
      </c>
      <c r="CB76" s="528">
        <v>0</v>
      </c>
      <c r="CC76" s="528">
        <v>0</v>
      </c>
      <c r="CD76" s="528">
        <v>-501301.39000000671</v>
      </c>
      <c r="CE76" s="528">
        <v>0</v>
      </c>
      <c r="CF76" s="528">
        <v>45835.49</v>
      </c>
      <c r="CG76" s="528">
        <v>0</v>
      </c>
      <c r="CH76" s="528">
        <v>0</v>
      </c>
      <c r="CI76" s="528">
        <f t="shared" si="1"/>
        <v>-455465.90000000672</v>
      </c>
      <c r="CJ76" s="528">
        <v>0</v>
      </c>
      <c r="CK76" s="528">
        <v>0</v>
      </c>
      <c r="CL76" s="528">
        <v>0</v>
      </c>
      <c r="CM76" s="528">
        <v>0</v>
      </c>
      <c r="CN76" s="528">
        <v>0</v>
      </c>
      <c r="CO76" s="528">
        <v>0</v>
      </c>
      <c r="CP76" s="528">
        <v>0</v>
      </c>
      <c r="CQ76" s="528">
        <v>0</v>
      </c>
      <c r="CR76" s="528">
        <v>0</v>
      </c>
      <c r="CS76" s="528">
        <v>0</v>
      </c>
      <c r="CT76" s="528">
        <v>0</v>
      </c>
      <c r="CU76" s="528">
        <v>0</v>
      </c>
      <c r="CV76" s="528">
        <v>0</v>
      </c>
      <c r="CW76" s="528">
        <v>0</v>
      </c>
      <c r="CX76" s="528"/>
      <c r="CY76" s="528"/>
      <c r="CZ76" s="528"/>
      <c r="DA76" s="528">
        <v>-383258.91000000673</v>
      </c>
      <c r="DB76" s="528">
        <v>-383258.91000000673</v>
      </c>
      <c r="DC76" s="528">
        <v>0</v>
      </c>
      <c r="DD76" s="528">
        <v>10177.959999999999</v>
      </c>
      <c r="DE76" s="528">
        <v>0</v>
      </c>
      <c r="DF76" s="528">
        <v>0</v>
      </c>
      <c r="DG76" s="528">
        <v>-81866.25</v>
      </c>
      <c r="DH76" s="528">
        <v>-518.70000000000005</v>
      </c>
      <c r="DI76" s="528">
        <v>0</v>
      </c>
      <c r="DJ76" s="528">
        <v>0</v>
      </c>
      <c r="DK76" s="528">
        <v>-72206.990000000005</v>
      </c>
      <c r="DL76" s="528">
        <v>0</v>
      </c>
      <c r="DM76" s="528">
        <v>0</v>
      </c>
      <c r="DN76" s="528">
        <v>0</v>
      </c>
      <c r="DO76" s="528">
        <v>0</v>
      </c>
      <c r="DP76" s="528">
        <v>0</v>
      </c>
      <c r="DQ76" s="529">
        <v>6.6938810050487518E-9</v>
      </c>
      <c r="DR76" s="530">
        <v>3814447.8200000068</v>
      </c>
      <c r="DS76" s="531">
        <v>1341415.5599999996</v>
      </c>
      <c r="DT76" s="530">
        <v>274396.14000000013</v>
      </c>
      <c r="DU76" s="530">
        <v>139948.14999999994</v>
      </c>
      <c r="DV76" s="530">
        <v>0</v>
      </c>
      <c r="DW76" s="530">
        <v>0</v>
      </c>
    </row>
    <row r="77" spans="1:127" s="103" customFormat="1">
      <c r="A77" s="525">
        <v>3436</v>
      </c>
      <c r="B77" s="526" t="s">
        <v>893</v>
      </c>
      <c r="C77" s="525">
        <v>3436</v>
      </c>
      <c r="D77" s="527" t="s">
        <v>1284</v>
      </c>
      <c r="E77" s="527" t="s">
        <v>538</v>
      </c>
      <c r="F77" s="527" t="s">
        <v>5</v>
      </c>
      <c r="G77" s="527" t="s">
        <v>958</v>
      </c>
      <c r="H77" s="528">
        <v>1118443.71</v>
      </c>
      <c r="I77" s="528">
        <v>0</v>
      </c>
      <c r="J77" s="528">
        <v>43566.81</v>
      </c>
      <c r="K77" s="528">
        <v>0</v>
      </c>
      <c r="L77" s="528">
        <v>107210</v>
      </c>
      <c r="M77" s="528">
        <v>4800</v>
      </c>
      <c r="N77" s="528">
        <v>0</v>
      </c>
      <c r="O77" s="528">
        <v>0</v>
      </c>
      <c r="P77" s="528">
        <v>27470.04</v>
      </c>
      <c r="Q77" s="528">
        <v>0</v>
      </c>
      <c r="R77" s="528">
        <v>0</v>
      </c>
      <c r="S77" s="528">
        <v>0</v>
      </c>
      <c r="T77" s="528">
        <v>-28</v>
      </c>
      <c r="U77" s="528">
        <v>0</v>
      </c>
      <c r="V77" s="528">
        <v>0</v>
      </c>
      <c r="W77" s="528">
        <v>1520</v>
      </c>
      <c r="X77" s="528">
        <v>42676</v>
      </c>
      <c r="Y77" s="528">
        <v>1345658.56</v>
      </c>
      <c r="Z77" s="528">
        <v>423547.79000000015</v>
      </c>
      <c r="AA77" s="528">
        <v>1830.37</v>
      </c>
      <c r="AB77" s="528">
        <v>-70.88</v>
      </c>
      <c r="AC77" s="528">
        <v>255178.15999999983</v>
      </c>
      <c r="AD77" s="528">
        <v>880.73</v>
      </c>
      <c r="AE77" s="528">
        <v>0</v>
      </c>
      <c r="AF77" s="528">
        <v>201305.31999999998</v>
      </c>
      <c r="AG77" s="528">
        <v>11296.239999999996</v>
      </c>
      <c r="AH77" s="528">
        <v>946.99</v>
      </c>
      <c r="AI77" s="528">
        <v>0</v>
      </c>
      <c r="AJ77" s="528">
        <v>0</v>
      </c>
      <c r="AK77" s="528">
        <v>14510.239999999998</v>
      </c>
      <c r="AL77" s="528">
        <v>0</v>
      </c>
      <c r="AM77" s="528">
        <v>2273.48</v>
      </c>
      <c r="AN77" s="528">
        <v>4623.87</v>
      </c>
      <c r="AO77" s="528">
        <v>16867.159999999996</v>
      </c>
      <c r="AP77" s="528">
        <v>6677.96</v>
      </c>
      <c r="AQ77" s="528">
        <v>3401.5600000000004</v>
      </c>
      <c r="AR77" s="528">
        <v>44674.720000000001</v>
      </c>
      <c r="AS77" s="528">
        <v>9380.64</v>
      </c>
      <c r="AT77" s="528">
        <v>0</v>
      </c>
      <c r="AU77" s="528">
        <v>23457.74</v>
      </c>
      <c r="AV77" s="528">
        <v>5139.75</v>
      </c>
      <c r="AW77" s="528">
        <v>0</v>
      </c>
      <c r="AX77" s="528">
        <v>80061.999999999956</v>
      </c>
      <c r="AY77" s="528">
        <v>165229.26999999999</v>
      </c>
      <c r="AZ77" s="528">
        <v>4412.32</v>
      </c>
      <c r="BA77" s="528">
        <v>78319.689999999988</v>
      </c>
      <c r="BB77" s="528">
        <v>0</v>
      </c>
      <c r="BC77" s="528">
        <v>0</v>
      </c>
      <c r="BD77" s="528">
        <v>0</v>
      </c>
      <c r="BE77" s="528">
        <v>1353945.1199999999</v>
      </c>
      <c r="BF77" s="528">
        <v>-605549.74000000022</v>
      </c>
      <c r="BG77" s="528">
        <v>-8286.559999999823</v>
      </c>
      <c r="BH77" s="528">
        <v>-613836.30000000005</v>
      </c>
      <c r="BI77" s="528">
        <v>0</v>
      </c>
      <c r="BJ77" s="528">
        <v>0</v>
      </c>
      <c r="BK77" s="528">
        <v>0</v>
      </c>
      <c r="BL77" s="528">
        <v>0</v>
      </c>
      <c r="BM77" s="528">
        <v>0</v>
      </c>
      <c r="BN77" s="528">
        <v>0</v>
      </c>
      <c r="BO77" s="528">
        <v>0</v>
      </c>
      <c r="BP77" s="528">
        <v>0</v>
      </c>
      <c r="BQ77" s="528">
        <v>0</v>
      </c>
      <c r="BR77" s="528">
        <v>0</v>
      </c>
      <c r="BS77" s="528">
        <v>0</v>
      </c>
      <c r="BT77" s="528">
        <v>0</v>
      </c>
      <c r="BU77" s="528">
        <v>0</v>
      </c>
      <c r="BV77" s="528">
        <v>0</v>
      </c>
      <c r="BW77" s="528">
        <v>0</v>
      </c>
      <c r="BX77" s="528">
        <v>0</v>
      </c>
      <c r="BY77" s="528">
        <v>0</v>
      </c>
      <c r="BZ77" s="528">
        <v>0</v>
      </c>
      <c r="CA77" s="528">
        <v>0</v>
      </c>
      <c r="CB77" s="528">
        <v>0</v>
      </c>
      <c r="CC77" s="528">
        <v>0</v>
      </c>
      <c r="CD77" s="528">
        <v>-613836.30000000005</v>
      </c>
      <c r="CE77" s="528">
        <v>0</v>
      </c>
      <c r="CF77" s="528">
        <v>0</v>
      </c>
      <c r="CG77" s="528">
        <v>0</v>
      </c>
      <c r="CH77" s="528">
        <v>0</v>
      </c>
      <c r="CI77" s="528">
        <f t="shared" si="1"/>
        <v>-613836.30000000005</v>
      </c>
      <c r="CJ77" s="528">
        <v>0</v>
      </c>
      <c r="CK77" s="528">
        <v>0</v>
      </c>
      <c r="CL77" s="528">
        <v>0</v>
      </c>
      <c r="CM77" s="528">
        <v>0</v>
      </c>
      <c r="CN77" s="528">
        <v>0</v>
      </c>
      <c r="CO77" s="528">
        <v>0</v>
      </c>
      <c r="CP77" s="528">
        <v>0</v>
      </c>
      <c r="CQ77" s="528">
        <v>0</v>
      </c>
      <c r="CR77" s="528">
        <v>0</v>
      </c>
      <c r="CS77" s="528">
        <v>0</v>
      </c>
      <c r="CT77" s="528">
        <v>0</v>
      </c>
      <c r="CU77" s="528">
        <v>0</v>
      </c>
      <c r="CV77" s="528">
        <v>0</v>
      </c>
      <c r="CW77" s="528">
        <v>0</v>
      </c>
      <c r="CX77" s="528"/>
      <c r="CY77" s="528"/>
      <c r="CZ77" s="528"/>
      <c r="DA77" s="528">
        <v>-613710.30000000005</v>
      </c>
      <c r="DB77" s="528">
        <v>-613710.30000000005</v>
      </c>
      <c r="DC77" s="528">
        <v>0</v>
      </c>
      <c r="DD77" s="528">
        <v>0</v>
      </c>
      <c r="DE77" s="528">
        <v>0</v>
      </c>
      <c r="DF77" s="528">
        <v>0</v>
      </c>
      <c r="DG77" s="528">
        <v>0</v>
      </c>
      <c r="DH77" s="528">
        <v>-126</v>
      </c>
      <c r="DI77" s="528">
        <v>0</v>
      </c>
      <c r="DJ77" s="528">
        <v>0</v>
      </c>
      <c r="DK77" s="528">
        <v>-126</v>
      </c>
      <c r="DL77" s="528">
        <v>0</v>
      </c>
      <c r="DM77" s="528">
        <v>0</v>
      </c>
      <c r="DN77" s="528">
        <v>0</v>
      </c>
      <c r="DO77" s="528">
        <v>0</v>
      </c>
      <c r="DP77" s="528">
        <v>0</v>
      </c>
      <c r="DQ77" s="529">
        <v>0</v>
      </c>
      <c r="DR77" s="530">
        <v>893967.72999999986</v>
      </c>
      <c r="DS77" s="531">
        <v>459977.39</v>
      </c>
      <c r="DT77" s="530">
        <v>165229.26999999999</v>
      </c>
      <c r="DU77" s="530">
        <v>27442.04</v>
      </c>
      <c r="DV77" s="530">
        <v>0</v>
      </c>
      <c r="DW77" s="530">
        <v>0</v>
      </c>
    </row>
    <row r="78" spans="1:127" s="103" customFormat="1">
      <c r="A78" s="525">
        <v>2099</v>
      </c>
      <c r="B78" s="526" t="s">
        <v>659</v>
      </c>
      <c r="C78" s="525">
        <v>2099</v>
      </c>
      <c r="D78" s="527" t="s">
        <v>1284</v>
      </c>
      <c r="E78" s="527" t="s">
        <v>538</v>
      </c>
      <c r="F78" s="527" t="s">
        <v>5</v>
      </c>
      <c r="G78" s="527" t="s">
        <v>535</v>
      </c>
      <c r="H78" s="528">
        <v>1535898.12</v>
      </c>
      <c r="I78" s="528">
        <v>0</v>
      </c>
      <c r="J78" s="528">
        <v>139135.32999999999</v>
      </c>
      <c r="K78" s="528">
        <v>0</v>
      </c>
      <c r="L78" s="528">
        <v>176330</v>
      </c>
      <c r="M78" s="528">
        <v>800</v>
      </c>
      <c r="N78" s="528">
        <v>0</v>
      </c>
      <c r="O78" s="528">
        <v>0</v>
      </c>
      <c r="P78" s="528">
        <v>21717.980000000003</v>
      </c>
      <c r="Q78" s="528">
        <v>2581</v>
      </c>
      <c r="R78" s="528">
        <v>0</v>
      </c>
      <c r="S78" s="528">
        <v>0</v>
      </c>
      <c r="T78" s="528">
        <v>0</v>
      </c>
      <c r="U78" s="528">
        <v>0</v>
      </c>
      <c r="V78" s="528">
        <v>0</v>
      </c>
      <c r="W78" s="528">
        <v>2836.13</v>
      </c>
      <c r="X78" s="528">
        <v>38266</v>
      </c>
      <c r="Y78" s="528">
        <v>1917564.56</v>
      </c>
      <c r="Z78" s="528">
        <v>1056806.4500000002</v>
      </c>
      <c r="AA78" s="528">
        <v>0</v>
      </c>
      <c r="AB78" s="528">
        <v>263550.07</v>
      </c>
      <c r="AC78" s="528">
        <v>79531.02999999997</v>
      </c>
      <c r="AD78" s="528">
        <v>89249.82</v>
      </c>
      <c r="AE78" s="528">
        <v>50599.3</v>
      </c>
      <c r="AF78" s="528">
        <v>39999.719999999623</v>
      </c>
      <c r="AG78" s="528">
        <v>5954.6699999999855</v>
      </c>
      <c r="AH78" s="528">
        <v>12822.099999999999</v>
      </c>
      <c r="AI78" s="528">
        <v>0</v>
      </c>
      <c r="AJ78" s="528">
        <v>0</v>
      </c>
      <c r="AK78" s="528">
        <v>38811.950000000004</v>
      </c>
      <c r="AL78" s="528">
        <v>1904</v>
      </c>
      <c r="AM78" s="528">
        <v>3878.07</v>
      </c>
      <c r="AN78" s="528">
        <v>5122.33</v>
      </c>
      <c r="AO78" s="528">
        <v>24775.179999999997</v>
      </c>
      <c r="AP78" s="528">
        <v>15883.6</v>
      </c>
      <c r="AQ78" s="528">
        <v>10062.530000000001</v>
      </c>
      <c r="AR78" s="528">
        <v>46103.829999999973</v>
      </c>
      <c r="AS78" s="528">
        <v>67991.26999999999</v>
      </c>
      <c r="AT78" s="528">
        <v>0</v>
      </c>
      <c r="AU78" s="528">
        <v>11141.269999999997</v>
      </c>
      <c r="AV78" s="528">
        <v>7368.3899999999994</v>
      </c>
      <c r="AW78" s="528">
        <v>540</v>
      </c>
      <c r="AX78" s="528">
        <v>25711.999999999993</v>
      </c>
      <c r="AY78" s="528">
        <v>27832.68</v>
      </c>
      <c r="AZ78" s="528">
        <v>38126.78</v>
      </c>
      <c r="BA78" s="528">
        <v>55390.31</v>
      </c>
      <c r="BB78" s="528">
        <v>0</v>
      </c>
      <c r="BC78" s="528">
        <v>0</v>
      </c>
      <c r="BD78" s="528">
        <v>0</v>
      </c>
      <c r="BE78" s="528">
        <v>1979157.3500000003</v>
      </c>
      <c r="BF78" s="528">
        <v>272057.28999999992</v>
      </c>
      <c r="BG78" s="528">
        <v>-61592.79000000027</v>
      </c>
      <c r="BH78" s="528">
        <v>210464.49999999965</v>
      </c>
      <c r="BI78" s="528">
        <v>6484</v>
      </c>
      <c r="BJ78" s="528">
        <v>0</v>
      </c>
      <c r="BK78" s="528">
        <v>0</v>
      </c>
      <c r="BL78" s="528">
        <v>6484</v>
      </c>
      <c r="BM78" s="528">
        <v>0</v>
      </c>
      <c r="BN78" s="528">
        <v>11761</v>
      </c>
      <c r="BO78" s="528">
        <v>0</v>
      </c>
      <c r="BP78" s="528">
        <v>0</v>
      </c>
      <c r="BQ78" s="528">
        <v>11761</v>
      </c>
      <c r="BR78" s="528">
        <v>7586.25</v>
      </c>
      <c r="BS78" s="528">
        <v>-5277</v>
      </c>
      <c r="BT78" s="528">
        <v>2309.25</v>
      </c>
      <c r="BU78" s="528">
        <v>0</v>
      </c>
      <c r="BV78" s="528">
        <v>0</v>
      </c>
      <c r="BW78" s="528">
        <v>0</v>
      </c>
      <c r="BX78" s="528">
        <v>0</v>
      </c>
      <c r="BY78" s="528">
        <v>0</v>
      </c>
      <c r="BZ78" s="528">
        <v>0</v>
      </c>
      <c r="CA78" s="528">
        <v>0</v>
      </c>
      <c r="CB78" s="528">
        <v>0</v>
      </c>
      <c r="CC78" s="528">
        <v>0</v>
      </c>
      <c r="CD78" s="528">
        <v>210464.49999999965</v>
      </c>
      <c r="CE78" s="528">
        <v>0</v>
      </c>
      <c r="CF78" s="528">
        <v>2309.25</v>
      </c>
      <c r="CG78" s="528">
        <v>0</v>
      </c>
      <c r="CH78" s="528">
        <v>0</v>
      </c>
      <c r="CI78" s="528">
        <f t="shared" si="1"/>
        <v>212773.74999999965</v>
      </c>
      <c r="CJ78" s="528">
        <v>343162.77</v>
      </c>
      <c r="CK78" s="528">
        <v>0</v>
      </c>
      <c r="CL78" s="528">
        <v>3130</v>
      </c>
      <c r="CM78" s="528">
        <v>346292.77</v>
      </c>
      <c r="CN78" s="528">
        <v>0</v>
      </c>
      <c r="CO78" s="528">
        <v>0</v>
      </c>
      <c r="CP78" s="528">
        <v>1312</v>
      </c>
      <c r="CQ78" s="528">
        <v>0</v>
      </c>
      <c r="CR78" s="528">
        <v>-136940</v>
      </c>
      <c r="CS78" s="528">
        <v>210664.77000000002</v>
      </c>
      <c r="CT78" s="528">
        <v>2601.96</v>
      </c>
      <c r="CU78" s="528">
        <v>0</v>
      </c>
      <c r="CV78" s="528">
        <v>0</v>
      </c>
      <c r="CW78" s="528">
        <v>2601.96</v>
      </c>
      <c r="CX78" s="528"/>
      <c r="CY78" s="528"/>
      <c r="CZ78" s="528"/>
      <c r="DA78" s="528">
        <v>0</v>
      </c>
      <c r="DB78" s="528">
        <v>2601.96</v>
      </c>
      <c r="DC78" s="528">
        <v>0</v>
      </c>
      <c r="DD78" s="528">
        <v>8337.09</v>
      </c>
      <c r="DE78" s="528">
        <v>0</v>
      </c>
      <c r="DF78" s="528">
        <v>0</v>
      </c>
      <c r="DG78" s="528">
        <v>-7755.62</v>
      </c>
      <c r="DH78" s="528">
        <v>0</v>
      </c>
      <c r="DI78" s="528">
        <v>0</v>
      </c>
      <c r="DJ78" s="528">
        <v>0</v>
      </c>
      <c r="DK78" s="528">
        <v>581.47000000000025</v>
      </c>
      <c r="DL78" s="528">
        <v>0</v>
      </c>
      <c r="DM78" s="528">
        <v>0</v>
      </c>
      <c r="DN78" s="528">
        <v>-1074</v>
      </c>
      <c r="DO78" s="528">
        <v>0</v>
      </c>
      <c r="DP78" s="528">
        <v>0</v>
      </c>
      <c r="DQ78" s="529">
        <v>-0.45000000001164153</v>
      </c>
      <c r="DR78" s="530">
        <v>1585691.06</v>
      </c>
      <c r="DS78" s="531">
        <v>393466.29000000027</v>
      </c>
      <c r="DT78" s="530">
        <v>27832.68</v>
      </c>
      <c r="DU78" s="530">
        <v>24298.980000000003</v>
      </c>
      <c r="DV78" s="530">
        <v>0</v>
      </c>
      <c r="DW78" s="530">
        <v>-1074</v>
      </c>
    </row>
    <row r="79" spans="1:127" s="103" customFormat="1">
      <c r="A79" s="525">
        <v>1010</v>
      </c>
      <c r="B79" s="526" t="s">
        <v>661</v>
      </c>
      <c r="C79" s="525">
        <v>1010</v>
      </c>
      <c r="D79" s="527" t="s">
        <v>1284</v>
      </c>
      <c r="E79" s="527" t="s">
        <v>534</v>
      </c>
      <c r="F79" s="527" t="s">
        <v>5</v>
      </c>
      <c r="G79" s="527" t="s">
        <v>535</v>
      </c>
      <c r="H79" s="528">
        <v>971712.42</v>
      </c>
      <c r="I79" s="528">
        <v>0</v>
      </c>
      <c r="J79" s="528">
        <v>36145.61</v>
      </c>
      <c r="K79" s="528">
        <v>0</v>
      </c>
      <c r="L79" s="528">
        <v>0</v>
      </c>
      <c r="M79" s="528">
        <v>0</v>
      </c>
      <c r="N79" s="528">
        <v>0</v>
      </c>
      <c r="O79" s="528">
        <v>0</v>
      </c>
      <c r="P79" s="528">
        <v>83907.32</v>
      </c>
      <c r="Q79" s="528">
        <v>0</v>
      </c>
      <c r="R79" s="528">
        <v>0</v>
      </c>
      <c r="S79" s="528">
        <v>0</v>
      </c>
      <c r="T79" s="528">
        <v>1516</v>
      </c>
      <c r="U79" s="528">
        <v>43011.19</v>
      </c>
      <c r="V79" s="528">
        <v>0</v>
      </c>
      <c r="W79" s="528">
        <v>0</v>
      </c>
      <c r="X79" s="528">
        <v>0</v>
      </c>
      <c r="Y79" s="528">
        <v>1136292.54</v>
      </c>
      <c r="Z79" s="528">
        <v>248198.83000000007</v>
      </c>
      <c r="AA79" s="528">
        <v>0</v>
      </c>
      <c r="AB79" s="528">
        <v>224411.61</v>
      </c>
      <c r="AC79" s="528">
        <v>0</v>
      </c>
      <c r="AD79" s="528">
        <v>47521.1</v>
      </c>
      <c r="AE79" s="528">
        <v>0</v>
      </c>
      <c r="AF79" s="528">
        <v>0</v>
      </c>
      <c r="AG79" s="528">
        <v>6150.2900000000045</v>
      </c>
      <c r="AH79" s="528">
        <v>3147.51</v>
      </c>
      <c r="AI79" s="528">
        <v>0</v>
      </c>
      <c r="AJ79" s="528">
        <v>0</v>
      </c>
      <c r="AK79" s="528">
        <v>14844.799999999996</v>
      </c>
      <c r="AL79" s="528">
        <v>12575.52</v>
      </c>
      <c r="AM79" s="528">
        <v>1747.92</v>
      </c>
      <c r="AN79" s="528">
        <v>526.73</v>
      </c>
      <c r="AO79" s="528">
        <v>8318.9500000000007</v>
      </c>
      <c r="AP79" s="528">
        <v>0</v>
      </c>
      <c r="AQ79" s="528">
        <v>17479.809999999998</v>
      </c>
      <c r="AR79" s="528">
        <v>35973.660000000003</v>
      </c>
      <c r="AS79" s="528">
        <v>0.03</v>
      </c>
      <c r="AT79" s="528">
        <v>0</v>
      </c>
      <c r="AU79" s="528">
        <v>75760.489999999976</v>
      </c>
      <c r="AV79" s="528">
        <v>3291.75</v>
      </c>
      <c r="AW79" s="528">
        <v>0</v>
      </c>
      <c r="AX79" s="528">
        <v>7104.42</v>
      </c>
      <c r="AY79" s="528">
        <v>117925.15</v>
      </c>
      <c r="AZ79" s="528">
        <v>4637.49</v>
      </c>
      <c r="BA79" s="528">
        <v>305455.76</v>
      </c>
      <c r="BB79" s="528">
        <v>0</v>
      </c>
      <c r="BC79" s="528">
        <v>0</v>
      </c>
      <c r="BD79" s="528">
        <v>0</v>
      </c>
      <c r="BE79" s="528">
        <v>1135071.8200000003</v>
      </c>
      <c r="BF79" s="528">
        <v>468903.78</v>
      </c>
      <c r="BG79" s="528">
        <v>1220.7199999997392</v>
      </c>
      <c r="BH79" s="528">
        <v>470124.49999999977</v>
      </c>
      <c r="BI79" s="528">
        <v>5194.75</v>
      </c>
      <c r="BJ79" s="528">
        <v>0</v>
      </c>
      <c r="BK79" s="528">
        <v>0</v>
      </c>
      <c r="BL79" s="528">
        <v>5194.75</v>
      </c>
      <c r="BM79" s="528">
        <v>0</v>
      </c>
      <c r="BN79" s="528">
        <v>0</v>
      </c>
      <c r="BO79" s="528">
        <v>0</v>
      </c>
      <c r="BP79" s="528">
        <v>0</v>
      </c>
      <c r="BQ79" s="528">
        <v>0</v>
      </c>
      <c r="BR79" s="528">
        <v>0</v>
      </c>
      <c r="BS79" s="528">
        <v>5194.75</v>
      </c>
      <c r="BT79" s="528">
        <v>5194.75</v>
      </c>
      <c r="BU79" s="528">
        <v>0</v>
      </c>
      <c r="BV79" s="528">
        <v>0</v>
      </c>
      <c r="BW79" s="528">
        <v>0</v>
      </c>
      <c r="BX79" s="528">
        <v>0</v>
      </c>
      <c r="BY79" s="528">
        <v>0</v>
      </c>
      <c r="BZ79" s="528">
        <v>0</v>
      </c>
      <c r="CA79" s="528">
        <v>0</v>
      </c>
      <c r="CB79" s="528">
        <v>0</v>
      </c>
      <c r="CC79" s="528">
        <v>0</v>
      </c>
      <c r="CD79" s="528">
        <v>470124.49999999977</v>
      </c>
      <c r="CE79" s="528">
        <v>0</v>
      </c>
      <c r="CF79" s="528">
        <v>5194.75</v>
      </c>
      <c r="CG79" s="528">
        <v>0</v>
      </c>
      <c r="CH79" s="528">
        <v>0</v>
      </c>
      <c r="CI79" s="528">
        <f t="shared" si="1"/>
        <v>475319.24999999977</v>
      </c>
      <c r="CJ79" s="528">
        <v>540418.16</v>
      </c>
      <c r="CK79" s="528">
        <v>0</v>
      </c>
      <c r="CL79" s="528">
        <v>0</v>
      </c>
      <c r="CM79" s="528">
        <v>540418.16</v>
      </c>
      <c r="CN79" s="528">
        <v>0</v>
      </c>
      <c r="CO79" s="528">
        <v>0</v>
      </c>
      <c r="CP79" s="528">
        <v>0</v>
      </c>
      <c r="CQ79" s="528">
        <v>0</v>
      </c>
      <c r="CR79" s="528">
        <v>11623.2</v>
      </c>
      <c r="CS79" s="528">
        <v>552041.36</v>
      </c>
      <c r="CT79" s="528">
        <v>0</v>
      </c>
      <c r="CU79" s="528">
        <v>0</v>
      </c>
      <c r="CV79" s="528">
        <v>0</v>
      </c>
      <c r="CW79" s="528">
        <v>0</v>
      </c>
      <c r="CX79" s="528"/>
      <c r="CY79" s="528"/>
      <c r="CZ79" s="528"/>
      <c r="DA79" s="528">
        <v>0</v>
      </c>
      <c r="DB79" s="528">
        <v>0</v>
      </c>
      <c r="DC79" s="528">
        <v>0</v>
      </c>
      <c r="DD79" s="528">
        <v>16407.25</v>
      </c>
      <c r="DE79" s="528">
        <v>0</v>
      </c>
      <c r="DF79" s="528">
        <v>0</v>
      </c>
      <c r="DG79" s="528">
        <v>-93129.36</v>
      </c>
      <c r="DH79" s="528">
        <v>0</v>
      </c>
      <c r="DI79" s="528">
        <v>0</v>
      </c>
      <c r="DJ79" s="528">
        <v>0</v>
      </c>
      <c r="DK79" s="528">
        <v>-76722.11</v>
      </c>
      <c r="DL79" s="528">
        <v>0</v>
      </c>
      <c r="DM79" s="528">
        <v>0</v>
      </c>
      <c r="DN79" s="528">
        <v>0</v>
      </c>
      <c r="DO79" s="528">
        <v>0</v>
      </c>
      <c r="DP79" s="528">
        <v>0</v>
      </c>
      <c r="DQ79" s="529">
        <v>0</v>
      </c>
      <c r="DR79" s="530">
        <v>526281.83000000007</v>
      </c>
      <c r="DS79" s="531">
        <v>608789.99000000022</v>
      </c>
      <c r="DT79" s="530">
        <v>117925.15</v>
      </c>
      <c r="DU79" s="530">
        <v>85423.32</v>
      </c>
      <c r="DV79" s="530">
        <v>43011.19</v>
      </c>
      <c r="DW79" s="530">
        <v>0</v>
      </c>
    </row>
    <row r="80" spans="1:127" s="103" customFormat="1">
      <c r="A80" s="525">
        <v>1021</v>
      </c>
      <c r="B80" s="526" t="s">
        <v>663</v>
      </c>
      <c r="C80" s="525">
        <v>1021</v>
      </c>
      <c r="D80" s="527" t="s">
        <v>1284</v>
      </c>
      <c r="E80" s="527" t="s">
        <v>534</v>
      </c>
      <c r="F80" s="527" t="s">
        <v>5</v>
      </c>
      <c r="G80" s="527" t="s">
        <v>535</v>
      </c>
      <c r="H80" s="528">
        <v>423680.24</v>
      </c>
      <c r="I80" s="528">
        <v>0</v>
      </c>
      <c r="J80" s="528">
        <v>34581.629999999997</v>
      </c>
      <c r="K80" s="528">
        <v>0</v>
      </c>
      <c r="L80" s="528">
        <v>0</v>
      </c>
      <c r="M80" s="528">
        <v>93072</v>
      </c>
      <c r="N80" s="528">
        <v>0</v>
      </c>
      <c r="O80" s="528">
        <v>0</v>
      </c>
      <c r="P80" s="528">
        <v>70549.470000000016</v>
      </c>
      <c r="Q80" s="528">
        <v>184</v>
      </c>
      <c r="R80" s="528">
        <v>0</v>
      </c>
      <c r="S80" s="528">
        <v>0</v>
      </c>
      <c r="T80" s="528">
        <v>2883</v>
      </c>
      <c r="U80" s="528">
        <v>22000</v>
      </c>
      <c r="V80" s="528">
        <v>0</v>
      </c>
      <c r="W80" s="528">
        <v>0</v>
      </c>
      <c r="X80" s="528">
        <v>0</v>
      </c>
      <c r="Y80" s="528">
        <v>646950.34</v>
      </c>
      <c r="Z80" s="528">
        <v>128362.50999999994</v>
      </c>
      <c r="AA80" s="528">
        <v>171.77</v>
      </c>
      <c r="AB80" s="528">
        <v>2210.1899999999996</v>
      </c>
      <c r="AC80" s="528">
        <v>112898.8299999999</v>
      </c>
      <c r="AD80" s="528">
        <v>23.159999999999997</v>
      </c>
      <c r="AE80" s="528">
        <v>0</v>
      </c>
      <c r="AF80" s="528">
        <v>110662.86999999995</v>
      </c>
      <c r="AG80" s="528">
        <v>-4486.9500000000016</v>
      </c>
      <c r="AH80" s="528">
        <v>565</v>
      </c>
      <c r="AI80" s="528">
        <v>0</v>
      </c>
      <c r="AJ80" s="528">
        <v>0</v>
      </c>
      <c r="AK80" s="528">
        <v>4297.91</v>
      </c>
      <c r="AL80" s="528">
        <v>0</v>
      </c>
      <c r="AM80" s="528">
        <v>6131.4099999999989</v>
      </c>
      <c r="AN80" s="528">
        <v>1013.7200000000001</v>
      </c>
      <c r="AO80" s="528">
        <v>9549.4800000000014</v>
      </c>
      <c r="AP80" s="528">
        <v>0</v>
      </c>
      <c r="AQ80" s="528">
        <v>9074.3799999999974</v>
      </c>
      <c r="AR80" s="528">
        <v>43165.919999999998</v>
      </c>
      <c r="AS80" s="528">
        <v>12753.549999999997</v>
      </c>
      <c r="AT80" s="528">
        <v>0</v>
      </c>
      <c r="AU80" s="528">
        <v>1597.6699999999998</v>
      </c>
      <c r="AV80" s="528">
        <v>0</v>
      </c>
      <c r="AW80" s="528">
        <v>0</v>
      </c>
      <c r="AX80" s="528">
        <v>2855.5099999999998</v>
      </c>
      <c r="AY80" s="528">
        <v>77304.620000000039</v>
      </c>
      <c r="AZ80" s="528">
        <v>0</v>
      </c>
      <c r="BA80" s="528">
        <v>27301.219999999998</v>
      </c>
      <c r="BB80" s="528">
        <v>0</v>
      </c>
      <c r="BC80" s="528">
        <v>0</v>
      </c>
      <c r="BD80" s="528">
        <v>0</v>
      </c>
      <c r="BE80" s="528">
        <v>545452.76999999967</v>
      </c>
      <c r="BF80" s="528">
        <v>17668.729999999981</v>
      </c>
      <c r="BG80" s="528">
        <v>101497.5700000003</v>
      </c>
      <c r="BH80" s="528">
        <v>119166.30000000028</v>
      </c>
      <c r="BI80" s="528">
        <v>4425.25</v>
      </c>
      <c r="BJ80" s="528">
        <v>0</v>
      </c>
      <c r="BK80" s="528">
        <v>0</v>
      </c>
      <c r="BL80" s="528">
        <v>4425.25</v>
      </c>
      <c r="BM80" s="528">
        <v>0</v>
      </c>
      <c r="BN80" s="528">
        <v>2484.5</v>
      </c>
      <c r="BO80" s="528">
        <v>0</v>
      </c>
      <c r="BP80" s="528">
        <v>0</v>
      </c>
      <c r="BQ80" s="528">
        <v>2484.5</v>
      </c>
      <c r="BR80" s="528">
        <v>9753.5600000000013</v>
      </c>
      <c r="BS80" s="528">
        <v>1940.75</v>
      </c>
      <c r="BT80" s="528">
        <v>11694.310000000001</v>
      </c>
      <c r="BU80" s="528">
        <v>0</v>
      </c>
      <c r="BV80" s="528">
        <v>0</v>
      </c>
      <c r="BW80" s="528">
        <v>0</v>
      </c>
      <c r="BX80" s="528">
        <v>0</v>
      </c>
      <c r="BY80" s="528">
        <v>0</v>
      </c>
      <c r="BZ80" s="528">
        <v>0</v>
      </c>
      <c r="CA80" s="528">
        <v>0</v>
      </c>
      <c r="CB80" s="528">
        <v>0</v>
      </c>
      <c r="CC80" s="528">
        <v>0</v>
      </c>
      <c r="CD80" s="528">
        <v>119166.30000000028</v>
      </c>
      <c r="CE80" s="528">
        <v>0</v>
      </c>
      <c r="CF80" s="528">
        <v>11694.310000000001</v>
      </c>
      <c r="CG80" s="528">
        <v>0</v>
      </c>
      <c r="CH80" s="528">
        <v>0</v>
      </c>
      <c r="CI80" s="528">
        <f t="shared" si="1"/>
        <v>130860.61000000028</v>
      </c>
      <c r="CJ80" s="528">
        <v>148204.17000000001</v>
      </c>
      <c r="CK80" s="528">
        <v>0</v>
      </c>
      <c r="CL80" s="528">
        <v>0</v>
      </c>
      <c r="CM80" s="528">
        <v>148204.17000000001</v>
      </c>
      <c r="CN80" s="528">
        <v>0</v>
      </c>
      <c r="CO80" s="528">
        <v>0</v>
      </c>
      <c r="CP80" s="528">
        <v>3000.9300000000003</v>
      </c>
      <c r="CQ80" s="528">
        <v>0</v>
      </c>
      <c r="CR80" s="528">
        <v>-21529.43</v>
      </c>
      <c r="CS80" s="528">
        <v>129675.67000000001</v>
      </c>
      <c r="CT80" s="528">
        <v>0</v>
      </c>
      <c r="CU80" s="528">
        <v>0</v>
      </c>
      <c r="CV80" s="528">
        <v>0</v>
      </c>
      <c r="CW80" s="528">
        <v>0</v>
      </c>
      <c r="CX80" s="528"/>
      <c r="CY80" s="528"/>
      <c r="CZ80" s="528"/>
      <c r="DA80" s="528">
        <v>0</v>
      </c>
      <c r="DB80" s="528">
        <v>0</v>
      </c>
      <c r="DC80" s="528">
        <v>0</v>
      </c>
      <c r="DD80" s="528">
        <v>1184.94</v>
      </c>
      <c r="DE80" s="528">
        <v>0</v>
      </c>
      <c r="DF80" s="528">
        <v>0</v>
      </c>
      <c r="DG80" s="528">
        <v>0</v>
      </c>
      <c r="DH80" s="528">
        <v>0</v>
      </c>
      <c r="DI80" s="528">
        <v>0</v>
      </c>
      <c r="DJ80" s="528">
        <v>0</v>
      </c>
      <c r="DK80" s="528">
        <v>1184.94</v>
      </c>
      <c r="DL80" s="528">
        <v>0</v>
      </c>
      <c r="DM80" s="528">
        <v>0</v>
      </c>
      <c r="DN80" s="528">
        <v>0</v>
      </c>
      <c r="DO80" s="528">
        <v>0</v>
      </c>
      <c r="DP80" s="528">
        <v>0</v>
      </c>
      <c r="DQ80" s="529">
        <v>0</v>
      </c>
      <c r="DR80" s="530">
        <v>349842.37999999977</v>
      </c>
      <c r="DS80" s="531">
        <v>195610.3899999999</v>
      </c>
      <c r="DT80" s="530">
        <v>77304.620000000039</v>
      </c>
      <c r="DU80" s="530">
        <v>73616.470000000016</v>
      </c>
      <c r="DV80" s="530">
        <v>22000</v>
      </c>
      <c r="DW80" s="530">
        <v>0</v>
      </c>
    </row>
    <row r="81" spans="1:127" s="103" customFormat="1">
      <c r="A81" s="525">
        <v>4201</v>
      </c>
      <c r="B81" s="526" t="s">
        <v>665</v>
      </c>
      <c r="C81" s="525">
        <v>4201</v>
      </c>
      <c r="D81" s="527" t="s">
        <v>1284</v>
      </c>
      <c r="E81" s="527" t="s">
        <v>564</v>
      </c>
      <c r="F81" s="527" t="s">
        <v>5</v>
      </c>
      <c r="G81" s="527" t="s">
        <v>535</v>
      </c>
      <c r="H81" s="528">
        <v>9510413.8599999994</v>
      </c>
      <c r="I81" s="528">
        <v>0</v>
      </c>
      <c r="J81" s="528">
        <v>71797.649999999994</v>
      </c>
      <c r="K81" s="528">
        <v>0</v>
      </c>
      <c r="L81" s="528">
        <v>610450.04</v>
      </c>
      <c r="M81" s="528">
        <v>24341.58</v>
      </c>
      <c r="N81" s="528">
        <v>0</v>
      </c>
      <c r="O81" s="528">
        <v>96652</v>
      </c>
      <c r="P81" s="528">
        <v>109246</v>
      </c>
      <c r="Q81" s="528">
        <v>200092</v>
      </c>
      <c r="R81" s="528">
        <v>0</v>
      </c>
      <c r="S81" s="528">
        <v>0</v>
      </c>
      <c r="T81" s="528">
        <v>7559</v>
      </c>
      <c r="U81" s="528">
        <v>0</v>
      </c>
      <c r="V81" s="528">
        <v>0</v>
      </c>
      <c r="W81" s="528">
        <v>44923.88</v>
      </c>
      <c r="X81" s="528">
        <v>0</v>
      </c>
      <c r="Y81" s="528">
        <v>10675476.010000002</v>
      </c>
      <c r="Z81" s="528">
        <v>5830391</v>
      </c>
      <c r="AA81" s="528">
        <v>0</v>
      </c>
      <c r="AB81" s="528">
        <v>1205256</v>
      </c>
      <c r="AC81" s="528">
        <v>210786</v>
      </c>
      <c r="AD81" s="528">
        <v>545330</v>
      </c>
      <c r="AE81" s="528">
        <v>0</v>
      </c>
      <c r="AF81" s="528">
        <v>29462</v>
      </c>
      <c r="AG81" s="528">
        <v>32296</v>
      </c>
      <c r="AH81" s="528">
        <v>59014</v>
      </c>
      <c r="AI81" s="528">
        <v>0</v>
      </c>
      <c r="AJ81" s="528">
        <v>0</v>
      </c>
      <c r="AK81" s="528">
        <v>222422</v>
      </c>
      <c r="AL81" s="528">
        <v>24763</v>
      </c>
      <c r="AM81" s="528">
        <v>226289</v>
      </c>
      <c r="AN81" s="528">
        <v>15769</v>
      </c>
      <c r="AO81" s="528">
        <v>214240.47</v>
      </c>
      <c r="AP81" s="528">
        <v>176330.4</v>
      </c>
      <c r="AQ81" s="528">
        <v>108743</v>
      </c>
      <c r="AR81" s="528">
        <v>108053.78</v>
      </c>
      <c r="AS81" s="528">
        <v>216455.96</v>
      </c>
      <c r="AT81" s="528">
        <v>158775</v>
      </c>
      <c r="AU81" s="528">
        <v>200350.65</v>
      </c>
      <c r="AV81" s="528">
        <v>36599.919999999998</v>
      </c>
      <c r="AW81" s="528">
        <v>0</v>
      </c>
      <c r="AX81" s="528">
        <v>363121</v>
      </c>
      <c r="AY81" s="528">
        <v>77763</v>
      </c>
      <c r="AZ81" s="528">
        <v>230866</v>
      </c>
      <c r="BA81" s="528">
        <v>148525</v>
      </c>
      <c r="BB81" s="528">
        <v>0</v>
      </c>
      <c r="BC81" s="528">
        <v>0</v>
      </c>
      <c r="BD81" s="528">
        <v>0</v>
      </c>
      <c r="BE81" s="528">
        <v>10441602.180000002</v>
      </c>
      <c r="BF81" s="528">
        <v>2228245.3800000018</v>
      </c>
      <c r="BG81" s="528">
        <v>233873.83000000007</v>
      </c>
      <c r="BH81" s="528">
        <v>2462119.2100000018</v>
      </c>
      <c r="BI81" s="528">
        <v>24562.19</v>
      </c>
      <c r="BJ81" s="528">
        <v>0</v>
      </c>
      <c r="BK81" s="528">
        <v>0</v>
      </c>
      <c r="BL81" s="528">
        <v>24562.19</v>
      </c>
      <c r="BM81" s="528">
        <v>0</v>
      </c>
      <c r="BN81" s="528">
        <v>23800</v>
      </c>
      <c r="BO81" s="528">
        <v>10466.219999999999</v>
      </c>
      <c r="BP81" s="528">
        <v>0</v>
      </c>
      <c r="BQ81" s="528">
        <v>34266.22</v>
      </c>
      <c r="BR81" s="528">
        <v>24491.869999999995</v>
      </c>
      <c r="BS81" s="528">
        <v>-9704.0300000000025</v>
      </c>
      <c r="BT81" s="528">
        <v>14787.839999999993</v>
      </c>
      <c r="BU81" s="528">
        <v>0</v>
      </c>
      <c r="BV81" s="528">
        <v>0</v>
      </c>
      <c r="BW81" s="528">
        <v>0</v>
      </c>
      <c r="BX81" s="528">
        <v>0</v>
      </c>
      <c r="BY81" s="528">
        <v>0</v>
      </c>
      <c r="BZ81" s="528">
        <v>0</v>
      </c>
      <c r="CA81" s="528">
        <v>0</v>
      </c>
      <c r="CB81" s="528">
        <v>0</v>
      </c>
      <c r="CC81" s="528">
        <v>0</v>
      </c>
      <c r="CD81" s="528">
        <v>2462119.2100000018</v>
      </c>
      <c r="CE81" s="528">
        <v>0</v>
      </c>
      <c r="CF81" s="528">
        <v>14787.839999999993</v>
      </c>
      <c r="CG81" s="528">
        <v>0</v>
      </c>
      <c r="CH81" s="528">
        <v>0</v>
      </c>
      <c r="CI81" s="528">
        <f t="shared" si="1"/>
        <v>2476907.0500000017</v>
      </c>
      <c r="CJ81" s="528">
        <v>3261966.3</v>
      </c>
      <c r="CK81" s="528">
        <v>710252.04</v>
      </c>
      <c r="CL81" s="528">
        <v>888.55</v>
      </c>
      <c r="CM81" s="528">
        <v>2552602.8099999996</v>
      </c>
      <c r="CN81" s="528">
        <v>0</v>
      </c>
      <c r="CO81" s="528">
        <v>0</v>
      </c>
      <c r="CP81" s="528">
        <v>37830.839999999997</v>
      </c>
      <c r="CQ81" s="528">
        <v>0</v>
      </c>
      <c r="CR81" s="528">
        <v>0</v>
      </c>
      <c r="CS81" s="528">
        <v>2590433.6499999994</v>
      </c>
      <c r="CT81" s="528">
        <v>0</v>
      </c>
      <c r="CU81" s="528">
        <v>0</v>
      </c>
      <c r="CV81" s="528">
        <v>0</v>
      </c>
      <c r="CW81" s="528">
        <v>0</v>
      </c>
      <c r="CX81" s="528"/>
      <c r="CY81" s="528"/>
      <c r="CZ81" s="528"/>
      <c r="DA81" s="528">
        <v>0</v>
      </c>
      <c r="DB81" s="528">
        <v>0</v>
      </c>
      <c r="DC81" s="528">
        <v>0</v>
      </c>
      <c r="DD81" s="528">
        <v>0</v>
      </c>
      <c r="DE81" s="528">
        <v>0</v>
      </c>
      <c r="DF81" s="528">
        <v>0</v>
      </c>
      <c r="DG81" s="528">
        <v>-113527.08</v>
      </c>
      <c r="DH81" s="528">
        <v>0</v>
      </c>
      <c r="DI81" s="528">
        <v>0</v>
      </c>
      <c r="DJ81" s="528">
        <v>0</v>
      </c>
      <c r="DK81" s="528">
        <v>-113527.08</v>
      </c>
      <c r="DL81" s="528">
        <v>0</v>
      </c>
      <c r="DM81" s="528">
        <v>0</v>
      </c>
      <c r="DN81" s="528">
        <v>0</v>
      </c>
      <c r="DO81" s="528">
        <v>0</v>
      </c>
      <c r="DP81" s="528">
        <v>0</v>
      </c>
      <c r="DQ81" s="529">
        <v>0.48000000044703484</v>
      </c>
      <c r="DR81" s="530">
        <v>7853521</v>
      </c>
      <c r="DS81" s="531">
        <v>2588081.1800000016</v>
      </c>
      <c r="DT81" s="530">
        <v>77763</v>
      </c>
      <c r="DU81" s="530">
        <v>413549</v>
      </c>
      <c r="DV81" s="530">
        <v>0</v>
      </c>
      <c r="DW81" s="530">
        <v>0</v>
      </c>
    </row>
    <row r="82" spans="1:127" s="103" customFormat="1">
      <c r="A82" s="525">
        <v>4015</v>
      </c>
      <c r="B82" s="526" t="s">
        <v>667</v>
      </c>
      <c r="C82" s="525">
        <v>4015</v>
      </c>
      <c r="D82" s="527" t="s">
        <v>1284</v>
      </c>
      <c r="E82" s="527" t="s">
        <v>564</v>
      </c>
      <c r="F82" s="527" t="s">
        <v>5</v>
      </c>
      <c r="G82" s="527" t="s">
        <v>535</v>
      </c>
      <c r="H82" s="528">
        <v>5697642.7199999997</v>
      </c>
      <c r="I82" s="528">
        <v>0</v>
      </c>
      <c r="J82" s="528">
        <v>40089.410000000003</v>
      </c>
      <c r="K82" s="528">
        <v>0</v>
      </c>
      <c r="L82" s="528">
        <v>341720</v>
      </c>
      <c r="M82" s="528">
        <v>2913.86</v>
      </c>
      <c r="N82" s="528">
        <v>0</v>
      </c>
      <c r="O82" s="528">
        <v>1010</v>
      </c>
      <c r="P82" s="528">
        <v>14592</v>
      </c>
      <c r="Q82" s="528">
        <v>0</v>
      </c>
      <c r="R82" s="528">
        <v>0</v>
      </c>
      <c r="S82" s="528">
        <v>0</v>
      </c>
      <c r="T82" s="528">
        <v>0</v>
      </c>
      <c r="U82" s="528">
        <v>6338</v>
      </c>
      <c r="V82" s="528">
        <v>0</v>
      </c>
      <c r="W82" s="528">
        <v>20302.91</v>
      </c>
      <c r="X82" s="528">
        <v>0</v>
      </c>
      <c r="Y82" s="528">
        <v>6124608.9000000004</v>
      </c>
      <c r="Z82" s="528">
        <v>3219539.13</v>
      </c>
      <c r="AA82" s="528">
        <v>0</v>
      </c>
      <c r="AB82" s="528">
        <v>677202.96</v>
      </c>
      <c r="AC82" s="528">
        <v>102128.14</v>
      </c>
      <c r="AD82" s="528">
        <v>443266.64</v>
      </c>
      <c r="AE82" s="528">
        <v>0</v>
      </c>
      <c r="AF82" s="528">
        <v>32364.55</v>
      </c>
      <c r="AG82" s="528">
        <v>36967.5</v>
      </c>
      <c r="AH82" s="528">
        <v>17155.86</v>
      </c>
      <c r="AI82" s="528">
        <v>0</v>
      </c>
      <c r="AJ82" s="528">
        <v>0</v>
      </c>
      <c r="AK82" s="528">
        <v>225404.65000000002</v>
      </c>
      <c r="AL82" s="528">
        <v>14483.31</v>
      </c>
      <c r="AM82" s="528">
        <v>109681.84</v>
      </c>
      <c r="AN82" s="528">
        <v>2771</v>
      </c>
      <c r="AO82" s="528">
        <v>161183.10999999999</v>
      </c>
      <c r="AP82" s="528">
        <v>73229.64</v>
      </c>
      <c r="AQ82" s="528">
        <v>51147.12</v>
      </c>
      <c r="AR82" s="528">
        <v>94072.55</v>
      </c>
      <c r="AS82" s="528">
        <v>236862.58</v>
      </c>
      <c r="AT82" s="528">
        <v>78754.81</v>
      </c>
      <c r="AU82" s="528">
        <v>152575.06</v>
      </c>
      <c r="AV82" s="528">
        <v>17585.939999999999</v>
      </c>
      <c r="AW82" s="528">
        <v>0</v>
      </c>
      <c r="AX82" s="528">
        <v>119754.73</v>
      </c>
      <c r="AY82" s="528">
        <v>226557.92</v>
      </c>
      <c r="AZ82" s="528">
        <v>29611.85</v>
      </c>
      <c r="BA82" s="528">
        <v>96691.28</v>
      </c>
      <c r="BB82" s="528">
        <v>0</v>
      </c>
      <c r="BC82" s="528">
        <v>0</v>
      </c>
      <c r="BD82" s="528">
        <v>0</v>
      </c>
      <c r="BE82" s="528">
        <v>6218992.1699999999</v>
      </c>
      <c r="BF82" s="528">
        <v>1262002.4000000006</v>
      </c>
      <c r="BG82" s="528">
        <v>-94383.269999999553</v>
      </c>
      <c r="BH82" s="528">
        <v>1167619.1300000011</v>
      </c>
      <c r="BI82" s="528">
        <v>16546.560000000001</v>
      </c>
      <c r="BJ82" s="528">
        <v>0</v>
      </c>
      <c r="BK82" s="528">
        <v>0</v>
      </c>
      <c r="BL82" s="528">
        <v>16546.560000000001</v>
      </c>
      <c r="BM82" s="528">
        <v>0</v>
      </c>
      <c r="BN82" s="528">
        <v>0</v>
      </c>
      <c r="BO82" s="528">
        <v>0</v>
      </c>
      <c r="BP82" s="528">
        <v>0</v>
      </c>
      <c r="BQ82" s="528">
        <v>0</v>
      </c>
      <c r="BR82" s="528">
        <v>27444.28</v>
      </c>
      <c r="BS82" s="528">
        <v>16546.560000000001</v>
      </c>
      <c r="BT82" s="528">
        <v>43990.84</v>
      </c>
      <c r="BU82" s="528">
        <v>0</v>
      </c>
      <c r="BV82" s="528">
        <v>0</v>
      </c>
      <c r="BW82" s="528">
        <v>0</v>
      </c>
      <c r="BX82" s="528">
        <v>0</v>
      </c>
      <c r="BY82" s="528">
        <v>0</v>
      </c>
      <c r="BZ82" s="528">
        <v>0</v>
      </c>
      <c r="CA82" s="528">
        <v>0</v>
      </c>
      <c r="CB82" s="528">
        <v>0</v>
      </c>
      <c r="CC82" s="528">
        <v>0</v>
      </c>
      <c r="CD82" s="528">
        <v>1167619.1300000011</v>
      </c>
      <c r="CE82" s="528">
        <v>0</v>
      </c>
      <c r="CF82" s="528">
        <v>43990.84</v>
      </c>
      <c r="CG82" s="528">
        <v>0</v>
      </c>
      <c r="CH82" s="528">
        <v>0</v>
      </c>
      <c r="CI82" s="528">
        <f t="shared" si="1"/>
        <v>1211609.9700000011</v>
      </c>
      <c r="CJ82" s="528">
        <v>1602922.85</v>
      </c>
      <c r="CK82" s="528">
        <v>0</v>
      </c>
      <c r="CL82" s="528">
        <v>0</v>
      </c>
      <c r="CM82" s="528">
        <v>1602922.85</v>
      </c>
      <c r="CN82" s="528">
        <v>117.4</v>
      </c>
      <c r="CO82" s="528">
        <v>0</v>
      </c>
      <c r="CP82" s="528">
        <v>26164.799999999999</v>
      </c>
      <c r="CQ82" s="528">
        <v>0</v>
      </c>
      <c r="CR82" s="528">
        <v>0</v>
      </c>
      <c r="CS82" s="528">
        <v>1629205.05</v>
      </c>
      <c r="CT82" s="528">
        <v>2688.87</v>
      </c>
      <c r="CU82" s="528">
        <v>0</v>
      </c>
      <c r="CV82" s="528">
        <v>0</v>
      </c>
      <c r="CW82" s="528">
        <v>2688.87</v>
      </c>
      <c r="CX82" s="528"/>
      <c r="CY82" s="528"/>
      <c r="CZ82" s="528"/>
      <c r="DA82" s="528">
        <v>0</v>
      </c>
      <c r="DB82" s="528">
        <v>2688.87</v>
      </c>
      <c r="DC82" s="528">
        <v>0</v>
      </c>
      <c r="DD82" s="528">
        <v>0</v>
      </c>
      <c r="DE82" s="528">
        <v>0</v>
      </c>
      <c r="DF82" s="528">
        <v>0</v>
      </c>
      <c r="DG82" s="528">
        <v>-35892.089999999997</v>
      </c>
      <c r="DH82" s="528">
        <v>-146</v>
      </c>
      <c r="DI82" s="528">
        <v>0</v>
      </c>
      <c r="DJ82" s="528">
        <v>0</v>
      </c>
      <c r="DK82" s="528">
        <v>-36038.089999999997</v>
      </c>
      <c r="DL82" s="528">
        <v>-986.99</v>
      </c>
      <c r="DM82" s="528">
        <v>-383258.56</v>
      </c>
      <c r="DN82" s="528">
        <v>0</v>
      </c>
      <c r="DO82" s="528">
        <v>0</v>
      </c>
      <c r="DP82" s="528">
        <v>0</v>
      </c>
      <c r="DQ82" s="529"/>
      <c r="DR82" s="530">
        <v>4511468.92</v>
      </c>
      <c r="DS82" s="531">
        <v>1707523.25</v>
      </c>
      <c r="DT82" s="530">
        <v>226557.92</v>
      </c>
      <c r="DU82" s="530">
        <v>15602</v>
      </c>
      <c r="DV82" s="530">
        <v>6338</v>
      </c>
      <c r="DW82" s="530">
        <v>-384245.55</v>
      </c>
    </row>
    <row r="83" spans="1:127" s="103" customFormat="1">
      <c r="A83" s="525">
        <v>3411</v>
      </c>
      <c r="B83" s="526" t="s">
        <v>669</v>
      </c>
      <c r="C83" s="525">
        <v>3411</v>
      </c>
      <c r="D83" s="527" t="s">
        <v>1284</v>
      </c>
      <c r="E83" s="527" t="s">
        <v>538</v>
      </c>
      <c r="F83" s="527" t="s">
        <v>5</v>
      </c>
      <c r="G83" s="527" t="s">
        <v>535</v>
      </c>
      <c r="H83" s="528">
        <v>1283712.67</v>
      </c>
      <c r="I83" s="528">
        <v>0</v>
      </c>
      <c r="J83" s="528">
        <v>249891.11</v>
      </c>
      <c r="K83" s="528">
        <v>0</v>
      </c>
      <c r="L83" s="528">
        <v>170090</v>
      </c>
      <c r="M83" s="528">
        <v>78203.75</v>
      </c>
      <c r="N83" s="528">
        <v>0</v>
      </c>
      <c r="O83" s="528">
        <v>0</v>
      </c>
      <c r="P83" s="528">
        <v>104453.08999999998</v>
      </c>
      <c r="Q83" s="528">
        <v>0</v>
      </c>
      <c r="R83" s="528">
        <v>0</v>
      </c>
      <c r="S83" s="528">
        <v>0</v>
      </c>
      <c r="T83" s="528">
        <v>0</v>
      </c>
      <c r="U83" s="528">
        <v>0</v>
      </c>
      <c r="V83" s="528">
        <v>0</v>
      </c>
      <c r="W83" s="528">
        <v>8730.92</v>
      </c>
      <c r="X83" s="528">
        <v>35860</v>
      </c>
      <c r="Y83" s="528">
        <v>1930941.5399999998</v>
      </c>
      <c r="Z83" s="528">
        <v>714498.55999999878</v>
      </c>
      <c r="AA83" s="528">
        <v>0</v>
      </c>
      <c r="AB83" s="528">
        <v>0</v>
      </c>
      <c r="AC83" s="528">
        <v>273467.34999999992</v>
      </c>
      <c r="AD83" s="528">
        <v>0</v>
      </c>
      <c r="AE83" s="528">
        <v>0</v>
      </c>
      <c r="AF83" s="528">
        <v>290703.72999999975</v>
      </c>
      <c r="AG83" s="528">
        <v>0</v>
      </c>
      <c r="AH83" s="528">
        <v>3224.99</v>
      </c>
      <c r="AI83" s="528">
        <v>0</v>
      </c>
      <c r="AJ83" s="528">
        <v>0</v>
      </c>
      <c r="AK83" s="528">
        <v>37063.69</v>
      </c>
      <c r="AL83" s="528">
        <v>323</v>
      </c>
      <c r="AM83" s="528">
        <v>2177.58</v>
      </c>
      <c r="AN83" s="528">
        <v>1723.87</v>
      </c>
      <c r="AO83" s="528">
        <v>34070.489999999991</v>
      </c>
      <c r="AP83" s="528">
        <v>33654.800000000003</v>
      </c>
      <c r="AQ83" s="528">
        <v>0</v>
      </c>
      <c r="AR83" s="528">
        <v>75515.66999999994</v>
      </c>
      <c r="AS83" s="528">
        <v>70</v>
      </c>
      <c r="AT83" s="528">
        <v>0</v>
      </c>
      <c r="AU83" s="528">
        <v>11245.570000000002</v>
      </c>
      <c r="AV83" s="528">
        <v>4100</v>
      </c>
      <c r="AW83" s="528">
        <v>0</v>
      </c>
      <c r="AX83" s="528">
        <v>81825.030000000057</v>
      </c>
      <c r="AY83" s="528">
        <v>200902.59999999998</v>
      </c>
      <c r="AZ83" s="528">
        <v>3835.71</v>
      </c>
      <c r="BA83" s="528">
        <v>200730.58000000022</v>
      </c>
      <c r="BB83" s="528">
        <v>0</v>
      </c>
      <c r="BC83" s="528">
        <v>0</v>
      </c>
      <c r="BD83" s="528">
        <v>0</v>
      </c>
      <c r="BE83" s="528">
        <v>1969133.219999999</v>
      </c>
      <c r="BF83" s="528">
        <v>429210.09999999986</v>
      </c>
      <c r="BG83" s="528">
        <v>-38191.679999999236</v>
      </c>
      <c r="BH83" s="528">
        <v>391018.42000000062</v>
      </c>
      <c r="BI83" s="528">
        <v>0</v>
      </c>
      <c r="BJ83" s="528">
        <v>0</v>
      </c>
      <c r="BK83" s="528">
        <v>0</v>
      </c>
      <c r="BL83" s="528">
        <v>0</v>
      </c>
      <c r="BM83" s="528">
        <v>0</v>
      </c>
      <c r="BN83" s="528">
        <v>0</v>
      </c>
      <c r="BO83" s="528">
        <v>0</v>
      </c>
      <c r="BP83" s="528">
        <v>0</v>
      </c>
      <c r="BQ83" s="528">
        <v>0</v>
      </c>
      <c r="BR83" s="528">
        <v>0</v>
      </c>
      <c r="BS83" s="528">
        <v>0</v>
      </c>
      <c r="BT83" s="528">
        <v>0</v>
      </c>
      <c r="BU83" s="528">
        <v>0</v>
      </c>
      <c r="BV83" s="528">
        <v>0</v>
      </c>
      <c r="BW83" s="528">
        <v>0</v>
      </c>
      <c r="BX83" s="528">
        <v>0</v>
      </c>
      <c r="BY83" s="528">
        <v>0</v>
      </c>
      <c r="BZ83" s="528">
        <v>0</v>
      </c>
      <c r="CA83" s="528">
        <v>0</v>
      </c>
      <c r="CB83" s="528">
        <v>0</v>
      </c>
      <c r="CC83" s="528">
        <v>0</v>
      </c>
      <c r="CD83" s="528">
        <v>391018.42000000062</v>
      </c>
      <c r="CE83" s="528">
        <v>0</v>
      </c>
      <c r="CF83" s="528">
        <v>0</v>
      </c>
      <c r="CG83" s="528">
        <v>0</v>
      </c>
      <c r="CH83" s="528">
        <v>0</v>
      </c>
      <c r="CI83" s="528">
        <f t="shared" si="1"/>
        <v>391018.42000000062</v>
      </c>
      <c r="CJ83" s="528">
        <v>455239.64</v>
      </c>
      <c r="CK83" s="528">
        <v>0</v>
      </c>
      <c r="CL83" s="528">
        <v>0</v>
      </c>
      <c r="CM83" s="528">
        <v>455239.64</v>
      </c>
      <c r="CN83" s="528">
        <v>0</v>
      </c>
      <c r="CO83" s="528">
        <v>0</v>
      </c>
      <c r="CP83" s="528">
        <v>4985.3999999999996</v>
      </c>
      <c r="CQ83" s="528">
        <v>0</v>
      </c>
      <c r="CR83" s="528">
        <v>-80728</v>
      </c>
      <c r="CS83" s="528">
        <v>379497.04000000004</v>
      </c>
      <c r="CT83" s="528">
        <v>0</v>
      </c>
      <c r="CU83" s="528">
        <v>0</v>
      </c>
      <c r="CV83" s="528">
        <v>0</v>
      </c>
      <c r="CW83" s="528">
        <v>0</v>
      </c>
      <c r="CX83" s="528"/>
      <c r="CY83" s="528"/>
      <c r="CZ83" s="528"/>
      <c r="DA83" s="528">
        <v>0</v>
      </c>
      <c r="DB83" s="528">
        <v>0</v>
      </c>
      <c r="DC83" s="528">
        <v>0</v>
      </c>
      <c r="DD83" s="528">
        <v>11520.91</v>
      </c>
      <c r="DE83" s="528">
        <v>0</v>
      </c>
      <c r="DF83" s="528">
        <v>0</v>
      </c>
      <c r="DG83" s="528">
        <v>0</v>
      </c>
      <c r="DH83" s="528">
        <v>0</v>
      </c>
      <c r="DI83" s="528">
        <v>0</v>
      </c>
      <c r="DJ83" s="528">
        <v>0</v>
      </c>
      <c r="DK83" s="528">
        <v>11520.91</v>
      </c>
      <c r="DL83" s="528">
        <v>0</v>
      </c>
      <c r="DM83" s="528">
        <v>0</v>
      </c>
      <c r="DN83" s="528">
        <v>0</v>
      </c>
      <c r="DO83" s="528">
        <v>0</v>
      </c>
      <c r="DP83" s="528">
        <v>0</v>
      </c>
      <c r="DQ83" s="529"/>
      <c r="DR83" s="530">
        <v>1278669.6399999985</v>
      </c>
      <c r="DS83" s="531">
        <v>690463.58000000054</v>
      </c>
      <c r="DT83" s="530">
        <v>200902.59999999998</v>
      </c>
      <c r="DU83" s="530">
        <v>104453.08999999998</v>
      </c>
      <c r="DV83" s="530">
        <v>0</v>
      </c>
      <c r="DW83" s="530">
        <v>0</v>
      </c>
    </row>
    <row r="84" spans="1:127" s="103" customFormat="1">
      <c r="A84" s="525">
        <v>2474</v>
      </c>
      <c r="B84" s="526" t="s">
        <v>895</v>
      </c>
      <c r="C84" s="525">
        <v>2474</v>
      </c>
      <c r="D84" s="527" t="s">
        <v>1284</v>
      </c>
      <c r="E84" s="527" t="s">
        <v>538</v>
      </c>
      <c r="F84" s="527" t="s">
        <v>5</v>
      </c>
      <c r="G84" s="527" t="s">
        <v>958</v>
      </c>
      <c r="H84" s="528">
        <v>2210466.7400000002</v>
      </c>
      <c r="I84" s="528">
        <v>0</v>
      </c>
      <c r="J84" s="528">
        <v>55678.39</v>
      </c>
      <c r="K84" s="528">
        <v>0</v>
      </c>
      <c r="L84" s="528">
        <v>213470</v>
      </c>
      <c r="M84" s="528">
        <v>3546.93</v>
      </c>
      <c r="N84" s="528">
        <v>0</v>
      </c>
      <c r="O84" s="528">
        <v>25309.5</v>
      </c>
      <c r="P84" s="528">
        <v>48295.629999999866</v>
      </c>
      <c r="Q84" s="528">
        <v>614.05999999999995</v>
      </c>
      <c r="R84" s="528">
        <v>0</v>
      </c>
      <c r="S84" s="528">
        <v>0</v>
      </c>
      <c r="T84" s="528">
        <v>23243.279999999999</v>
      </c>
      <c r="U84" s="528">
        <v>32358.16</v>
      </c>
      <c r="V84" s="528">
        <v>0</v>
      </c>
      <c r="W84" s="528">
        <v>3767.71</v>
      </c>
      <c r="X84" s="528">
        <v>72834</v>
      </c>
      <c r="Y84" s="528">
        <v>2689584.4000000004</v>
      </c>
      <c r="Z84" s="528">
        <v>1368578.4099999992</v>
      </c>
      <c r="AA84" s="528">
        <v>0</v>
      </c>
      <c r="AB84" s="528">
        <v>302342.96000000002</v>
      </c>
      <c r="AC84" s="528">
        <v>43281.040000000503</v>
      </c>
      <c r="AD84" s="528">
        <v>154911.25</v>
      </c>
      <c r="AE84" s="528">
        <v>0</v>
      </c>
      <c r="AF84" s="528">
        <v>90510.25</v>
      </c>
      <c r="AG84" s="528">
        <v>0</v>
      </c>
      <c r="AH84" s="528">
        <v>0</v>
      </c>
      <c r="AI84" s="528">
        <v>0</v>
      </c>
      <c r="AJ84" s="528">
        <v>11878.97</v>
      </c>
      <c r="AK84" s="528">
        <v>12874.78</v>
      </c>
      <c r="AL84" s="528">
        <v>1935</v>
      </c>
      <c r="AM84" s="528">
        <v>60433.91</v>
      </c>
      <c r="AN84" s="528">
        <v>8394.2900000000009</v>
      </c>
      <c r="AO84" s="528">
        <v>62555.840000000004</v>
      </c>
      <c r="AP84" s="528">
        <v>33857.5</v>
      </c>
      <c r="AQ84" s="528">
        <v>13205.560000000001</v>
      </c>
      <c r="AR84" s="528">
        <v>60766</v>
      </c>
      <c r="AS84" s="528">
        <v>10029.459999999999</v>
      </c>
      <c r="AT84" s="528">
        <v>0</v>
      </c>
      <c r="AU84" s="528">
        <v>21632.500000000004</v>
      </c>
      <c r="AV84" s="528">
        <v>9471</v>
      </c>
      <c r="AW84" s="528">
        <v>1412</v>
      </c>
      <c r="AX84" s="528">
        <v>149350.46999999997</v>
      </c>
      <c r="AY84" s="528">
        <v>73310.840000000026</v>
      </c>
      <c r="AZ84" s="528">
        <v>10554.47</v>
      </c>
      <c r="BA84" s="528">
        <v>154532.71999999997</v>
      </c>
      <c r="BB84" s="528">
        <v>0</v>
      </c>
      <c r="BC84" s="528">
        <v>0</v>
      </c>
      <c r="BD84" s="528">
        <v>0</v>
      </c>
      <c r="BE84" s="528">
        <v>2655819.2199999997</v>
      </c>
      <c r="BF84" s="528">
        <v>-46755.729999999967</v>
      </c>
      <c r="BG84" s="528">
        <v>33765.180000000633</v>
      </c>
      <c r="BH84" s="528">
        <v>-12990.549999999334</v>
      </c>
      <c r="BI84" s="528">
        <v>8668.75</v>
      </c>
      <c r="BJ84" s="528">
        <v>0</v>
      </c>
      <c r="BK84" s="528">
        <v>0</v>
      </c>
      <c r="BL84" s="528">
        <v>8668.75</v>
      </c>
      <c r="BM84" s="528">
        <v>0</v>
      </c>
      <c r="BN84" s="528">
        <v>0</v>
      </c>
      <c r="BO84" s="528">
        <v>0</v>
      </c>
      <c r="BP84" s="528">
        <v>0</v>
      </c>
      <c r="BQ84" s="528">
        <v>0</v>
      </c>
      <c r="BR84" s="528">
        <v>21179</v>
      </c>
      <c r="BS84" s="528">
        <v>8668.75</v>
      </c>
      <c r="BT84" s="528">
        <v>29847.75</v>
      </c>
      <c r="BU84" s="528">
        <v>0</v>
      </c>
      <c r="BV84" s="528">
        <v>0</v>
      </c>
      <c r="BW84" s="528">
        <v>0</v>
      </c>
      <c r="BX84" s="528">
        <v>0</v>
      </c>
      <c r="BY84" s="528">
        <v>0</v>
      </c>
      <c r="BZ84" s="528">
        <v>0</v>
      </c>
      <c r="CA84" s="528">
        <v>0</v>
      </c>
      <c r="CB84" s="528">
        <v>0</v>
      </c>
      <c r="CC84" s="528">
        <v>0</v>
      </c>
      <c r="CD84" s="528">
        <v>-12990.549999999334</v>
      </c>
      <c r="CE84" s="528">
        <v>0</v>
      </c>
      <c r="CF84" s="528">
        <v>29847.75</v>
      </c>
      <c r="CG84" s="528">
        <v>0</v>
      </c>
      <c r="CH84" s="528">
        <v>0</v>
      </c>
      <c r="CI84" s="528">
        <f t="shared" si="1"/>
        <v>16857.200000000666</v>
      </c>
      <c r="CJ84" s="528">
        <v>0</v>
      </c>
      <c r="CK84" s="528">
        <v>0</v>
      </c>
      <c r="CL84" s="528">
        <v>0</v>
      </c>
      <c r="CM84" s="528">
        <v>0</v>
      </c>
      <c r="CN84" s="528">
        <v>0</v>
      </c>
      <c r="CO84" s="528">
        <v>0</v>
      </c>
      <c r="CP84" s="528">
        <v>0</v>
      </c>
      <c r="CQ84" s="528">
        <v>0</v>
      </c>
      <c r="CR84" s="528">
        <v>0</v>
      </c>
      <c r="CS84" s="528">
        <v>0</v>
      </c>
      <c r="CT84" s="528">
        <v>0</v>
      </c>
      <c r="CU84" s="528">
        <v>0</v>
      </c>
      <c r="CV84" s="528">
        <v>0</v>
      </c>
      <c r="CW84" s="528">
        <v>0</v>
      </c>
      <c r="CX84" s="528"/>
      <c r="CY84" s="528"/>
      <c r="CZ84" s="528"/>
      <c r="DA84" s="528">
        <v>55019.140000000254</v>
      </c>
      <c r="DB84" s="528">
        <v>55019.140000000254</v>
      </c>
      <c r="DC84" s="528">
        <v>1234.42</v>
      </c>
      <c r="DD84" s="528">
        <v>251.48</v>
      </c>
      <c r="DE84" s="528">
        <v>0</v>
      </c>
      <c r="DF84" s="528">
        <v>0</v>
      </c>
      <c r="DG84" s="528">
        <v>-38581.53</v>
      </c>
      <c r="DH84" s="528">
        <v>0</v>
      </c>
      <c r="DI84" s="528">
        <v>-1067</v>
      </c>
      <c r="DJ84" s="528">
        <v>0</v>
      </c>
      <c r="DK84" s="528">
        <v>-38162.629999999997</v>
      </c>
      <c r="DL84" s="528">
        <v>0</v>
      </c>
      <c r="DM84" s="528">
        <v>0</v>
      </c>
      <c r="DN84" s="528">
        <v>0</v>
      </c>
      <c r="DO84" s="528">
        <v>0</v>
      </c>
      <c r="DP84" s="528">
        <v>0</v>
      </c>
      <c r="DQ84" s="529">
        <v>-2.5465851649641991E-10</v>
      </c>
      <c r="DR84" s="530">
        <v>-2.5465851649641991E-10</v>
      </c>
      <c r="DS84" s="531"/>
      <c r="DT84" s="530"/>
      <c r="DU84" s="530"/>
      <c r="DV84" s="530"/>
      <c r="DW84" s="530">
        <v>0</v>
      </c>
    </row>
    <row r="85" spans="1:127" s="103" customFormat="1">
      <c r="A85" s="525">
        <v>4223</v>
      </c>
      <c r="B85" s="526" t="s">
        <v>671</v>
      </c>
      <c r="C85" s="525">
        <v>4223</v>
      </c>
      <c r="D85" s="527" t="s">
        <v>1284</v>
      </c>
      <c r="E85" s="527" t="s">
        <v>564</v>
      </c>
      <c r="F85" s="527" t="s">
        <v>5</v>
      </c>
      <c r="G85" s="527" t="s">
        <v>535</v>
      </c>
      <c r="H85" s="528">
        <v>8607062.4600000009</v>
      </c>
      <c r="I85" s="528">
        <v>947225</v>
      </c>
      <c r="J85" s="528">
        <v>105507.66</v>
      </c>
      <c r="K85" s="528">
        <v>0</v>
      </c>
      <c r="L85" s="528">
        <v>595505</v>
      </c>
      <c r="M85" s="528">
        <v>35425.730000000003</v>
      </c>
      <c r="N85" s="528">
        <v>0</v>
      </c>
      <c r="O85" s="528">
        <v>0</v>
      </c>
      <c r="P85" s="528">
        <v>381813.24</v>
      </c>
      <c r="Q85" s="528">
        <v>120119.67999999999</v>
      </c>
      <c r="R85" s="528">
        <v>0</v>
      </c>
      <c r="S85" s="528">
        <v>0</v>
      </c>
      <c r="T85" s="528">
        <v>5940.1</v>
      </c>
      <c r="U85" s="528">
        <v>0</v>
      </c>
      <c r="V85" s="528">
        <v>0</v>
      </c>
      <c r="W85" s="528">
        <v>35921.629999999997</v>
      </c>
      <c r="X85" s="528">
        <v>0</v>
      </c>
      <c r="Y85" s="528">
        <v>10834520.500000002</v>
      </c>
      <c r="Z85" s="528">
        <v>6465868.0499999998</v>
      </c>
      <c r="AA85" s="528">
        <v>0</v>
      </c>
      <c r="AB85" s="528">
        <v>352939.54</v>
      </c>
      <c r="AC85" s="528">
        <v>0</v>
      </c>
      <c r="AD85" s="528">
        <v>1419418.26</v>
      </c>
      <c r="AE85" s="528">
        <v>0</v>
      </c>
      <c r="AF85" s="528">
        <v>130889.57</v>
      </c>
      <c r="AG85" s="528">
        <v>61682.91</v>
      </c>
      <c r="AH85" s="528">
        <v>50790.5</v>
      </c>
      <c r="AI85" s="528">
        <v>6415.6</v>
      </c>
      <c r="AJ85" s="528">
        <v>29198.31</v>
      </c>
      <c r="AK85" s="528">
        <v>45502.11</v>
      </c>
      <c r="AL85" s="528">
        <v>0</v>
      </c>
      <c r="AM85" s="528">
        <v>0</v>
      </c>
      <c r="AN85" s="528">
        <v>114702.78</v>
      </c>
      <c r="AO85" s="528">
        <v>443752.59</v>
      </c>
      <c r="AP85" s="528">
        <v>174898.94</v>
      </c>
      <c r="AQ85" s="528">
        <v>17765.009999999998</v>
      </c>
      <c r="AR85" s="528">
        <f>304332.41-0.56</f>
        <v>304331.84999999998</v>
      </c>
      <c r="AS85" s="528">
        <v>135165.26</v>
      </c>
      <c r="AT85" s="528">
        <v>211466.25</v>
      </c>
      <c r="AU85" s="528">
        <v>363970.33</v>
      </c>
      <c r="AV85" s="528">
        <v>0</v>
      </c>
      <c r="AW85" s="528">
        <v>2400</v>
      </c>
      <c r="AX85" s="528">
        <v>525763.03</v>
      </c>
      <c r="AY85" s="528">
        <v>137145.04</v>
      </c>
      <c r="AZ85" s="528">
        <v>110546.73999999999</v>
      </c>
      <c r="BA85" s="528">
        <v>178779.11999999994</v>
      </c>
      <c r="BB85" s="528">
        <v>650108.80000000005</v>
      </c>
      <c r="BC85" s="528">
        <v>0</v>
      </c>
      <c r="BD85" s="528">
        <v>0</v>
      </c>
      <c r="BE85" s="528">
        <v>11933501.149999997</v>
      </c>
      <c r="BF85" s="528">
        <v>4979718.9499999937</v>
      </c>
      <c r="BG85" s="528">
        <v>-1098980.6499999948</v>
      </c>
      <c r="BH85" s="528">
        <v>3880738.2999999989</v>
      </c>
      <c r="BI85" s="528">
        <v>24995.31</v>
      </c>
      <c r="BJ85" s="528">
        <v>0</v>
      </c>
      <c r="BK85" s="528">
        <v>0</v>
      </c>
      <c r="BL85" s="528">
        <v>24995.31</v>
      </c>
      <c r="BM85" s="528">
        <v>0</v>
      </c>
      <c r="BN85" s="528">
        <v>0</v>
      </c>
      <c r="BO85" s="528">
        <v>0</v>
      </c>
      <c r="BP85" s="528">
        <v>0</v>
      </c>
      <c r="BQ85" s="528">
        <v>0</v>
      </c>
      <c r="BR85" s="528">
        <v>0</v>
      </c>
      <c r="BS85" s="528">
        <v>24995.31</v>
      </c>
      <c r="BT85" s="528">
        <v>24995.31</v>
      </c>
      <c r="BU85" s="528">
        <v>0</v>
      </c>
      <c r="BV85" s="528">
        <v>0</v>
      </c>
      <c r="BW85" s="528">
        <v>0</v>
      </c>
      <c r="BX85" s="528">
        <v>0</v>
      </c>
      <c r="BY85" s="528">
        <v>0</v>
      </c>
      <c r="BZ85" s="528">
        <v>0</v>
      </c>
      <c r="CA85" s="528">
        <v>0</v>
      </c>
      <c r="CB85" s="528">
        <v>0</v>
      </c>
      <c r="CC85" s="528">
        <v>0</v>
      </c>
      <c r="CD85" s="528">
        <v>3880738.2999999989</v>
      </c>
      <c r="CE85" s="528">
        <v>0</v>
      </c>
      <c r="CF85" s="528">
        <v>24995.31</v>
      </c>
      <c r="CG85" s="528">
        <v>0</v>
      </c>
      <c r="CH85" s="528">
        <v>0</v>
      </c>
      <c r="CI85" s="528">
        <f t="shared" si="1"/>
        <v>3905733.6099999989</v>
      </c>
      <c r="CJ85" s="528">
        <v>858767.43</v>
      </c>
      <c r="CK85" s="528">
        <v>857159.94</v>
      </c>
      <c r="CL85" s="528">
        <v>0</v>
      </c>
      <c r="CM85" s="528">
        <v>1607.4900000001071</v>
      </c>
      <c r="CN85" s="528">
        <v>300</v>
      </c>
      <c r="CO85" s="528">
        <v>0</v>
      </c>
      <c r="CP85" s="528">
        <v>45890.52</v>
      </c>
      <c r="CQ85" s="528">
        <v>0</v>
      </c>
      <c r="CR85" s="528">
        <v>-307.77999999999997</v>
      </c>
      <c r="CS85" s="528">
        <v>47490.230000000105</v>
      </c>
      <c r="CT85" s="528">
        <v>4038374.84</v>
      </c>
      <c r="CU85" s="528">
        <v>0</v>
      </c>
      <c r="CV85" s="528">
        <v>0</v>
      </c>
      <c r="CW85" s="528">
        <v>4038374.84</v>
      </c>
      <c r="CX85" s="528"/>
      <c r="CY85" s="528"/>
      <c r="CZ85" s="528"/>
      <c r="DA85" s="528">
        <v>0</v>
      </c>
      <c r="DB85" s="528">
        <v>4038374.84</v>
      </c>
      <c r="DC85" s="528">
        <v>0</v>
      </c>
      <c r="DD85" s="528">
        <v>0</v>
      </c>
      <c r="DE85" s="528">
        <v>0</v>
      </c>
      <c r="DF85" s="528">
        <v>0</v>
      </c>
      <c r="DG85" s="528">
        <v>-49015.86</v>
      </c>
      <c r="DH85" s="528">
        <v>-131115.04</v>
      </c>
      <c r="DI85" s="528">
        <v>0</v>
      </c>
      <c r="DJ85" s="528">
        <v>0</v>
      </c>
      <c r="DK85" s="528">
        <v>-180130.90000000002</v>
      </c>
      <c r="DL85" s="528">
        <v>0</v>
      </c>
      <c r="DM85" s="528">
        <v>0</v>
      </c>
      <c r="DN85" s="528">
        <v>0</v>
      </c>
      <c r="DO85" s="528">
        <v>0</v>
      </c>
      <c r="DP85" s="528">
        <v>0</v>
      </c>
      <c r="DQ85" s="529"/>
      <c r="DR85" s="530">
        <v>8430798.3300000001</v>
      </c>
      <c r="DS85" s="531">
        <v>3502702.8199999966</v>
      </c>
      <c r="DT85" s="530">
        <v>137145.04</v>
      </c>
      <c r="DU85" s="530">
        <v>507873.01999999996</v>
      </c>
      <c r="DV85" s="530">
        <v>0</v>
      </c>
      <c r="DW85" s="530">
        <v>0</v>
      </c>
    </row>
    <row r="86" spans="1:127" s="103" customFormat="1">
      <c r="A86" s="525">
        <v>3317</v>
      </c>
      <c r="B86" s="526" t="s">
        <v>673</v>
      </c>
      <c r="C86" s="525">
        <v>3317</v>
      </c>
      <c r="D86" s="527" t="s">
        <v>1284</v>
      </c>
      <c r="E86" s="527" t="s">
        <v>538</v>
      </c>
      <c r="F86" s="527" t="s">
        <v>5</v>
      </c>
      <c r="G86" s="527" t="s">
        <v>535</v>
      </c>
      <c r="H86" s="528">
        <v>1346049.12</v>
      </c>
      <c r="I86" s="528">
        <v>0</v>
      </c>
      <c r="J86" s="528">
        <v>47987.94</v>
      </c>
      <c r="K86" s="528">
        <v>0</v>
      </c>
      <c r="L86" s="528">
        <v>136510</v>
      </c>
      <c r="M86" s="528">
        <v>2056.9299999999998</v>
      </c>
      <c r="N86" s="528">
        <v>0</v>
      </c>
      <c r="O86" s="528">
        <v>0</v>
      </c>
      <c r="P86" s="528">
        <v>17219.479999999996</v>
      </c>
      <c r="Q86" s="528">
        <v>0</v>
      </c>
      <c r="R86" s="528">
        <v>0</v>
      </c>
      <c r="S86" s="528">
        <v>0</v>
      </c>
      <c r="T86" s="528">
        <v>7092.35</v>
      </c>
      <c r="U86" s="528">
        <v>15696.130000000001</v>
      </c>
      <c r="V86" s="528">
        <v>0</v>
      </c>
      <c r="W86" s="528">
        <v>8781.17</v>
      </c>
      <c r="X86" s="528">
        <v>40056</v>
      </c>
      <c r="Y86" s="528">
        <v>1621449.1199999999</v>
      </c>
      <c r="Z86" s="528">
        <v>723432.62999999872</v>
      </c>
      <c r="AA86" s="528">
        <v>0</v>
      </c>
      <c r="AB86" s="528">
        <v>327273.28000000003</v>
      </c>
      <c r="AC86" s="528">
        <v>48416.8400000002</v>
      </c>
      <c r="AD86" s="528">
        <v>86033.7</v>
      </c>
      <c r="AE86" s="528">
        <v>0</v>
      </c>
      <c r="AF86" s="528">
        <v>34984.170000000158</v>
      </c>
      <c r="AG86" s="528">
        <v>2756.8000000000029</v>
      </c>
      <c r="AH86" s="528">
        <v>12705.3</v>
      </c>
      <c r="AI86" s="528">
        <v>0</v>
      </c>
      <c r="AJ86" s="528">
        <v>0</v>
      </c>
      <c r="AK86" s="528">
        <v>29610.790000000008</v>
      </c>
      <c r="AL86" s="528">
        <v>0</v>
      </c>
      <c r="AM86" s="528">
        <v>330.91999999999985</v>
      </c>
      <c r="AN86" s="528">
        <v>3211.7</v>
      </c>
      <c r="AO86" s="528">
        <v>22110.47</v>
      </c>
      <c r="AP86" s="528">
        <v>5246.96</v>
      </c>
      <c r="AQ86" s="528">
        <v>19547.77</v>
      </c>
      <c r="AR86" s="528">
        <v>59978.299999999974</v>
      </c>
      <c r="AS86" s="528">
        <v>15952.55</v>
      </c>
      <c r="AT86" s="528">
        <v>0</v>
      </c>
      <c r="AU86" s="528">
        <v>22747.310000000012</v>
      </c>
      <c r="AV86" s="528">
        <v>5929.38</v>
      </c>
      <c r="AW86" s="528">
        <v>2755</v>
      </c>
      <c r="AX86" s="528">
        <v>61884.560000000005</v>
      </c>
      <c r="AY86" s="528">
        <v>95595.029999999853</v>
      </c>
      <c r="AZ86" s="528">
        <v>5585.18</v>
      </c>
      <c r="BA86" s="528">
        <v>145182.38000000015</v>
      </c>
      <c r="BB86" s="528">
        <v>0</v>
      </c>
      <c r="BC86" s="528">
        <v>0</v>
      </c>
      <c r="BD86" s="528">
        <v>0</v>
      </c>
      <c r="BE86" s="528">
        <v>1731271.0199999991</v>
      </c>
      <c r="BF86" s="528">
        <v>137866.21999999988</v>
      </c>
      <c r="BG86" s="528">
        <v>-109821.89999999921</v>
      </c>
      <c r="BH86" s="528">
        <v>28044.320000000676</v>
      </c>
      <c r="BI86" s="528">
        <v>44157</v>
      </c>
      <c r="BJ86" s="528">
        <v>0</v>
      </c>
      <c r="BK86" s="528">
        <v>0</v>
      </c>
      <c r="BL86" s="528">
        <v>44157</v>
      </c>
      <c r="BM86" s="528">
        <v>0</v>
      </c>
      <c r="BN86" s="528">
        <v>0</v>
      </c>
      <c r="BO86" s="528">
        <v>0</v>
      </c>
      <c r="BP86" s="528">
        <v>0</v>
      </c>
      <c r="BQ86" s="528">
        <v>0</v>
      </c>
      <c r="BR86" s="528">
        <v>0</v>
      </c>
      <c r="BS86" s="528">
        <v>44157</v>
      </c>
      <c r="BT86" s="528">
        <v>44157</v>
      </c>
      <c r="BU86" s="528">
        <v>0</v>
      </c>
      <c r="BV86" s="528">
        <v>0</v>
      </c>
      <c r="BW86" s="528">
        <v>0</v>
      </c>
      <c r="BX86" s="528">
        <v>0</v>
      </c>
      <c r="BY86" s="528">
        <v>0</v>
      </c>
      <c r="BZ86" s="528">
        <v>0</v>
      </c>
      <c r="CA86" s="528">
        <v>0</v>
      </c>
      <c r="CB86" s="528">
        <v>0</v>
      </c>
      <c r="CC86" s="528">
        <v>0</v>
      </c>
      <c r="CD86" s="528">
        <v>28044.320000000676</v>
      </c>
      <c r="CE86" s="528">
        <v>0</v>
      </c>
      <c r="CF86" s="528">
        <v>44157</v>
      </c>
      <c r="CG86" s="528">
        <v>0</v>
      </c>
      <c r="CH86" s="528">
        <v>0</v>
      </c>
      <c r="CI86" s="528">
        <f t="shared" si="1"/>
        <v>72201.320000000676</v>
      </c>
      <c r="CJ86" s="528">
        <v>207677.14</v>
      </c>
      <c r="CK86" s="528">
        <v>108652.37</v>
      </c>
      <c r="CL86" s="528">
        <v>0</v>
      </c>
      <c r="CM86" s="528">
        <v>99024.770000000019</v>
      </c>
      <c r="CN86" s="528">
        <v>1278.57</v>
      </c>
      <c r="CO86" s="528">
        <v>0</v>
      </c>
      <c r="CP86" s="528">
        <v>1898.4</v>
      </c>
      <c r="CQ86" s="528">
        <v>2661.12</v>
      </c>
      <c r="CR86" s="528">
        <v>1040.0899999999999</v>
      </c>
      <c r="CS86" s="528">
        <v>105902.95000000001</v>
      </c>
      <c r="CT86" s="528">
        <v>0</v>
      </c>
      <c r="CU86" s="528">
        <v>0</v>
      </c>
      <c r="CV86" s="528">
        <v>0</v>
      </c>
      <c r="CW86" s="528">
        <v>0</v>
      </c>
      <c r="CX86" s="528"/>
      <c r="CY86" s="528"/>
      <c r="CZ86" s="528"/>
      <c r="DA86" s="528">
        <v>0</v>
      </c>
      <c r="DB86" s="528">
        <v>0</v>
      </c>
      <c r="DC86" s="528">
        <v>0</v>
      </c>
      <c r="DD86" s="528">
        <v>4576.83</v>
      </c>
      <c r="DE86" s="528">
        <v>0</v>
      </c>
      <c r="DF86" s="528">
        <v>0</v>
      </c>
      <c r="DG86" s="528">
        <v>-14216.62</v>
      </c>
      <c r="DH86" s="528">
        <v>-24062.29</v>
      </c>
      <c r="DI86" s="528">
        <v>0</v>
      </c>
      <c r="DJ86" s="528">
        <v>0</v>
      </c>
      <c r="DK86" s="528">
        <v>-33702.080000000002</v>
      </c>
      <c r="DL86" s="528">
        <v>0</v>
      </c>
      <c r="DM86" s="528">
        <v>0</v>
      </c>
      <c r="DN86" s="528">
        <v>0</v>
      </c>
      <c r="DO86" s="528">
        <v>0</v>
      </c>
      <c r="DP86" s="528">
        <v>0</v>
      </c>
      <c r="DQ86" s="529"/>
      <c r="DR86" s="530">
        <v>1222897.4199999992</v>
      </c>
      <c r="DS86" s="531">
        <v>508373.59999999986</v>
      </c>
      <c r="DT86" s="530">
        <v>95595.029999999853</v>
      </c>
      <c r="DU86" s="530">
        <v>24311.829999999994</v>
      </c>
      <c r="DV86" s="530">
        <v>15696.130000000001</v>
      </c>
      <c r="DW86" s="530">
        <v>0</v>
      </c>
    </row>
    <row r="87" spans="1:127" s="103" customFormat="1">
      <c r="A87" s="525">
        <v>1023</v>
      </c>
      <c r="B87" s="526" t="s">
        <v>675</v>
      </c>
      <c r="C87" s="525">
        <v>1023</v>
      </c>
      <c r="D87" s="527" t="s">
        <v>1284</v>
      </c>
      <c r="E87" s="527" t="s">
        <v>534</v>
      </c>
      <c r="F87" s="527" t="s">
        <v>5</v>
      </c>
      <c r="G87" s="527" t="s">
        <v>535</v>
      </c>
      <c r="H87" s="528">
        <v>545495.14</v>
      </c>
      <c r="I87" s="528">
        <v>0</v>
      </c>
      <c r="J87" s="528">
        <v>47320.63</v>
      </c>
      <c r="K87" s="528">
        <v>0</v>
      </c>
      <c r="L87" s="528">
        <v>0</v>
      </c>
      <c r="M87" s="528">
        <v>0</v>
      </c>
      <c r="N87" s="528">
        <v>0</v>
      </c>
      <c r="O87" s="528">
        <v>0</v>
      </c>
      <c r="P87" s="528">
        <v>23328.55</v>
      </c>
      <c r="Q87" s="528">
        <v>0</v>
      </c>
      <c r="R87" s="528">
        <v>0</v>
      </c>
      <c r="S87" s="528">
        <v>0</v>
      </c>
      <c r="T87" s="528">
        <v>10344.799999999999</v>
      </c>
      <c r="U87" s="528">
        <v>57671.97</v>
      </c>
      <c r="V87" s="528">
        <v>0</v>
      </c>
      <c r="W87" s="528">
        <v>0</v>
      </c>
      <c r="X87" s="528">
        <v>0</v>
      </c>
      <c r="Y87" s="528">
        <v>684161.09000000008</v>
      </c>
      <c r="Z87" s="528">
        <v>144931.58000000002</v>
      </c>
      <c r="AA87" s="528">
        <v>0</v>
      </c>
      <c r="AB87" s="528">
        <v>164612.07000000004</v>
      </c>
      <c r="AC87" s="528">
        <v>0</v>
      </c>
      <c r="AD87" s="528">
        <v>23652.27</v>
      </c>
      <c r="AE87" s="528">
        <v>0</v>
      </c>
      <c r="AF87" s="528">
        <v>43377.780000000057</v>
      </c>
      <c r="AG87" s="528">
        <v>2203.2500000000009</v>
      </c>
      <c r="AH87" s="528">
        <v>4882.2</v>
      </c>
      <c r="AI87" s="528">
        <v>0</v>
      </c>
      <c r="AJ87" s="528">
        <v>0</v>
      </c>
      <c r="AK87" s="528">
        <v>12490.13</v>
      </c>
      <c r="AL87" s="528">
        <v>9930</v>
      </c>
      <c r="AM87" s="528">
        <v>20592.890000000003</v>
      </c>
      <c r="AN87" s="528">
        <v>5007.5599999999986</v>
      </c>
      <c r="AO87" s="528">
        <v>6119.8</v>
      </c>
      <c r="AP87" s="528">
        <v>0</v>
      </c>
      <c r="AQ87" s="528">
        <v>12626.2</v>
      </c>
      <c r="AR87" s="528">
        <v>15922.889999999992</v>
      </c>
      <c r="AS87" s="528">
        <v>506.8</v>
      </c>
      <c r="AT87" s="528">
        <v>0</v>
      </c>
      <c r="AU87" s="528">
        <v>2582.0999999999985</v>
      </c>
      <c r="AV87" s="528">
        <v>3291.75</v>
      </c>
      <c r="AW87" s="528">
        <v>0</v>
      </c>
      <c r="AX87" s="528">
        <v>1804.31</v>
      </c>
      <c r="AY87" s="528">
        <v>65707.47</v>
      </c>
      <c r="AZ87" s="528">
        <v>14116.53</v>
      </c>
      <c r="BA87" s="528">
        <v>42356.050000000017</v>
      </c>
      <c r="BB87" s="528">
        <v>0</v>
      </c>
      <c r="BC87" s="528">
        <v>0</v>
      </c>
      <c r="BD87" s="528">
        <v>0</v>
      </c>
      <c r="BE87" s="528">
        <v>596713.63000000012</v>
      </c>
      <c r="BF87" s="528">
        <v>187014.96999999991</v>
      </c>
      <c r="BG87" s="528">
        <v>87447.459999999963</v>
      </c>
      <c r="BH87" s="528">
        <v>274462.42999999988</v>
      </c>
      <c r="BI87" s="528">
        <v>4573.75</v>
      </c>
      <c r="BJ87" s="528">
        <v>0</v>
      </c>
      <c r="BK87" s="528">
        <v>0</v>
      </c>
      <c r="BL87" s="528">
        <v>4573.75</v>
      </c>
      <c r="BM87" s="528">
        <v>0</v>
      </c>
      <c r="BN87" s="528">
        <v>0</v>
      </c>
      <c r="BO87" s="528">
        <v>0</v>
      </c>
      <c r="BP87" s="528">
        <v>1323.66</v>
      </c>
      <c r="BQ87" s="528">
        <v>1323.66</v>
      </c>
      <c r="BR87" s="528">
        <v>24669.79</v>
      </c>
      <c r="BS87" s="528">
        <v>3250.09</v>
      </c>
      <c r="BT87" s="528">
        <v>27919.88</v>
      </c>
      <c r="BU87" s="528">
        <v>0</v>
      </c>
      <c r="BV87" s="528">
        <v>0</v>
      </c>
      <c r="BW87" s="528">
        <v>0</v>
      </c>
      <c r="BX87" s="528">
        <v>0</v>
      </c>
      <c r="BY87" s="528">
        <v>0</v>
      </c>
      <c r="BZ87" s="528">
        <v>0</v>
      </c>
      <c r="CA87" s="528">
        <v>0</v>
      </c>
      <c r="CB87" s="528">
        <v>0</v>
      </c>
      <c r="CC87" s="528">
        <v>0</v>
      </c>
      <c r="CD87" s="528">
        <v>274462.42999999988</v>
      </c>
      <c r="CE87" s="528">
        <v>0</v>
      </c>
      <c r="CF87" s="528">
        <v>27919.88</v>
      </c>
      <c r="CG87" s="528">
        <v>0</v>
      </c>
      <c r="CH87" s="528">
        <v>0</v>
      </c>
      <c r="CI87" s="528">
        <f t="shared" si="1"/>
        <v>302382.30999999988</v>
      </c>
      <c r="CJ87" s="528">
        <v>299198.53999999998</v>
      </c>
      <c r="CK87" s="528">
        <v>0</v>
      </c>
      <c r="CL87" s="528">
        <v>1800</v>
      </c>
      <c r="CM87" s="528">
        <v>300998.53999999998</v>
      </c>
      <c r="CN87" s="528">
        <v>900</v>
      </c>
      <c r="CO87" s="528">
        <v>0</v>
      </c>
      <c r="CP87" s="528">
        <v>1745.03</v>
      </c>
      <c r="CQ87" s="528">
        <v>0</v>
      </c>
      <c r="CR87" s="528">
        <v>0</v>
      </c>
      <c r="CS87" s="528">
        <v>303643.57</v>
      </c>
      <c r="CT87" s="528">
        <v>0</v>
      </c>
      <c r="CU87" s="528">
        <v>0</v>
      </c>
      <c r="CV87" s="528">
        <v>0</v>
      </c>
      <c r="CW87" s="528">
        <v>0</v>
      </c>
      <c r="CX87" s="528"/>
      <c r="CY87" s="528"/>
      <c r="CZ87" s="528"/>
      <c r="DA87" s="528">
        <v>0</v>
      </c>
      <c r="DB87" s="528">
        <v>0</v>
      </c>
      <c r="DC87" s="528">
        <v>0</v>
      </c>
      <c r="DD87" s="528">
        <v>4338.75</v>
      </c>
      <c r="DE87" s="528">
        <v>0</v>
      </c>
      <c r="DF87" s="528">
        <v>0</v>
      </c>
      <c r="DG87" s="528">
        <v>-5599.57</v>
      </c>
      <c r="DH87" s="528">
        <v>0</v>
      </c>
      <c r="DI87" s="528">
        <v>0</v>
      </c>
      <c r="DJ87" s="528">
        <v>0</v>
      </c>
      <c r="DK87" s="528">
        <v>-1260.8199999999997</v>
      </c>
      <c r="DL87" s="528">
        <v>0</v>
      </c>
      <c r="DM87" s="528">
        <v>0</v>
      </c>
      <c r="DN87" s="528">
        <v>0</v>
      </c>
      <c r="DO87" s="528">
        <v>0</v>
      </c>
      <c r="DP87" s="528">
        <v>0</v>
      </c>
      <c r="DQ87" s="529"/>
      <c r="DR87" s="530">
        <v>378776.95000000007</v>
      </c>
      <c r="DS87" s="531">
        <v>217936.68000000005</v>
      </c>
      <c r="DT87" s="530">
        <v>65707.47</v>
      </c>
      <c r="DU87" s="530">
        <v>33673.35</v>
      </c>
      <c r="DV87" s="530">
        <v>57671.97</v>
      </c>
      <c r="DW87" s="530">
        <v>0</v>
      </c>
    </row>
    <row r="88" spans="1:127" s="103" customFormat="1">
      <c r="A88" s="525">
        <v>2015</v>
      </c>
      <c r="B88" s="526" t="s">
        <v>677</v>
      </c>
      <c r="C88" s="525">
        <v>2015</v>
      </c>
      <c r="D88" s="527" t="s">
        <v>1284</v>
      </c>
      <c r="E88" s="527" t="s">
        <v>538</v>
      </c>
      <c r="F88" s="527" t="s">
        <v>5</v>
      </c>
      <c r="G88" s="527" t="s">
        <v>535</v>
      </c>
      <c r="H88" s="528">
        <v>2695206.24</v>
      </c>
      <c r="I88" s="528">
        <v>0</v>
      </c>
      <c r="J88" s="528">
        <v>42523.25</v>
      </c>
      <c r="K88" s="528">
        <v>0</v>
      </c>
      <c r="L88" s="528">
        <v>289690</v>
      </c>
      <c r="M88" s="528">
        <v>4628.22</v>
      </c>
      <c r="N88" s="528">
        <v>0</v>
      </c>
      <c r="O88" s="528">
        <v>0</v>
      </c>
      <c r="P88" s="528">
        <v>87044.3</v>
      </c>
      <c r="Q88" s="528">
        <v>23852.560000000001</v>
      </c>
      <c r="R88" s="528">
        <v>0</v>
      </c>
      <c r="S88" s="528">
        <v>0</v>
      </c>
      <c r="T88" s="528">
        <v>7175.75</v>
      </c>
      <c r="U88" s="528">
        <v>1149</v>
      </c>
      <c r="V88" s="528">
        <v>0</v>
      </c>
      <c r="W88" s="528">
        <v>214.38</v>
      </c>
      <c r="X88" s="528">
        <v>65706</v>
      </c>
      <c r="Y88" s="528">
        <v>3217189.7</v>
      </c>
      <c r="Z88" s="528">
        <v>1379747.69</v>
      </c>
      <c r="AA88" s="528">
        <v>0</v>
      </c>
      <c r="AB88" s="528">
        <v>431750.17</v>
      </c>
      <c r="AC88" s="528">
        <v>115934.22</v>
      </c>
      <c r="AD88" s="528">
        <v>207577.67</v>
      </c>
      <c r="AE88" s="528">
        <v>139446.62</v>
      </c>
      <c r="AF88" s="528">
        <v>84514.1</v>
      </c>
      <c r="AG88" s="528">
        <v>8035.05</v>
      </c>
      <c r="AH88" s="528">
        <v>6450.68</v>
      </c>
      <c r="AI88" s="528">
        <v>0</v>
      </c>
      <c r="AJ88" s="528">
        <v>0</v>
      </c>
      <c r="AK88" s="528">
        <v>123988.17</v>
      </c>
      <c r="AL88" s="528">
        <v>5150</v>
      </c>
      <c r="AM88" s="528">
        <v>4579.12</v>
      </c>
      <c r="AN88" s="528">
        <v>13555.51</v>
      </c>
      <c r="AO88" s="528">
        <v>60157.84</v>
      </c>
      <c r="AP88" s="528">
        <v>41332.1</v>
      </c>
      <c r="AQ88" s="528">
        <v>18220.87</v>
      </c>
      <c r="AR88" s="528">
        <v>93581.43</v>
      </c>
      <c r="AS88" s="528">
        <v>32962.14</v>
      </c>
      <c r="AT88" s="528">
        <v>0</v>
      </c>
      <c r="AU88" s="528">
        <v>78177.87</v>
      </c>
      <c r="AV88" s="528">
        <v>9471</v>
      </c>
      <c r="AW88" s="528">
        <v>0</v>
      </c>
      <c r="AX88" s="528">
        <v>61752.959999999999</v>
      </c>
      <c r="AY88" s="528">
        <v>73102.77</v>
      </c>
      <c r="AZ88" s="528">
        <v>214474.04</v>
      </c>
      <c r="BA88" s="528">
        <v>129938.16</v>
      </c>
      <c r="BB88" s="528">
        <v>0</v>
      </c>
      <c r="BC88" s="528">
        <v>0</v>
      </c>
      <c r="BD88" s="528">
        <v>0</v>
      </c>
      <c r="BE88" s="528">
        <v>3333900.1800000006</v>
      </c>
      <c r="BF88" s="528">
        <v>679265.74</v>
      </c>
      <c r="BG88" s="528">
        <v>-116710.48000000045</v>
      </c>
      <c r="BH88" s="528">
        <v>562555.25999999954</v>
      </c>
      <c r="BI88" s="528">
        <v>30279</v>
      </c>
      <c r="BJ88" s="528">
        <v>0</v>
      </c>
      <c r="BK88" s="528">
        <v>0</v>
      </c>
      <c r="BL88" s="528">
        <v>30279</v>
      </c>
      <c r="BM88" s="528">
        <v>0</v>
      </c>
      <c r="BN88" s="528">
        <v>26564</v>
      </c>
      <c r="BO88" s="528">
        <v>0</v>
      </c>
      <c r="BP88" s="528">
        <v>0</v>
      </c>
      <c r="BQ88" s="528">
        <v>26564</v>
      </c>
      <c r="BR88" s="528">
        <v>9800</v>
      </c>
      <c r="BS88" s="528">
        <v>3715</v>
      </c>
      <c r="BT88" s="528">
        <v>13515</v>
      </c>
      <c r="BU88" s="528">
        <v>0</v>
      </c>
      <c r="BV88" s="528">
        <v>0</v>
      </c>
      <c r="BW88" s="528">
        <v>0</v>
      </c>
      <c r="BX88" s="528">
        <v>0</v>
      </c>
      <c r="BY88" s="528">
        <v>0</v>
      </c>
      <c r="BZ88" s="528">
        <v>0</v>
      </c>
      <c r="CA88" s="528">
        <v>0</v>
      </c>
      <c r="CB88" s="528">
        <v>0</v>
      </c>
      <c r="CC88" s="528">
        <v>0</v>
      </c>
      <c r="CD88" s="528">
        <v>562555.25999999954</v>
      </c>
      <c r="CE88" s="528">
        <v>0</v>
      </c>
      <c r="CF88" s="528">
        <v>13515</v>
      </c>
      <c r="CG88" s="528">
        <v>0</v>
      </c>
      <c r="CH88" s="528">
        <v>0</v>
      </c>
      <c r="CI88" s="528">
        <f t="shared" si="1"/>
        <v>576070.25999999954</v>
      </c>
      <c r="CJ88" s="528">
        <v>541122.72</v>
      </c>
      <c r="CK88" s="528">
        <v>4101.1899999999996</v>
      </c>
      <c r="CL88" s="528">
        <v>0</v>
      </c>
      <c r="CM88" s="528">
        <v>537021.53</v>
      </c>
      <c r="CN88" s="528">
        <v>0</v>
      </c>
      <c r="CO88" s="528">
        <v>0</v>
      </c>
      <c r="CP88" s="528">
        <v>20363.47</v>
      </c>
      <c r="CQ88" s="528">
        <v>-958.75000000000068</v>
      </c>
      <c r="CR88" s="528">
        <v>17300.72</v>
      </c>
      <c r="CS88" s="528">
        <v>573726.97</v>
      </c>
      <c r="CT88" s="528">
        <v>2343.02</v>
      </c>
      <c r="CU88" s="528">
        <v>0</v>
      </c>
      <c r="CV88" s="528">
        <v>0</v>
      </c>
      <c r="CW88" s="528">
        <v>2343.02</v>
      </c>
      <c r="CX88" s="528"/>
      <c r="CY88" s="528"/>
      <c r="CZ88" s="528"/>
      <c r="DA88" s="528">
        <v>0</v>
      </c>
      <c r="DB88" s="528">
        <v>2343.02</v>
      </c>
      <c r="DC88" s="528">
        <v>0</v>
      </c>
      <c r="DD88" s="528">
        <v>0</v>
      </c>
      <c r="DE88" s="528">
        <v>0</v>
      </c>
      <c r="DF88" s="528">
        <v>0</v>
      </c>
      <c r="DG88" s="528">
        <v>0</v>
      </c>
      <c r="DH88" s="528">
        <v>0</v>
      </c>
      <c r="DI88" s="528">
        <v>0</v>
      </c>
      <c r="DJ88" s="528">
        <v>0</v>
      </c>
      <c r="DK88" s="528">
        <v>0</v>
      </c>
      <c r="DL88" s="528">
        <v>0</v>
      </c>
      <c r="DM88" s="528">
        <v>0</v>
      </c>
      <c r="DN88" s="528">
        <v>0</v>
      </c>
      <c r="DO88" s="528">
        <v>0</v>
      </c>
      <c r="DP88" s="528">
        <v>0</v>
      </c>
      <c r="DQ88" s="529"/>
      <c r="DR88" s="530">
        <v>2367005.52</v>
      </c>
      <c r="DS88" s="531">
        <v>966894.66000000061</v>
      </c>
      <c r="DT88" s="530">
        <v>73102.77</v>
      </c>
      <c r="DU88" s="530">
        <v>118072.61</v>
      </c>
      <c r="DV88" s="530">
        <v>1149</v>
      </c>
      <c r="DW88" s="530">
        <v>0</v>
      </c>
    </row>
    <row r="89" spans="1:127" s="103" customFormat="1">
      <c r="A89" s="525">
        <v>3352</v>
      </c>
      <c r="B89" s="526" t="s">
        <v>897</v>
      </c>
      <c r="C89" s="525">
        <v>3352</v>
      </c>
      <c r="D89" s="527" t="s">
        <v>1284</v>
      </c>
      <c r="E89" s="527" t="s">
        <v>538</v>
      </c>
      <c r="F89" s="527" t="s">
        <v>5</v>
      </c>
      <c r="G89" s="527" t="s">
        <v>958</v>
      </c>
      <c r="H89" s="528">
        <v>1135061.52</v>
      </c>
      <c r="I89" s="528">
        <v>0</v>
      </c>
      <c r="J89" s="528">
        <v>50684.58</v>
      </c>
      <c r="K89" s="528">
        <v>0</v>
      </c>
      <c r="L89" s="528">
        <v>97680</v>
      </c>
      <c r="M89" s="528">
        <v>1913.86</v>
      </c>
      <c r="N89" s="528">
        <v>0</v>
      </c>
      <c r="O89" s="528">
        <v>0</v>
      </c>
      <c r="P89" s="528">
        <v>54238.19</v>
      </c>
      <c r="Q89" s="528">
        <v>0</v>
      </c>
      <c r="R89" s="528">
        <v>0</v>
      </c>
      <c r="S89" s="528">
        <v>0</v>
      </c>
      <c r="T89" s="528">
        <v>0</v>
      </c>
      <c r="U89" s="528">
        <v>20.66</v>
      </c>
      <c r="V89" s="528">
        <v>0</v>
      </c>
      <c r="W89" s="528">
        <v>1528.33</v>
      </c>
      <c r="X89" s="528">
        <v>43038</v>
      </c>
      <c r="Y89" s="528">
        <v>1384165.1400000001</v>
      </c>
      <c r="Z89" s="528">
        <v>504703.25000000052</v>
      </c>
      <c r="AA89" s="528">
        <v>-9.16</v>
      </c>
      <c r="AB89" s="528">
        <v>0</v>
      </c>
      <c r="AC89" s="528">
        <v>321250.40000000031</v>
      </c>
      <c r="AD89" s="528">
        <v>1068.6499999999999</v>
      </c>
      <c r="AE89" s="528">
        <v>31.20000000000001</v>
      </c>
      <c r="AF89" s="528">
        <v>180458.07000000007</v>
      </c>
      <c r="AG89" s="528">
        <v>12249.550000000003</v>
      </c>
      <c r="AH89" s="528">
        <v>5438.5</v>
      </c>
      <c r="AI89" s="528">
        <v>0</v>
      </c>
      <c r="AJ89" s="528">
        <v>317.2</v>
      </c>
      <c r="AK89" s="528">
        <v>15957.449999999999</v>
      </c>
      <c r="AL89" s="528">
        <v>0</v>
      </c>
      <c r="AM89" s="528">
        <v>2207.1</v>
      </c>
      <c r="AN89" s="528">
        <v>6583.0599999999995</v>
      </c>
      <c r="AO89" s="528">
        <v>29980.330000000005</v>
      </c>
      <c r="AP89" s="528">
        <v>7207.96</v>
      </c>
      <c r="AQ89" s="528">
        <v>26893.699999999997</v>
      </c>
      <c r="AR89" s="528">
        <v>24795.149999999998</v>
      </c>
      <c r="AS89" s="528">
        <v>3198</v>
      </c>
      <c r="AT89" s="528">
        <v>0</v>
      </c>
      <c r="AU89" s="528">
        <v>22786.379999999997</v>
      </c>
      <c r="AV89" s="528">
        <v>5139.75</v>
      </c>
      <c r="AW89" s="528">
        <v>2583</v>
      </c>
      <c r="AX89" s="528">
        <v>52763.25</v>
      </c>
      <c r="AY89" s="528">
        <v>130756.11000000002</v>
      </c>
      <c r="AZ89" s="528">
        <v>4663.0200000000004</v>
      </c>
      <c r="BA89" s="528">
        <v>121113.98999999999</v>
      </c>
      <c r="BB89" s="528">
        <v>0</v>
      </c>
      <c r="BC89" s="528">
        <v>0</v>
      </c>
      <c r="BD89" s="528">
        <v>0</v>
      </c>
      <c r="BE89" s="528">
        <v>1482135.9100000008</v>
      </c>
      <c r="BF89" s="528">
        <v>-43705.849999999926</v>
      </c>
      <c r="BG89" s="528">
        <v>-97970.770000000717</v>
      </c>
      <c r="BH89" s="528">
        <v>-141676.62000000064</v>
      </c>
      <c r="BI89" s="528">
        <v>0</v>
      </c>
      <c r="BJ89" s="528">
        <v>0</v>
      </c>
      <c r="BK89" s="528">
        <v>0</v>
      </c>
      <c r="BL89" s="528">
        <v>0</v>
      </c>
      <c r="BM89" s="528">
        <v>0</v>
      </c>
      <c r="BN89" s="528">
        <v>0</v>
      </c>
      <c r="BO89" s="528">
        <v>0</v>
      </c>
      <c r="BP89" s="528">
        <v>0</v>
      </c>
      <c r="BQ89" s="528">
        <v>0</v>
      </c>
      <c r="BR89" s="528">
        <v>0</v>
      </c>
      <c r="BS89" s="528">
        <v>0</v>
      </c>
      <c r="BT89" s="528">
        <v>0</v>
      </c>
      <c r="BU89" s="528">
        <v>0</v>
      </c>
      <c r="BV89" s="528">
        <v>0</v>
      </c>
      <c r="BW89" s="528">
        <v>0</v>
      </c>
      <c r="BX89" s="528">
        <v>0</v>
      </c>
      <c r="BY89" s="528">
        <v>0</v>
      </c>
      <c r="BZ89" s="528">
        <v>0</v>
      </c>
      <c r="CA89" s="528">
        <v>0</v>
      </c>
      <c r="CB89" s="528">
        <v>0</v>
      </c>
      <c r="CC89" s="528">
        <v>0</v>
      </c>
      <c r="CD89" s="528">
        <v>-141676.62000000064</v>
      </c>
      <c r="CE89" s="528">
        <v>0</v>
      </c>
      <c r="CF89" s="528">
        <v>0</v>
      </c>
      <c r="CG89" s="528">
        <v>0</v>
      </c>
      <c r="CH89" s="528">
        <v>0</v>
      </c>
      <c r="CI89" s="528">
        <f t="shared" si="1"/>
        <v>-141676.62000000064</v>
      </c>
      <c r="CJ89" s="528">
        <v>0</v>
      </c>
      <c r="CK89" s="528">
        <v>0</v>
      </c>
      <c r="CL89" s="528">
        <v>0</v>
      </c>
      <c r="CM89" s="528">
        <v>0</v>
      </c>
      <c r="CN89" s="528">
        <v>0</v>
      </c>
      <c r="CO89" s="528">
        <v>0</v>
      </c>
      <c r="CP89" s="528">
        <v>0</v>
      </c>
      <c r="CQ89" s="528">
        <v>0</v>
      </c>
      <c r="CR89" s="528">
        <v>0</v>
      </c>
      <c r="CS89" s="528">
        <v>0</v>
      </c>
      <c r="CT89" s="528">
        <v>0</v>
      </c>
      <c r="CU89" s="528">
        <v>0</v>
      </c>
      <c r="CV89" s="528">
        <v>0</v>
      </c>
      <c r="CW89" s="528">
        <v>0</v>
      </c>
      <c r="CX89" s="528"/>
      <c r="CY89" s="528"/>
      <c r="CZ89" s="528"/>
      <c r="DA89" s="528">
        <v>-141744.51000000065</v>
      </c>
      <c r="DB89" s="528">
        <v>-141744.51000000065</v>
      </c>
      <c r="DC89" s="528">
        <v>0</v>
      </c>
      <c r="DD89" s="528">
        <v>67.89</v>
      </c>
      <c r="DE89" s="528">
        <v>0</v>
      </c>
      <c r="DF89" s="528">
        <v>0</v>
      </c>
      <c r="DG89" s="528">
        <v>0</v>
      </c>
      <c r="DH89" s="528">
        <v>0</v>
      </c>
      <c r="DI89" s="528">
        <v>0</v>
      </c>
      <c r="DJ89" s="528">
        <v>0</v>
      </c>
      <c r="DK89" s="528">
        <v>67.89</v>
      </c>
      <c r="DL89" s="528">
        <v>0</v>
      </c>
      <c r="DM89" s="528">
        <v>0</v>
      </c>
      <c r="DN89" s="528">
        <v>0</v>
      </c>
      <c r="DO89" s="528">
        <v>0</v>
      </c>
      <c r="DP89" s="528">
        <v>0</v>
      </c>
      <c r="DQ89" s="529">
        <v>6.4028427004814148E-10</v>
      </c>
      <c r="DR89" s="530">
        <v>1019751.960000001</v>
      </c>
      <c r="DS89" s="531">
        <v>462383.94999999984</v>
      </c>
      <c r="DT89" s="530">
        <v>130756.11000000002</v>
      </c>
      <c r="DU89" s="530">
        <v>54238.19</v>
      </c>
      <c r="DV89" s="530">
        <v>20.66</v>
      </c>
      <c r="DW89" s="530">
        <v>0</v>
      </c>
    </row>
    <row r="90" spans="1:127" s="103" customFormat="1">
      <c r="A90" s="525">
        <v>2005</v>
      </c>
      <c r="B90" s="526" t="s">
        <v>899</v>
      </c>
      <c r="C90" s="525">
        <v>2005</v>
      </c>
      <c r="D90" s="527" t="s">
        <v>1284</v>
      </c>
      <c r="E90" s="527" t="s">
        <v>538</v>
      </c>
      <c r="F90" s="527" t="s">
        <v>5</v>
      </c>
      <c r="G90" s="527" t="s">
        <v>958</v>
      </c>
      <c r="H90" s="528">
        <v>3267340.1</v>
      </c>
      <c r="I90" s="528">
        <v>0</v>
      </c>
      <c r="J90" s="528">
        <v>109553.54</v>
      </c>
      <c r="K90" s="528">
        <v>0</v>
      </c>
      <c r="L90" s="528">
        <v>220980</v>
      </c>
      <c r="M90" s="528">
        <v>1200</v>
      </c>
      <c r="N90" s="528">
        <v>19900</v>
      </c>
      <c r="O90" s="528">
        <v>18740</v>
      </c>
      <c r="P90" s="528">
        <v>48877.430000000022</v>
      </c>
      <c r="Q90" s="528">
        <v>48053.88</v>
      </c>
      <c r="R90" s="528">
        <v>0</v>
      </c>
      <c r="S90" s="528">
        <v>0</v>
      </c>
      <c r="T90" s="528">
        <v>34720.119999999995</v>
      </c>
      <c r="U90" s="528">
        <v>28711</v>
      </c>
      <c r="V90" s="528">
        <v>0</v>
      </c>
      <c r="W90" s="528">
        <v>11434.19</v>
      </c>
      <c r="X90" s="528">
        <v>96391</v>
      </c>
      <c r="Y90" s="528">
        <v>3905901.2600000002</v>
      </c>
      <c r="Z90" s="528">
        <v>1786869.6599999971</v>
      </c>
      <c r="AA90" s="528">
        <v>0</v>
      </c>
      <c r="AB90" s="528">
        <v>489676.32</v>
      </c>
      <c r="AC90" s="528">
        <v>71380.229999999166</v>
      </c>
      <c r="AD90" s="528">
        <v>233977.71</v>
      </c>
      <c r="AE90" s="528">
        <v>0</v>
      </c>
      <c r="AF90" s="528">
        <v>94450.629999999772</v>
      </c>
      <c r="AG90" s="528">
        <v>11712.439999999879</v>
      </c>
      <c r="AH90" s="528">
        <v>5451</v>
      </c>
      <c r="AI90" s="528">
        <v>0</v>
      </c>
      <c r="AJ90" s="528">
        <v>3871.57</v>
      </c>
      <c r="AK90" s="528">
        <v>21050.720000000005</v>
      </c>
      <c r="AL90" s="528">
        <v>4138.5</v>
      </c>
      <c r="AM90" s="528">
        <v>84844.01999999999</v>
      </c>
      <c r="AN90" s="528">
        <v>-304.78999999999996</v>
      </c>
      <c r="AO90" s="528">
        <v>62273.809999999983</v>
      </c>
      <c r="AP90" s="528">
        <v>55649.66</v>
      </c>
      <c r="AQ90" s="528">
        <v>15868.049999999994</v>
      </c>
      <c r="AR90" s="528">
        <v>97745.780000000042</v>
      </c>
      <c r="AS90" s="528">
        <v>1136.3900000000001</v>
      </c>
      <c r="AT90" s="528">
        <v>0</v>
      </c>
      <c r="AU90" s="528">
        <v>41608.109999999986</v>
      </c>
      <c r="AV90" s="528">
        <v>18745.650000000001</v>
      </c>
      <c r="AW90" s="528">
        <v>0</v>
      </c>
      <c r="AX90" s="528">
        <v>123140.66000000002</v>
      </c>
      <c r="AY90" s="528">
        <v>225986.68999999989</v>
      </c>
      <c r="AZ90" s="528">
        <v>22343.96</v>
      </c>
      <c r="BA90" s="528">
        <v>273628.06000000006</v>
      </c>
      <c r="BB90" s="528">
        <v>0</v>
      </c>
      <c r="BC90" s="528">
        <v>0</v>
      </c>
      <c r="BD90" s="528">
        <v>0</v>
      </c>
      <c r="BE90" s="528">
        <v>3825534.2499999963</v>
      </c>
      <c r="BF90" s="528">
        <v>-85012.290000000328</v>
      </c>
      <c r="BG90" s="528">
        <v>80367.010000003967</v>
      </c>
      <c r="BH90" s="528">
        <v>-4645.2799999963609</v>
      </c>
      <c r="BI90" s="528">
        <v>27491.5</v>
      </c>
      <c r="BJ90" s="528">
        <v>0</v>
      </c>
      <c r="BK90" s="528">
        <v>0</v>
      </c>
      <c r="BL90" s="528">
        <v>27491.5</v>
      </c>
      <c r="BM90" s="528">
        <v>0</v>
      </c>
      <c r="BN90" s="528">
        <v>17544.059999999998</v>
      </c>
      <c r="BO90" s="528">
        <v>0</v>
      </c>
      <c r="BP90" s="528">
        <v>9947.44</v>
      </c>
      <c r="BQ90" s="528">
        <v>27491.5</v>
      </c>
      <c r="BR90" s="528">
        <v>0</v>
      </c>
      <c r="BS90" s="528">
        <v>0</v>
      </c>
      <c r="BT90" s="528">
        <v>0</v>
      </c>
      <c r="BU90" s="528">
        <v>0</v>
      </c>
      <c r="BV90" s="528">
        <v>0</v>
      </c>
      <c r="BW90" s="528">
        <v>0</v>
      </c>
      <c r="BX90" s="528">
        <v>0</v>
      </c>
      <c r="BY90" s="528">
        <v>0</v>
      </c>
      <c r="BZ90" s="528">
        <v>0</v>
      </c>
      <c r="CA90" s="528">
        <v>0</v>
      </c>
      <c r="CB90" s="528">
        <v>0</v>
      </c>
      <c r="CC90" s="528">
        <v>0</v>
      </c>
      <c r="CD90" s="528">
        <v>-4645.2799999963609</v>
      </c>
      <c r="CE90" s="528">
        <v>0</v>
      </c>
      <c r="CF90" s="528">
        <v>0</v>
      </c>
      <c r="CG90" s="528">
        <v>0</v>
      </c>
      <c r="CH90" s="528">
        <v>0</v>
      </c>
      <c r="CI90" s="528">
        <f t="shared" si="1"/>
        <v>-4645.2799999963609</v>
      </c>
      <c r="CJ90" s="528">
        <v>0</v>
      </c>
      <c r="CK90" s="528">
        <v>0</v>
      </c>
      <c r="CL90" s="528">
        <v>0</v>
      </c>
      <c r="CM90" s="528">
        <v>0</v>
      </c>
      <c r="CN90" s="528">
        <v>0</v>
      </c>
      <c r="CO90" s="528">
        <v>0</v>
      </c>
      <c r="CP90" s="528">
        <v>0</v>
      </c>
      <c r="CQ90" s="528">
        <v>0</v>
      </c>
      <c r="CR90" s="528">
        <v>0</v>
      </c>
      <c r="CS90" s="528">
        <v>0</v>
      </c>
      <c r="CT90" s="528">
        <v>0</v>
      </c>
      <c r="CU90" s="528">
        <v>0</v>
      </c>
      <c r="CV90" s="528">
        <v>0</v>
      </c>
      <c r="CW90" s="528">
        <v>0</v>
      </c>
      <c r="CX90" s="528"/>
      <c r="CY90" s="528"/>
      <c r="CZ90" s="528"/>
      <c r="DA90" s="528">
        <v>121565.27000000357</v>
      </c>
      <c r="DB90" s="528">
        <v>121565.27000000357</v>
      </c>
      <c r="DC90" s="528">
        <v>0</v>
      </c>
      <c r="DD90" s="528">
        <v>0</v>
      </c>
      <c r="DE90" s="528">
        <v>6826.3</v>
      </c>
      <c r="DF90" s="528">
        <v>0</v>
      </c>
      <c r="DG90" s="528">
        <v>-37008.43</v>
      </c>
      <c r="DH90" s="528">
        <v>-146</v>
      </c>
      <c r="DI90" s="528">
        <v>0</v>
      </c>
      <c r="DJ90" s="528">
        <v>-15593</v>
      </c>
      <c r="DK90" s="528">
        <v>-126210.55</v>
      </c>
      <c r="DL90" s="528">
        <v>0</v>
      </c>
      <c r="DM90" s="528">
        <v>0</v>
      </c>
      <c r="DN90" s="528">
        <v>0</v>
      </c>
      <c r="DO90" s="528">
        <v>0</v>
      </c>
      <c r="DP90" s="528">
        <v>0</v>
      </c>
      <c r="DQ90" s="529">
        <v>-3.5652192309498787E-9</v>
      </c>
      <c r="DR90" s="530">
        <v>2768356.409999996</v>
      </c>
      <c r="DS90" s="531">
        <v>1057177.8400000003</v>
      </c>
      <c r="DT90" s="530">
        <v>225986.68999999989</v>
      </c>
      <c r="DU90" s="530">
        <v>150391.43000000002</v>
      </c>
      <c r="DV90" s="530">
        <v>28711</v>
      </c>
      <c r="DW90" s="530">
        <v>0</v>
      </c>
    </row>
    <row r="91" spans="1:127" s="103" customFormat="1">
      <c r="A91" s="525">
        <v>4063</v>
      </c>
      <c r="B91" s="526" t="s">
        <v>679</v>
      </c>
      <c r="C91" s="525">
        <v>4063</v>
      </c>
      <c r="D91" s="527" t="s">
        <v>1284</v>
      </c>
      <c r="E91" s="527" t="s">
        <v>564</v>
      </c>
      <c r="F91" s="527" t="s">
        <v>5</v>
      </c>
      <c r="G91" s="527" t="s">
        <v>535</v>
      </c>
      <c r="H91" s="528">
        <v>6472151.2199999997</v>
      </c>
      <c r="I91" s="528">
        <v>0</v>
      </c>
      <c r="J91" s="528">
        <v>141086.79999999999</v>
      </c>
      <c r="K91" s="528">
        <v>0</v>
      </c>
      <c r="L91" s="528">
        <v>368550</v>
      </c>
      <c r="M91" s="528">
        <v>11313.86</v>
      </c>
      <c r="N91" s="528">
        <v>146923.43</v>
      </c>
      <c r="O91" s="528">
        <v>40004</v>
      </c>
      <c r="P91" s="528">
        <v>32020.39</v>
      </c>
      <c r="Q91" s="528">
        <v>30998.03</v>
      </c>
      <c r="R91" s="528">
        <v>0</v>
      </c>
      <c r="S91" s="528">
        <v>0</v>
      </c>
      <c r="T91" s="528">
        <v>8905.5</v>
      </c>
      <c r="U91" s="528">
        <v>31865.32</v>
      </c>
      <c r="V91" s="528">
        <v>0</v>
      </c>
      <c r="W91" s="528">
        <v>26950</v>
      </c>
      <c r="X91" s="528">
        <v>12489.67</v>
      </c>
      <c r="Y91" s="528">
        <v>7323258</v>
      </c>
      <c r="Z91" s="528">
        <v>3803613.68</v>
      </c>
      <c r="AA91" s="528">
        <v>0</v>
      </c>
      <c r="AB91" s="528">
        <v>897089.63</v>
      </c>
      <c r="AC91" s="528">
        <v>315098.88</v>
      </c>
      <c r="AD91" s="528">
        <v>443601.93</v>
      </c>
      <c r="AE91" s="528">
        <v>66829.95</v>
      </c>
      <c r="AF91" s="528">
        <v>0</v>
      </c>
      <c r="AG91" s="528">
        <v>65387.66</v>
      </c>
      <c r="AH91" s="528">
        <v>19650.11</v>
      </c>
      <c r="AI91" s="528">
        <v>0</v>
      </c>
      <c r="AJ91" s="528">
        <v>0</v>
      </c>
      <c r="AK91" s="528">
        <v>222768.15</v>
      </c>
      <c r="AL91" s="528">
        <v>15676.69</v>
      </c>
      <c r="AM91" s="528">
        <v>13207.16</v>
      </c>
      <c r="AN91" s="528">
        <v>7768.93</v>
      </c>
      <c r="AO91" s="528">
        <v>172782.76</v>
      </c>
      <c r="AP91" s="528">
        <v>113419.32</v>
      </c>
      <c r="AQ91" s="528">
        <v>84862.12</v>
      </c>
      <c r="AR91" s="528">
        <v>135435.99</v>
      </c>
      <c r="AS91" s="528">
        <v>217399.5</v>
      </c>
      <c r="AT91" s="528">
        <v>61300.66</v>
      </c>
      <c r="AU91" s="528">
        <v>134871.63</v>
      </c>
      <c r="AV91" s="528">
        <v>25714.560000000001</v>
      </c>
      <c r="AW91" s="528">
        <v>0</v>
      </c>
      <c r="AX91" s="528">
        <v>160060.81</v>
      </c>
      <c r="AY91" s="528">
        <v>88646.54</v>
      </c>
      <c r="AZ91" s="528">
        <v>14822.1</v>
      </c>
      <c r="BA91" s="528">
        <v>259001.2</v>
      </c>
      <c r="BB91" s="528">
        <v>0</v>
      </c>
      <c r="BC91" s="528">
        <v>0</v>
      </c>
      <c r="BD91" s="528">
        <v>0</v>
      </c>
      <c r="BE91" s="528">
        <f>SUM(Z91:BD91)</f>
        <v>7339009.9600000009</v>
      </c>
      <c r="BF91" s="528">
        <v>562693</v>
      </c>
      <c r="BG91" s="528">
        <f>SUM(H91:X91)-SUM(Z91:BD91)</f>
        <v>-15751.740000001155</v>
      </c>
      <c r="BH91" s="528">
        <v>627229.27999999933</v>
      </c>
      <c r="BI91" s="528">
        <v>16327</v>
      </c>
      <c r="BJ91" s="528">
        <v>0</v>
      </c>
      <c r="BK91" s="528">
        <v>0</v>
      </c>
      <c r="BL91" s="528">
        <v>16327</v>
      </c>
      <c r="BM91" s="528">
        <v>0</v>
      </c>
      <c r="BN91" s="528">
        <v>0</v>
      </c>
      <c r="BO91" s="528">
        <v>0</v>
      </c>
      <c r="BP91" s="528">
        <v>0</v>
      </c>
      <c r="BQ91" s="528">
        <v>0</v>
      </c>
      <c r="BR91" s="528">
        <v>23388</v>
      </c>
      <c r="BS91" s="528">
        <v>16327</v>
      </c>
      <c r="BT91" s="528">
        <v>39715</v>
      </c>
      <c r="BU91" s="528">
        <v>0</v>
      </c>
      <c r="BV91" s="528">
        <v>0</v>
      </c>
      <c r="BW91" s="528">
        <v>0</v>
      </c>
      <c r="BX91" s="528">
        <v>0</v>
      </c>
      <c r="BY91" s="528">
        <v>0</v>
      </c>
      <c r="BZ91" s="528">
        <v>0</v>
      </c>
      <c r="CA91" s="528">
        <v>0</v>
      </c>
      <c r="CB91" s="528">
        <v>0</v>
      </c>
      <c r="CC91" s="528">
        <v>0</v>
      </c>
      <c r="CD91" s="528">
        <v>627229.27999999933</v>
      </c>
      <c r="CE91" s="528">
        <v>0</v>
      </c>
      <c r="CF91" s="528">
        <v>39715</v>
      </c>
      <c r="CG91" s="528">
        <v>0</v>
      </c>
      <c r="CH91" s="528">
        <v>0</v>
      </c>
      <c r="CI91" s="528">
        <f t="shared" si="1"/>
        <v>666944.27999999933</v>
      </c>
      <c r="CJ91" s="528">
        <v>100000</v>
      </c>
      <c r="CK91" s="528">
        <v>477367</v>
      </c>
      <c r="CL91" s="528">
        <v>6068</v>
      </c>
      <c r="CM91" s="528">
        <v>-371298</v>
      </c>
      <c r="CN91" s="528">
        <v>0</v>
      </c>
      <c r="CO91" s="528">
        <v>0</v>
      </c>
      <c r="CP91" s="528">
        <v>55475</v>
      </c>
      <c r="CQ91" s="528">
        <v>-65348</v>
      </c>
      <c r="CR91" s="528">
        <v>0</v>
      </c>
      <c r="CS91" s="528">
        <v>-381171</v>
      </c>
      <c r="CT91" s="528">
        <v>1274384</v>
      </c>
      <c r="CU91" s="528">
        <v>0</v>
      </c>
      <c r="CV91" s="528">
        <v>0</v>
      </c>
      <c r="CW91" s="528">
        <v>1274384</v>
      </c>
      <c r="CX91" s="528"/>
      <c r="CY91" s="528"/>
      <c r="CZ91" s="528"/>
      <c r="DA91" s="528">
        <v>0</v>
      </c>
      <c r="DB91" s="528">
        <v>1274384</v>
      </c>
      <c r="DC91" s="528">
        <v>0</v>
      </c>
      <c r="DD91" s="528">
        <v>68493</v>
      </c>
      <c r="DE91" s="528">
        <v>0</v>
      </c>
      <c r="DF91" s="528">
        <v>0</v>
      </c>
      <c r="DG91" s="528">
        <v>-9573</v>
      </c>
      <c r="DH91" s="528">
        <v>-53917.72</v>
      </c>
      <c r="DI91" s="528">
        <v>0</v>
      </c>
      <c r="DJ91" s="528">
        <v>0</v>
      </c>
      <c r="DK91" s="528">
        <v>5002.2799999999988</v>
      </c>
      <c r="DL91" s="528">
        <v>29149</v>
      </c>
      <c r="DM91" s="528">
        <v>0</v>
      </c>
      <c r="DN91" s="528">
        <v>-80679</v>
      </c>
      <c r="DO91" s="528">
        <v>-2412</v>
      </c>
      <c r="DP91" s="528">
        <v>-177326</v>
      </c>
      <c r="DQ91" s="529">
        <v>0.01</v>
      </c>
      <c r="DR91" s="530">
        <v>5511333.7200000007</v>
      </c>
      <c r="DS91" s="531">
        <v>1747388</v>
      </c>
      <c r="DT91" s="530">
        <v>88647</v>
      </c>
      <c r="DU91" s="530">
        <v>111928</v>
      </c>
      <c r="DV91" s="530">
        <v>31865</v>
      </c>
      <c r="DW91" s="530">
        <v>-231268</v>
      </c>
    </row>
    <row r="92" spans="1:127" s="103" customFormat="1">
      <c r="A92" s="525">
        <v>1016</v>
      </c>
      <c r="B92" s="132" t="s">
        <v>681</v>
      </c>
      <c r="C92" s="525">
        <v>1016</v>
      </c>
      <c r="D92" s="527" t="s">
        <v>1284</v>
      </c>
      <c r="E92" s="527" t="s">
        <v>534</v>
      </c>
      <c r="F92" s="527" t="s">
        <v>5</v>
      </c>
      <c r="G92" s="527" t="s">
        <v>535</v>
      </c>
      <c r="H92" s="528">
        <v>630708.53</v>
      </c>
      <c r="I92" s="528">
        <v>0</v>
      </c>
      <c r="J92" s="528">
        <v>48190.15</v>
      </c>
      <c r="K92" s="528">
        <v>0</v>
      </c>
      <c r="L92" s="528">
        <v>0</v>
      </c>
      <c r="M92" s="528">
        <v>0</v>
      </c>
      <c r="N92" s="528">
        <v>0</v>
      </c>
      <c r="O92" s="528">
        <v>0</v>
      </c>
      <c r="P92" s="528">
        <v>1682.5499999999997</v>
      </c>
      <c r="Q92" s="528">
        <v>1170</v>
      </c>
      <c r="R92" s="528">
        <v>0</v>
      </c>
      <c r="S92" s="528">
        <v>0</v>
      </c>
      <c r="T92" s="528">
        <v>32465.439999999991</v>
      </c>
      <c r="U92" s="528">
        <v>16091.41</v>
      </c>
      <c r="V92" s="528">
        <v>0</v>
      </c>
      <c r="W92" s="528">
        <v>0</v>
      </c>
      <c r="X92" s="528">
        <v>0</v>
      </c>
      <c r="Y92" s="528">
        <v>730308.08000000007</v>
      </c>
      <c r="Z92" s="528">
        <v>164417.31999999983</v>
      </c>
      <c r="AA92" s="528">
        <v>0</v>
      </c>
      <c r="AB92" s="528">
        <v>244241.53999999998</v>
      </c>
      <c r="AC92" s="528">
        <v>4724.3399999998219</v>
      </c>
      <c r="AD92" s="528">
        <v>56024.35</v>
      </c>
      <c r="AE92" s="528">
        <v>0</v>
      </c>
      <c r="AF92" s="528">
        <v>49266.549999999697</v>
      </c>
      <c r="AG92" s="528">
        <v>2209.8800000000028</v>
      </c>
      <c r="AH92" s="528">
        <v>2215</v>
      </c>
      <c r="AI92" s="528">
        <v>0</v>
      </c>
      <c r="AJ92" s="528">
        <v>0</v>
      </c>
      <c r="AK92" s="528">
        <v>6169.1600000000008</v>
      </c>
      <c r="AL92" s="528">
        <v>2745</v>
      </c>
      <c r="AM92" s="528">
        <v>829.59000000000015</v>
      </c>
      <c r="AN92" s="528">
        <v>688.2</v>
      </c>
      <c r="AO92" s="528">
        <v>12382.44</v>
      </c>
      <c r="AP92" s="528">
        <v>0</v>
      </c>
      <c r="AQ92" s="528">
        <v>14395.210000000003</v>
      </c>
      <c r="AR92" s="528">
        <v>3699.2299999999987</v>
      </c>
      <c r="AS92" s="528">
        <v>0</v>
      </c>
      <c r="AT92" s="528">
        <v>0</v>
      </c>
      <c r="AU92" s="528">
        <v>15504.719999999998</v>
      </c>
      <c r="AV92" s="528">
        <v>3291.75</v>
      </c>
      <c r="AW92" s="528">
        <v>0</v>
      </c>
      <c r="AX92" s="528">
        <v>4437.7700000000004</v>
      </c>
      <c r="AY92" s="528">
        <v>18692.400000000001</v>
      </c>
      <c r="AZ92" s="528">
        <v>7092</v>
      </c>
      <c r="BA92" s="528">
        <v>18890.38</v>
      </c>
      <c r="BB92" s="528">
        <v>0</v>
      </c>
      <c r="BC92" s="528">
        <v>0</v>
      </c>
      <c r="BD92" s="528">
        <v>0</v>
      </c>
      <c r="BE92" s="528">
        <v>631916.82999999914</v>
      </c>
      <c r="BF92" s="528">
        <v>46976.600000000202</v>
      </c>
      <c r="BG92" s="528">
        <v>98391.250000000931</v>
      </c>
      <c r="BH92" s="528">
        <v>145367.85000000114</v>
      </c>
      <c r="BI92" s="528">
        <v>4803.25</v>
      </c>
      <c r="BJ92" s="528">
        <v>0</v>
      </c>
      <c r="BK92" s="528">
        <v>0</v>
      </c>
      <c r="BL92" s="528">
        <v>4803.25</v>
      </c>
      <c r="BM92" s="528">
        <v>0</v>
      </c>
      <c r="BN92" s="528">
        <v>7861.83</v>
      </c>
      <c r="BO92" s="528">
        <v>0</v>
      </c>
      <c r="BP92" s="528">
        <v>0</v>
      </c>
      <c r="BQ92" s="528">
        <v>7861.83</v>
      </c>
      <c r="BR92" s="528">
        <v>5992.58</v>
      </c>
      <c r="BS92" s="528">
        <v>-3058.58</v>
      </c>
      <c r="BT92" s="528">
        <v>2934</v>
      </c>
      <c r="BU92" s="528">
        <v>0</v>
      </c>
      <c r="BV92" s="528">
        <v>0</v>
      </c>
      <c r="BW92" s="528">
        <v>0</v>
      </c>
      <c r="BX92" s="528">
        <v>0</v>
      </c>
      <c r="BY92" s="528">
        <v>0</v>
      </c>
      <c r="BZ92" s="528">
        <v>0</v>
      </c>
      <c r="CA92" s="528">
        <v>0</v>
      </c>
      <c r="CB92" s="528">
        <v>0</v>
      </c>
      <c r="CC92" s="528">
        <v>0</v>
      </c>
      <c r="CD92" s="528">
        <v>145367.85000000114</v>
      </c>
      <c r="CE92" s="528">
        <v>0</v>
      </c>
      <c r="CF92" s="528">
        <v>2934</v>
      </c>
      <c r="CG92" s="528">
        <v>0</v>
      </c>
      <c r="CH92" s="528">
        <v>0</v>
      </c>
      <c r="CI92" s="528">
        <f t="shared" si="1"/>
        <v>148301.85000000114</v>
      </c>
      <c r="CJ92" s="528">
        <v>165005.96</v>
      </c>
      <c r="CK92" s="528">
        <v>0</v>
      </c>
      <c r="CL92" s="528">
        <v>0</v>
      </c>
      <c r="CM92" s="528">
        <v>165005.96</v>
      </c>
      <c r="CN92" s="528">
        <v>0</v>
      </c>
      <c r="CO92" s="528">
        <v>0</v>
      </c>
      <c r="CP92" s="528">
        <v>785.99</v>
      </c>
      <c r="CQ92" s="528">
        <v>0</v>
      </c>
      <c r="CR92" s="528">
        <v>-15460.93991228069</v>
      </c>
      <c r="CS92" s="528">
        <v>150331.0100877193</v>
      </c>
      <c r="CT92" s="528">
        <v>0</v>
      </c>
      <c r="CU92" s="528">
        <v>0</v>
      </c>
      <c r="CV92" s="528">
        <v>0</v>
      </c>
      <c r="CW92" s="528">
        <v>0</v>
      </c>
      <c r="CX92" s="528"/>
      <c r="CY92" s="528"/>
      <c r="CZ92" s="528"/>
      <c r="DA92" s="528">
        <v>0</v>
      </c>
      <c r="DB92" s="528">
        <v>0</v>
      </c>
      <c r="DC92" s="528">
        <v>0</v>
      </c>
      <c r="DD92" s="528">
        <v>791.39</v>
      </c>
      <c r="DE92" s="528">
        <v>0</v>
      </c>
      <c r="DF92" s="528">
        <v>0</v>
      </c>
      <c r="DG92" s="528">
        <v>-2820.34</v>
      </c>
      <c r="DH92" s="528">
        <v>0</v>
      </c>
      <c r="DI92" s="528">
        <v>0</v>
      </c>
      <c r="DJ92" s="528">
        <v>0</v>
      </c>
      <c r="DK92" s="528">
        <v>-2028.9500000000003</v>
      </c>
      <c r="DL92" s="528">
        <v>0</v>
      </c>
      <c r="DM92" s="528">
        <v>0</v>
      </c>
      <c r="DN92" s="528">
        <v>0</v>
      </c>
      <c r="DO92" s="528">
        <v>0</v>
      </c>
      <c r="DP92" s="528">
        <v>0</v>
      </c>
      <c r="DQ92" s="529">
        <v>-0.21008771928609349</v>
      </c>
      <c r="DR92" s="530">
        <v>520883.97999999928</v>
      </c>
      <c r="DS92" s="531">
        <v>111032.84999999986</v>
      </c>
      <c r="DT92" s="530">
        <v>18692.400000000001</v>
      </c>
      <c r="DU92" s="530">
        <v>35317.989999999991</v>
      </c>
      <c r="DV92" s="530">
        <v>16091.41</v>
      </c>
      <c r="DW92" s="530">
        <v>0</v>
      </c>
    </row>
    <row r="93" spans="1:127" s="103" customFormat="1">
      <c r="A93" s="525">
        <v>2115</v>
      </c>
      <c r="B93" s="526" t="s">
        <v>683</v>
      </c>
      <c r="C93" s="525">
        <v>2115</v>
      </c>
      <c r="D93" s="527" t="s">
        <v>1284</v>
      </c>
      <c r="E93" s="527" t="s">
        <v>538</v>
      </c>
      <c r="F93" s="527" t="s">
        <v>5</v>
      </c>
      <c r="G93" s="527" t="s">
        <v>535</v>
      </c>
      <c r="H93" s="528">
        <v>1928376.84</v>
      </c>
      <c r="I93" s="528">
        <v>0</v>
      </c>
      <c r="J93" s="528">
        <v>102273</v>
      </c>
      <c r="K93" s="528">
        <v>0</v>
      </c>
      <c r="L93" s="528">
        <v>236630</v>
      </c>
      <c r="M93" s="528">
        <v>6742.57</v>
      </c>
      <c r="N93" s="528">
        <v>0</v>
      </c>
      <c r="O93" s="528">
        <v>0</v>
      </c>
      <c r="P93" s="528">
        <v>29432.100000000013</v>
      </c>
      <c r="Q93" s="528">
        <v>0</v>
      </c>
      <c r="R93" s="528">
        <v>0</v>
      </c>
      <c r="S93" s="528">
        <v>0</v>
      </c>
      <c r="T93" s="528">
        <v>281.88</v>
      </c>
      <c r="U93" s="528">
        <v>54692.959999999999</v>
      </c>
      <c r="V93" s="528">
        <v>0</v>
      </c>
      <c r="W93" s="528">
        <v>13807.21</v>
      </c>
      <c r="X93" s="528">
        <v>49496</v>
      </c>
      <c r="Y93" s="528">
        <v>2421732.5599999996</v>
      </c>
      <c r="Z93" s="528">
        <v>1191251.5800000005</v>
      </c>
      <c r="AA93" s="528">
        <v>0</v>
      </c>
      <c r="AB93" s="528">
        <v>315479.62</v>
      </c>
      <c r="AC93" s="528">
        <v>-6.9849193096160889E-10</v>
      </c>
      <c r="AD93" s="528">
        <v>179590.97</v>
      </c>
      <c r="AE93" s="528">
        <v>88578.01</v>
      </c>
      <c r="AF93" s="528">
        <v>51855.58999999956</v>
      </c>
      <c r="AG93" s="528">
        <v>1555.190000000006</v>
      </c>
      <c r="AH93" s="528">
        <v>2894.9999999999964</v>
      </c>
      <c r="AI93" s="528">
        <v>0</v>
      </c>
      <c r="AJ93" s="528">
        <v>12578.23</v>
      </c>
      <c r="AK93" s="528">
        <v>2541.3099999999977</v>
      </c>
      <c r="AL93" s="528">
        <v>0</v>
      </c>
      <c r="AM93" s="528">
        <v>0</v>
      </c>
      <c r="AN93" s="528">
        <v>7254.77</v>
      </c>
      <c r="AO93" s="528">
        <v>62528.929999999993</v>
      </c>
      <c r="AP93" s="528">
        <v>41869.75</v>
      </c>
      <c r="AQ93" s="528">
        <v>158724.42000000001</v>
      </c>
      <c r="AR93" s="528">
        <v>129892.32</v>
      </c>
      <c r="AS93" s="528">
        <v>7584.8899999999994</v>
      </c>
      <c r="AT93" s="528">
        <v>700</v>
      </c>
      <c r="AU93" s="528">
        <v>93909.00999999998</v>
      </c>
      <c r="AV93" s="528">
        <v>5139.75</v>
      </c>
      <c r="AW93" s="528">
        <v>4465</v>
      </c>
      <c r="AX93" s="528">
        <v>27.709999999999127</v>
      </c>
      <c r="AY93" s="528">
        <v>12200.97</v>
      </c>
      <c r="AZ93" s="528">
        <v>14803.43</v>
      </c>
      <c r="BA93" s="528">
        <v>39759.21</v>
      </c>
      <c r="BB93" s="528">
        <v>2502.4</v>
      </c>
      <c r="BC93" s="528">
        <v>0</v>
      </c>
      <c r="BD93" s="528">
        <v>0</v>
      </c>
      <c r="BE93" s="528">
        <v>2427688.0599999996</v>
      </c>
      <c r="BF93" s="528">
        <v>297273.12000000023</v>
      </c>
      <c r="BG93" s="528">
        <v>-5955.5</v>
      </c>
      <c r="BH93" s="528">
        <v>291317.62000000023</v>
      </c>
      <c r="BI93" s="528">
        <v>7598.88</v>
      </c>
      <c r="BJ93" s="528">
        <v>0</v>
      </c>
      <c r="BK93" s="528">
        <v>0</v>
      </c>
      <c r="BL93" s="528">
        <v>7598.88</v>
      </c>
      <c r="BM93" s="528">
        <v>0</v>
      </c>
      <c r="BN93" s="528">
        <v>0</v>
      </c>
      <c r="BO93" s="528">
        <v>3039</v>
      </c>
      <c r="BP93" s="528">
        <v>0</v>
      </c>
      <c r="BQ93" s="528">
        <v>3039</v>
      </c>
      <c r="BR93" s="528">
        <v>0</v>
      </c>
      <c r="BS93" s="528">
        <v>4559.88</v>
      </c>
      <c r="BT93" s="528">
        <v>4559.88</v>
      </c>
      <c r="BU93" s="528">
        <v>0</v>
      </c>
      <c r="BV93" s="528">
        <v>0</v>
      </c>
      <c r="BW93" s="528">
        <v>0</v>
      </c>
      <c r="BX93" s="528">
        <v>0</v>
      </c>
      <c r="BY93" s="528">
        <v>0</v>
      </c>
      <c r="BZ93" s="528">
        <v>0</v>
      </c>
      <c r="CA93" s="528">
        <v>0</v>
      </c>
      <c r="CB93" s="528">
        <v>0</v>
      </c>
      <c r="CC93" s="528">
        <v>0</v>
      </c>
      <c r="CD93" s="528">
        <v>291317.62000000023</v>
      </c>
      <c r="CE93" s="528">
        <v>0</v>
      </c>
      <c r="CF93" s="528">
        <v>4559.88</v>
      </c>
      <c r="CG93" s="528">
        <v>0</v>
      </c>
      <c r="CH93" s="528">
        <v>0</v>
      </c>
      <c r="CI93" s="528">
        <f t="shared" si="1"/>
        <v>295877.50000000023</v>
      </c>
      <c r="CJ93" s="528">
        <v>191545.55</v>
      </c>
      <c r="CK93" s="528">
        <v>21286.600000000002</v>
      </c>
      <c r="CL93" s="528">
        <v>0</v>
      </c>
      <c r="CM93" s="528">
        <v>170258.94999999998</v>
      </c>
      <c r="CN93" s="528">
        <v>0</v>
      </c>
      <c r="CO93" s="528">
        <v>0</v>
      </c>
      <c r="CP93" s="528">
        <v>1250.55</v>
      </c>
      <c r="CQ93" s="528">
        <v>0</v>
      </c>
      <c r="CR93" s="528">
        <v>116406.19</v>
      </c>
      <c r="CS93" s="528">
        <v>287915.68999999994</v>
      </c>
      <c r="CT93" s="528">
        <v>0</v>
      </c>
      <c r="CU93" s="528">
        <v>0</v>
      </c>
      <c r="CV93" s="528">
        <v>0</v>
      </c>
      <c r="CW93" s="528">
        <v>0</v>
      </c>
      <c r="CX93" s="528"/>
      <c r="CY93" s="528"/>
      <c r="CZ93" s="528"/>
      <c r="DA93" s="528">
        <v>0</v>
      </c>
      <c r="DB93" s="528">
        <v>0</v>
      </c>
      <c r="DC93" s="528">
        <v>0</v>
      </c>
      <c r="DD93" s="528">
        <v>10839.5</v>
      </c>
      <c r="DE93" s="528">
        <v>0</v>
      </c>
      <c r="DF93" s="528">
        <v>0</v>
      </c>
      <c r="DG93" s="528">
        <v>0</v>
      </c>
      <c r="DH93" s="528">
        <v>-2502.4</v>
      </c>
      <c r="DI93" s="528">
        <v>0</v>
      </c>
      <c r="DJ93" s="528">
        <v>0</v>
      </c>
      <c r="DK93" s="528">
        <v>8337.1</v>
      </c>
      <c r="DL93" s="528">
        <v>0</v>
      </c>
      <c r="DM93" s="528">
        <v>0</v>
      </c>
      <c r="DN93" s="528">
        <v>-375</v>
      </c>
      <c r="DO93" s="528">
        <v>0</v>
      </c>
      <c r="DP93" s="528">
        <v>0</v>
      </c>
      <c r="DQ93" s="529">
        <v>-0.28999999992083758</v>
      </c>
      <c r="DR93" s="530">
        <v>1828310.9599999995</v>
      </c>
      <c r="DS93" s="531">
        <v>599377.10000000009</v>
      </c>
      <c r="DT93" s="530">
        <v>12200.97</v>
      </c>
      <c r="DU93" s="530">
        <v>29713.980000000014</v>
      </c>
      <c r="DV93" s="530">
        <v>54692.959999999999</v>
      </c>
      <c r="DW93" s="530">
        <v>-375</v>
      </c>
    </row>
    <row r="94" spans="1:127" s="103" customFormat="1">
      <c r="A94" s="525">
        <v>2441</v>
      </c>
      <c r="B94" s="526" t="s">
        <v>685</v>
      </c>
      <c r="C94" s="525">
        <v>2441</v>
      </c>
      <c r="D94" s="527" t="s">
        <v>1284</v>
      </c>
      <c r="E94" s="527" t="s">
        <v>538</v>
      </c>
      <c r="F94" s="527" t="s">
        <v>5</v>
      </c>
      <c r="G94" s="527" t="s">
        <v>535</v>
      </c>
      <c r="H94" s="528">
        <v>2203191.9500000002</v>
      </c>
      <c r="I94" s="528">
        <v>0</v>
      </c>
      <c r="J94" s="528">
        <v>92722.52</v>
      </c>
      <c r="K94" s="528">
        <v>0</v>
      </c>
      <c r="L94" s="528">
        <v>297430</v>
      </c>
      <c r="M94" s="528">
        <v>139905.79</v>
      </c>
      <c r="N94" s="528">
        <v>0</v>
      </c>
      <c r="O94" s="528">
        <v>0</v>
      </c>
      <c r="P94" s="528">
        <v>15969.880000000001</v>
      </c>
      <c r="Q94" s="528">
        <v>0</v>
      </c>
      <c r="R94" s="528">
        <v>0</v>
      </c>
      <c r="S94" s="528">
        <v>0</v>
      </c>
      <c r="T94" s="528">
        <v>17493</v>
      </c>
      <c r="U94" s="528">
        <v>0</v>
      </c>
      <c r="V94" s="528">
        <v>0</v>
      </c>
      <c r="W94" s="528">
        <v>4770.83</v>
      </c>
      <c r="X94" s="528">
        <v>47061</v>
      </c>
      <c r="Y94" s="528">
        <v>2818544.97</v>
      </c>
      <c r="Z94" s="528">
        <v>1204800.9999999974</v>
      </c>
      <c r="AA94" s="528">
        <v>2403.83</v>
      </c>
      <c r="AB94" s="528">
        <v>495427</v>
      </c>
      <c r="AC94" s="528">
        <v>43570.000000000058</v>
      </c>
      <c r="AD94" s="528">
        <v>168965</v>
      </c>
      <c r="AE94" s="528">
        <v>0</v>
      </c>
      <c r="AF94" s="528">
        <v>145034.00000000012</v>
      </c>
      <c r="AG94" s="528">
        <v>9499.9999999999018</v>
      </c>
      <c r="AH94" s="528">
        <v>7711.7</v>
      </c>
      <c r="AI94" s="528">
        <v>0</v>
      </c>
      <c r="AJ94" s="528">
        <v>0</v>
      </c>
      <c r="AK94" s="528">
        <v>33795</v>
      </c>
      <c r="AL94" s="528">
        <v>9191</v>
      </c>
      <c r="AM94" s="528">
        <v>1561</v>
      </c>
      <c r="AN94" s="528">
        <v>4315.8</v>
      </c>
      <c r="AO94" s="528">
        <v>35027</v>
      </c>
      <c r="AP94" s="528">
        <v>14333.98</v>
      </c>
      <c r="AQ94" s="528">
        <v>334253</v>
      </c>
      <c r="AR94" s="528">
        <v>88163.099999999948</v>
      </c>
      <c r="AS94" s="528">
        <v>8435</v>
      </c>
      <c r="AT94" s="528">
        <v>0</v>
      </c>
      <c r="AU94" s="528">
        <v>4580.9999999997672</v>
      </c>
      <c r="AV94" s="528">
        <v>9471</v>
      </c>
      <c r="AW94" s="528">
        <v>0</v>
      </c>
      <c r="AX94" s="528">
        <v>99043.000000000044</v>
      </c>
      <c r="AY94" s="528">
        <v>105124</v>
      </c>
      <c r="AZ94" s="528">
        <v>10287.01</v>
      </c>
      <c r="BA94" s="528">
        <v>41644</v>
      </c>
      <c r="BB94" s="528">
        <v>0</v>
      </c>
      <c r="BC94" s="528">
        <v>0</v>
      </c>
      <c r="BD94" s="528">
        <v>0</v>
      </c>
      <c r="BE94" s="528">
        <v>2876637.4199999971</v>
      </c>
      <c r="BF94" s="528">
        <v>377218.73</v>
      </c>
      <c r="BG94" s="528">
        <v>-58092.449999996927</v>
      </c>
      <c r="BH94" s="528">
        <v>319126.28000000305</v>
      </c>
      <c r="BI94" s="528">
        <v>8030.88</v>
      </c>
      <c r="BJ94" s="528">
        <v>0</v>
      </c>
      <c r="BK94" s="528">
        <v>0</v>
      </c>
      <c r="BL94" s="528">
        <v>8030.88</v>
      </c>
      <c r="BM94" s="528">
        <v>0</v>
      </c>
      <c r="BN94" s="528">
        <v>0</v>
      </c>
      <c r="BO94" s="528">
        <v>0</v>
      </c>
      <c r="BP94" s="528">
        <v>0</v>
      </c>
      <c r="BQ94" s="528">
        <v>0</v>
      </c>
      <c r="BR94" s="528">
        <v>30413.25</v>
      </c>
      <c r="BS94" s="528">
        <v>8030.88</v>
      </c>
      <c r="BT94" s="528">
        <v>38444.129999999997</v>
      </c>
      <c r="BU94" s="528">
        <v>0</v>
      </c>
      <c r="BV94" s="528">
        <v>0</v>
      </c>
      <c r="BW94" s="528">
        <v>0</v>
      </c>
      <c r="BX94" s="528">
        <v>0</v>
      </c>
      <c r="BY94" s="528">
        <v>0</v>
      </c>
      <c r="BZ94" s="528">
        <v>0</v>
      </c>
      <c r="CA94" s="528">
        <v>0</v>
      </c>
      <c r="CB94" s="528">
        <v>0</v>
      </c>
      <c r="CC94" s="528">
        <v>0</v>
      </c>
      <c r="CD94" s="528">
        <v>319126.28000000305</v>
      </c>
      <c r="CE94" s="528">
        <v>0</v>
      </c>
      <c r="CF94" s="528">
        <v>38444.129999999997</v>
      </c>
      <c r="CG94" s="528">
        <v>0</v>
      </c>
      <c r="CH94" s="528">
        <v>0</v>
      </c>
      <c r="CI94" s="528">
        <f t="shared" si="1"/>
        <v>357570.41000000306</v>
      </c>
      <c r="CJ94" s="528">
        <v>531945</v>
      </c>
      <c r="CK94" s="528">
        <v>18244</v>
      </c>
      <c r="CL94" s="528">
        <v>285</v>
      </c>
      <c r="CM94" s="528">
        <v>513986</v>
      </c>
      <c r="CN94" s="528">
        <v>0</v>
      </c>
      <c r="CO94" s="528">
        <v>0</v>
      </c>
      <c r="CP94" s="528">
        <v>11631</v>
      </c>
      <c r="CQ94" s="528">
        <v>45.59</v>
      </c>
      <c r="CR94" s="528">
        <v>-181488.14885416671</v>
      </c>
      <c r="CS94" s="528">
        <v>344174.44114583323</v>
      </c>
      <c r="CT94" s="528">
        <v>0</v>
      </c>
      <c r="CU94" s="528">
        <v>0</v>
      </c>
      <c r="CV94" s="528">
        <v>0</v>
      </c>
      <c r="CW94" s="528">
        <v>0</v>
      </c>
      <c r="CX94" s="528"/>
      <c r="CY94" s="528"/>
      <c r="CZ94" s="528"/>
      <c r="DA94" s="528">
        <v>0</v>
      </c>
      <c r="DB94" s="528">
        <v>0</v>
      </c>
      <c r="DC94" s="528">
        <v>0</v>
      </c>
      <c r="DD94" s="528">
        <v>13395.95</v>
      </c>
      <c r="DE94" s="528">
        <v>0</v>
      </c>
      <c r="DF94" s="528">
        <v>0</v>
      </c>
      <c r="DG94" s="528">
        <v>0</v>
      </c>
      <c r="DH94" s="528">
        <v>0</v>
      </c>
      <c r="DI94" s="528">
        <v>0</v>
      </c>
      <c r="DJ94" s="528">
        <v>0</v>
      </c>
      <c r="DK94" s="528">
        <v>13395.95</v>
      </c>
      <c r="DL94" s="528">
        <v>0</v>
      </c>
      <c r="DM94" s="528">
        <v>0</v>
      </c>
      <c r="DN94" s="528">
        <v>0</v>
      </c>
      <c r="DO94" s="528">
        <v>0</v>
      </c>
      <c r="DP94" s="528">
        <v>0</v>
      </c>
      <c r="DQ94" s="529">
        <v>1.8854166788514704E-2</v>
      </c>
      <c r="DR94" s="530">
        <v>2069700.8299999977</v>
      </c>
      <c r="DS94" s="531">
        <v>806936.58999999939</v>
      </c>
      <c r="DT94" s="530">
        <v>105124</v>
      </c>
      <c r="DU94" s="530">
        <v>33462.880000000005</v>
      </c>
      <c r="DV94" s="530">
        <v>0</v>
      </c>
      <c r="DW94" s="530">
        <v>0</v>
      </c>
    </row>
    <row r="95" spans="1:127" s="103" customFormat="1">
      <c r="A95" s="525">
        <v>2321</v>
      </c>
      <c r="B95" s="526" t="s">
        <v>687</v>
      </c>
      <c r="C95" s="525">
        <v>2321</v>
      </c>
      <c r="D95" s="527" t="s">
        <v>1284</v>
      </c>
      <c r="E95" s="527" t="s">
        <v>538</v>
      </c>
      <c r="F95" s="527" t="s">
        <v>5</v>
      </c>
      <c r="G95" s="527" t="s">
        <v>535</v>
      </c>
      <c r="H95" s="528">
        <v>1232754.3999999999</v>
      </c>
      <c r="I95" s="528">
        <v>0</v>
      </c>
      <c r="J95" s="528">
        <v>119471.9</v>
      </c>
      <c r="K95" s="528">
        <v>0</v>
      </c>
      <c r="L95" s="528">
        <v>187230</v>
      </c>
      <c r="M95" s="528">
        <v>285.64</v>
      </c>
      <c r="N95" s="528">
        <v>0</v>
      </c>
      <c r="O95" s="528">
        <v>0</v>
      </c>
      <c r="P95" s="528">
        <v>43024.54</v>
      </c>
      <c r="Q95" s="528">
        <v>10813.5</v>
      </c>
      <c r="R95" s="528">
        <v>0</v>
      </c>
      <c r="S95" s="528">
        <v>0</v>
      </c>
      <c r="T95" s="528">
        <v>0</v>
      </c>
      <c r="U95" s="528">
        <v>0</v>
      </c>
      <c r="V95" s="528">
        <v>0</v>
      </c>
      <c r="W95" s="528">
        <v>8501.7999999999993</v>
      </c>
      <c r="X95" s="528">
        <v>22071</v>
      </c>
      <c r="Y95" s="528">
        <v>1624152.7799999998</v>
      </c>
      <c r="Z95" s="528">
        <v>579077</v>
      </c>
      <c r="AA95" s="528">
        <v>0</v>
      </c>
      <c r="AB95" s="528">
        <v>339647.7</v>
      </c>
      <c r="AC95" s="528">
        <v>44887.59</v>
      </c>
      <c r="AD95" s="528">
        <v>71486.41</v>
      </c>
      <c r="AE95" s="528">
        <v>0</v>
      </c>
      <c r="AF95" s="528">
        <v>42681.86</v>
      </c>
      <c r="AG95" s="528">
        <v>1060.6099999999999</v>
      </c>
      <c r="AH95" s="528">
        <v>2667.5</v>
      </c>
      <c r="AI95" s="528">
        <v>0</v>
      </c>
      <c r="AJ95" s="528">
        <v>0</v>
      </c>
      <c r="AK95" s="528">
        <v>8125.63</v>
      </c>
      <c r="AL95" s="528">
        <v>3489.83</v>
      </c>
      <c r="AM95" s="528">
        <v>2193.9699999999998</v>
      </c>
      <c r="AN95" s="528">
        <v>4345.5</v>
      </c>
      <c r="AO95" s="528">
        <v>41980.1</v>
      </c>
      <c r="AP95" s="528">
        <v>15754.5</v>
      </c>
      <c r="AQ95" s="528">
        <v>16123.05</v>
      </c>
      <c r="AR95" s="528">
        <v>56666.1</v>
      </c>
      <c r="AS95" s="528">
        <v>26795.35</v>
      </c>
      <c r="AT95" s="528">
        <v>0</v>
      </c>
      <c r="AU95" s="528">
        <v>15552.49</v>
      </c>
      <c r="AV95" s="528">
        <v>5139.75</v>
      </c>
      <c r="AW95" s="528">
        <v>1284.26</v>
      </c>
      <c r="AX95" s="528">
        <v>64812.37</v>
      </c>
      <c r="AY95" s="528">
        <v>91616.4</v>
      </c>
      <c r="AZ95" s="528">
        <v>848.08</v>
      </c>
      <c r="BA95" s="528">
        <v>130407.8</v>
      </c>
      <c r="BB95" s="528">
        <v>0</v>
      </c>
      <c r="BC95" s="528">
        <v>0</v>
      </c>
      <c r="BD95" s="528">
        <v>0</v>
      </c>
      <c r="BE95" s="528">
        <v>1566643.8500000006</v>
      </c>
      <c r="BF95" s="528">
        <v>328357.75</v>
      </c>
      <c r="BG95" s="528">
        <v>57508.929999999236</v>
      </c>
      <c r="BH95" s="528">
        <v>385866.67999999924</v>
      </c>
      <c r="BI95" s="528">
        <v>6081.25</v>
      </c>
      <c r="BJ95" s="528">
        <v>0</v>
      </c>
      <c r="BK95" s="528">
        <v>0</v>
      </c>
      <c r="BL95" s="528">
        <v>6081.25</v>
      </c>
      <c r="BM95" s="528">
        <v>0</v>
      </c>
      <c r="BN95" s="528">
        <v>10551.9</v>
      </c>
      <c r="BO95" s="528">
        <v>0</v>
      </c>
      <c r="BP95" s="528">
        <v>0</v>
      </c>
      <c r="BQ95" s="528">
        <v>10551.9</v>
      </c>
      <c r="BR95" s="528">
        <v>10537.1</v>
      </c>
      <c r="BS95" s="528">
        <v>-4470.6499999999996</v>
      </c>
      <c r="BT95" s="528">
        <v>6066.4</v>
      </c>
      <c r="BU95" s="528">
        <v>0</v>
      </c>
      <c r="BV95" s="528">
        <v>0</v>
      </c>
      <c r="BW95" s="528">
        <v>0</v>
      </c>
      <c r="BX95" s="528">
        <v>0</v>
      </c>
      <c r="BY95" s="528">
        <v>0</v>
      </c>
      <c r="BZ95" s="528">
        <v>0</v>
      </c>
      <c r="CA95" s="528">
        <v>0</v>
      </c>
      <c r="CB95" s="528">
        <v>0</v>
      </c>
      <c r="CC95" s="528">
        <v>0</v>
      </c>
      <c r="CD95" s="528">
        <v>385866.67999999924</v>
      </c>
      <c r="CE95" s="528">
        <v>0</v>
      </c>
      <c r="CF95" s="528">
        <v>6066.4</v>
      </c>
      <c r="CG95" s="528">
        <v>0</v>
      </c>
      <c r="CH95" s="528">
        <v>0</v>
      </c>
      <c r="CI95" s="528">
        <f t="shared" si="1"/>
        <v>391933.07999999926</v>
      </c>
      <c r="CJ95" s="528">
        <v>115070</v>
      </c>
      <c r="CK95" s="528">
        <v>0</v>
      </c>
      <c r="CL95" s="528">
        <v>0</v>
      </c>
      <c r="CM95" s="528">
        <v>115070.1</v>
      </c>
      <c r="CN95" s="528">
        <v>0</v>
      </c>
      <c r="CO95" s="528">
        <v>0</v>
      </c>
      <c r="CP95" s="528">
        <v>3320.33</v>
      </c>
      <c r="CQ95" s="528">
        <v>0</v>
      </c>
      <c r="CR95" s="528">
        <v>295744.90000000002</v>
      </c>
      <c r="CS95" s="528">
        <v>414135.3</v>
      </c>
      <c r="CT95" s="528">
        <v>0</v>
      </c>
      <c r="CU95" s="528">
        <v>0</v>
      </c>
      <c r="CV95" s="528">
        <v>0</v>
      </c>
      <c r="CW95" s="528">
        <v>0</v>
      </c>
      <c r="CX95" s="528"/>
      <c r="CY95" s="528"/>
      <c r="CZ95" s="528"/>
      <c r="DA95" s="528">
        <v>0</v>
      </c>
      <c r="DB95" s="528">
        <v>0</v>
      </c>
      <c r="DC95" s="528">
        <v>0</v>
      </c>
      <c r="DD95" s="528">
        <v>10017.68</v>
      </c>
      <c r="DE95" s="528">
        <v>0</v>
      </c>
      <c r="DF95" s="528">
        <v>0</v>
      </c>
      <c r="DG95" s="528">
        <v>-10944.1</v>
      </c>
      <c r="DH95" s="528">
        <v>-21275.58</v>
      </c>
      <c r="DI95" s="528">
        <v>0</v>
      </c>
      <c r="DJ95" s="528">
        <v>0</v>
      </c>
      <c r="DK95" s="528">
        <v>-22202</v>
      </c>
      <c r="DL95" s="528">
        <v>0</v>
      </c>
      <c r="DM95" s="528">
        <v>0</v>
      </c>
      <c r="DN95" s="528">
        <v>0</v>
      </c>
      <c r="DO95" s="528">
        <v>0</v>
      </c>
      <c r="DP95" s="528">
        <v>0</v>
      </c>
      <c r="DQ95" s="529">
        <v>0</v>
      </c>
      <c r="DR95" s="530">
        <v>1078841.1700000002</v>
      </c>
      <c r="DS95" s="531">
        <v>487802.6800000004</v>
      </c>
      <c r="DT95" s="530">
        <v>91616.4</v>
      </c>
      <c r="DU95" s="530">
        <v>53838.04</v>
      </c>
      <c r="DV95" s="530">
        <v>0</v>
      </c>
      <c r="DW95" s="530">
        <v>0</v>
      </c>
    </row>
    <row r="96" spans="1:127" s="103" customFormat="1">
      <c r="A96" s="525">
        <v>2189</v>
      </c>
      <c r="B96" s="526" t="s">
        <v>867</v>
      </c>
      <c r="C96" s="525">
        <v>2189</v>
      </c>
      <c r="D96" s="527" t="s">
        <v>1284</v>
      </c>
      <c r="E96" s="527" t="s">
        <v>538</v>
      </c>
      <c r="F96" s="527" t="s">
        <v>5</v>
      </c>
      <c r="G96" s="527" t="s">
        <v>957</v>
      </c>
      <c r="H96" s="528">
        <v>1597303.71</v>
      </c>
      <c r="I96" s="528">
        <v>0</v>
      </c>
      <c r="J96" s="528">
        <v>55195.71</v>
      </c>
      <c r="K96" s="528">
        <v>0</v>
      </c>
      <c r="L96" s="528">
        <v>180560</v>
      </c>
      <c r="M96" s="528">
        <v>4828.22</v>
      </c>
      <c r="N96" s="528">
        <v>0</v>
      </c>
      <c r="O96" s="528">
        <v>0</v>
      </c>
      <c r="P96" s="528">
        <v>61876.639999999992</v>
      </c>
      <c r="Q96" s="528">
        <v>33206.19</v>
      </c>
      <c r="R96" s="528">
        <v>0</v>
      </c>
      <c r="S96" s="528">
        <v>0</v>
      </c>
      <c r="T96" s="528">
        <v>6312.32</v>
      </c>
      <c r="U96" s="528">
        <v>0</v>
      </c>
      <c r="V96" s="528">
        <v>0</v>
      </c>
      <c r="W96" s="528">
        <v>11510.83</v>
      </c>
      <c r="X96" s="528">
        <v>33422</v>
      </c>
      <c r="Y96" s="528">
        <v>1984215.6199999999</v>
      </c>
      <c r="Z96" s="528">
        <v>664057.80000000028</v>
      </c>
      <c r="AA96" s="528">
        <v>397.4</v>
      </c>
      <c r="AB96" s="528">
        <v>2053.58</v>
      </c>
      <c r="AC96" s="528">
        <v>337903.06000000064</v>
      </c>
      <c r="AD96" s="528">
        <v>4454.9399999999996</v>
      </c>
      <c r="AE96" s="528">
        <v>0</v>
      </c>
      <c r="AF96" s="528">
        <v>221847.6099999999</v>
      </c>
      <c r="AG96" s="528">
        <v>13360.669999999978</v>
      </c>
      <c r="AH96" s="528">
        <v>0</v>
      </c>
      <c r="AI96" s="528">
        <v>0</v>
      </c>
      <c r="AJ96" s="528">
        <v>0</v>
      </c>
      <c r="AK96" s="528">
        <v>14123.610000000004</v>
      </c>
      <c r="AL96" s="528">
        <v>0</v>
      </c>
      <c r="AM96" s="528">
        <v>4761.0499999999993</v>
      </c>
      <c r="AN96" s="528">
        <v>316.75</v>
      </c>
      <c r="AO96" s="528">
        <v>33995.350000000013</v>
      </c>
      <c r="AP96" s="528">
        <v>31534.81</v>
      </c>
      <c r="AQ96" s="528">
        <v>6408.869999999999</v>
      </c>
      <c r="AR96" s="528">
        <v>334685.76999999996</v>
      </c>
      <c r="AS96" s="528">
        <v>108687.26000000001</v>
      </c>
      <c r="AT96" s="528">
        <v>-533.5</v>
      </c>
      <c r="AU96" s="528">
        <v>-1372.01</v>
      </c>
      <c r="AV96" s="528">
        <v>5139.75</v>
      </c>
      <c r="AW96" s="528">
        <v>0</v>
      </c>
      <c r="AX96" s="528">
        <v>165900.71</v>
      </c>
      <c r="AY96" s="528">
        <v>55396.56</v>
      </c>
      <c r="AZ96" s="528">
        <v>5816.24</v>
      </c>
      <c r="BA96" s="528">
        <v>219558.75</v>
      </c>
      <c r="BB96" s="528">
        <v>0</v>
      </c>
      <c r="BC96" s="528">
        <v>0</v>
      </c>
      <c r="BD96" s="528">
        <v>0</v>
      </c>
      <c r="BE96" s="528">
        <v>2228495.0300000012</v>
      </c>
      <c r="BF96" s="528">
        <v>-237278.13000000024</v>
      </c>
      <c r="BG96" s="528">
        <v>-244279.41000000131</v>
      </c>
      <c r="BH96" s="528">
        <v>-481557.54000000155</v>
      </c>
      <c r="BI96" s="528">
        <v>6958.75</v>
      </c>
      <c r="BJ96" s="528">
        <v>0</v>
      </c>
      <c r="BK96" s="528">
        <v>0</v>
      </c>
      <c r="BL96" s="528">
        <v>6958.75</v>
      </c>
      <c r="BM96" s="528">
        <v>0</v>
      </c>
      <c r="BN96" s="528">
        <v>3155.7400000000002</v>
      </c>
      <c r="BO96" s="528">
        <v>0</v>
      </c>
      <c r="BP96" s="528">
        <v>0</v>
      </c>
      <c r="BQ96" s="528">
        <v>3155.7400000000002</v>
      </c>
      <c r="BR96" s="528">
        <v>5.8264504332328215E-13</v>
      </c>
      <c r="BS96" s="528">
        <v>3803.0099999999998</v>
      </c>
      <c r="BT96" s="528">
        <v>3803.01</v>
      </c>
      <c r="BU96" s="528">
        <v>0</v>
      </c>
      <c r="BV96" s="528">
        <v>0</v>
      </c>
      <c r="BW96" s="528">
        <v>0</v>
      </c>
      <c r="BX96" s="528">
        <v>0</v>
      </c>
      <c r="BY96" s="528">
        <v>0</v>
      </c>
      <c r="BZ96" s="528">
        <v>0</v>
      </c>
      <c r="CA96" s="528">
        <v>0</v>
      </c>
      <c r="CB96" s="528">
        <v>0</v>
      </c>
      <c r="CC96" s="528">
        <v>0</v>
      </c>
      <c r="CD96" s="528">
        <v>-481557.54000000155</v>
      </c>
      <c r="CE96" s="528">
        <v>0</v>
      </c>
      <c r="CF96" s="528">
        <v>3803.01</v>
      </c>
      <c r="CG96" s="528">
        <v>0</v>
      </c>
      <c r="CH96" s="528">
        <v>0</v>
      </c>
      <c r="CI96" s="528">
        <f t="shared" si="1"/>
        <v>-477754.53000000154</v>
      </c>
      <c r="CJ96" s="528">
        <v>0</v>
      </c>
      <c r="CK96" s="528">
        <v>0</v>
      </c>
      <c r="CL96" s="528">
        <v>0</v>
      </c>
      <c r="CM96" s="528">
        <v>0</v>
      </c>
      <c r="CN96" s="528">
        <v>0</v>
      </c>
      <c r="CO96" s="528">
        <v>0</v>
      </c>
      <c r="CP96" s="528">
        <v>0</v>
      </c>
      <c r="CQ96" s="528">
        <v>0</v>
      </c>
      <c r="CR96" s="528">
        <v>0</v>
      </c>
      <c r="CS96" s="528">
        <v>0</v>
      </c>
      <c r="CT96" s="528">
        <v>0</v>
      </c>
      <c r="CU96" s="528">
        <v>0</v>
      </c>
      <c r="CV96" s="528">
        <v>0</v>
      </c>
      <c r="CW96" s="528">
        <v>0</v>
      </c>
      <c r="CX96" s="528"/>
      <c r="CY96" s="528"/>
      <c r="CZ96" s="528"/>
      <c r="DA96" s="528">
        <v>-364530.88000000163</v>
      </c>
      <c r="DB96" s="528">
        <v>-364530.88000000163</v>
      </c>
      <c r="DC96" s="528">
        <v>0</v>
      </c>
      <c r="DD96" s="528">
        <v>1222.52</v>
      </c>
      <c r="DE96" s="528">
        <v>0</v>
      </c>
      <c r="DF96" s="528">
        <v>0</v>
      </c>
      <c r="DG96" s="528">
        <v>0</v>
      </c>
      <c r="DH96" s="528">
        <v>-36850.22</v>
      </c>
      <c r="DI96" s="528">
        <v>0</v>
      </c>
      <c r="DJ96" s="528">
        <v>0</v>
      </c>
      <c r="DK96" s="528">
        <v>-35627.700000000004</v>
      </c>
      <c r="DL96" s="528">
        <v>0</v>
      </c>
      <c r="DM96" s="528">
        <v>0</v>
      </c>
      <c r="DN96" s="528">
        <v>0</v>
      </c>
      <c r="DO96" s="528">
        <v>0</v>
      </c>
      <c r="DP96" s="528">
        <v>0</v>
      </c>
      <c r="DQ96" s="529">
        <v>1.6298145055770874E-9</v>
      </c>
      <c r="DR96" s="530">
        <v>1244075.0600000008</v>
      </c>
      <c r="DS96" s="531">
        <v>984419.97000000044</v>
      </c>
      <c r="DT96" s="530">
        <v>55396.56</v>
      </c>
      <c r="DU96" s="530">
        <v>101395.15</v>
      </c>
      <c r="DV96" s="530">
        <v>0</v>
      </c>
      <c r="DW96" s="530">
        <v>0</v>
      </c>
    </row>
    <row r="97" spans="1:127" s="103" customFormat="1">
      <c r="A97" s="525">
        <v>7060</v>
      </c>
      <c r="B97" s="526" t="s">
        <v>869</v>
      </c>
      <c r="C97" s="525">
        <v>7060</v>
      </c>
      <c r="D97" s="527" t="s">
        <v>1284</v>
      </c>
      <c r="E97" s="527" t="s">
        <v>553</v>
      </c>
      <c r="F97" s="527" t="s">
        <v>5</v>
      </c>
      <c r="G97" s="527" t="s">
        <v>957</v>
      </c>
      <c r="H97" s="528">
        <v>1343231.94</v>
      </c>
      <c r="I97" s="528">
        <v>0</v>
      </c>
      <c r="J97" s="528">
        <v>1689745.1</v>
      </c>
      <c r="K97" s="528">
        <v>0</v>
      </c>
      <c r="L97" s="528">
        <v>72520</v>
      </c>
      <c r="M97" s="528">
        <v>0</v>
      </c>
      <c r="N97" s="528">
        <v>6467</v>
      </c>
      <c r="O97" s="528">
        <v>0</v>
      </c>
      <c r="P97" s="528">
        <v>-5154.45999999999</v>
      </c>
      <c r="Q97" s="528">
        <v>0</v>
      </c>
      <c r="R97" s="528">
        <v>0</v>
      </c>
      <c r="S97" s="528">
        <v>0</v>
      </c>
      <c r="T97" s="528">
        <v>2181.4</v>
      </c>
      <c r="U97" s="528">
        <v>165442.6</v>
      </c>
      <c r="V97" s="528">
        <v>0</v>
      </c>
      <c r="W97" s="528">
        <v>15171.46</v>
      </c>
      <c r="X97" s="528">
        <v>21214</v>
      </c>
      <c r="Y97" s="528">
        <v>3310819.04</v>
      </c>
      <c r="Z97" s="528">
        <v>1193149.9999999907</v>
      </c>
      <c r="AA97" s="528">
        <v>0</v>
      </c>
      <c r="AB97" s="528">
        <v>1239273.2</v>
      </c>
      <c r="AC97" s="528">
        <v>46518.029999998864</v>
      </c>
      <c r="AD97" s="528">
        <v>155922.29999999999</v>
      </c>
      <c r="AE97" s="528">
        <v>0</v>
      </c>
      <c r="AF97" s="528">
        <v>62378.829999999492</v>
      </c>
      <c r="AG97" s="528">
        <v>400.99999999955799</v>
      </c>
      <c r="AH97" s="528">
        <v>0</v>
      </c>
      <c r="AI97" s="528">
        <v>0</v>
      </c>
      <c r="AJ97" s="528">
        <v>0</v>
      </c>
      <c r="AK97" s="528">
        <v>9939.31</v>
      </c>
      <c r="AL97" s="528">
        <v>0</v>
      </c>
      <c r="AM97" s="528">
        <v>32694.84</v>
      </c>
      <c r="AN97" s="528">
        <v>10501.8</v>
      </c>
      <c r="AO97" s="528">
        <v>35211.75</v>
      </c>
      <c r="AP97" s="528">
        <v>0</v>
      </c>
      <c r="AQ97" s="528">
        <v>36140.950000000004</v>
      </c>
      <c r="AR97" s="528">
        <v>48939.11</v>
      </c>
      <c r="AS97" s="528">
        <v>0</v>
      </c>
      <c r="AT97" s="528">
        <v>0</v>
      </c>
      <c r="AU97" s="528">
        <v>79071.520000000077</v>
      </c>
      <c r="AV97" s="528">
        <v>3291.75</v>
      </c>
      <c r="AW97" s="528">
        <v>0</v>
      </c>
      <c r="AX97" s="528">
        <v>0</v>
      </c>
      <c r="AY97" s="528">
        <v>91866.540000000008</v>
      </c>
      <c r="AZ97" s="528">
        <v>779.7</v>
      </c>
      <c r="BA97" s="528">
        <v>196959.75999999998</v>
      </c>
      <c r="BB97" s="528">
        <v>0</v>
      </c>
      <c r="BC97" s="528">
        <v>0</v>
      </c>
      <c r="BD97" s="528">
        <v>0</v>
      </c>
      <c r="BE97" s="528">
        <v>3243040.3899999885</v>
      </c>
      <c r="BF97" s="528">
        <v>-224781.79999999984</v>
      </c>
      <c r="BG97" s="528">
        <v>67778.650000011548</v>
      </c>
      <c r="BH97" s="528">
        <v>-157003.14999998829</v>
      </c>
      <c r="BI97" s="528">
        <v>40001.379999999997</v>
      </c>
      <c r="BJ97" s="528">
        <v>0</v>
      </c>
      <c r="BK97" s="528">
        <v>0</v>
      </c>
      <c r="BL97" s="528">
        <v>40001.379999999997</v>
      </c>
      <c r="BM97" s="528">
        <v>0</v>
      </c>
      <c r="BN97" s="528">
        <v>0</v>
      </c>
      <c r="BO97" s="528">
        <v>0</v>
      </c>
      <c r="BP97" s="528">
        <v>0</v>
      </c>
      <c r="BQ97" s="528">
        <v>0</v>
      </c>
      <c r="BR97" s="528">
        <v>45431.210000000006</v>
      </c>
      <c r="BS97" s="528">
        <v>40001.379999999997</v>
      </c>
      <c r="BT97" s="528">
        <v>85432.59</v>
      </c>
      <c r="BU97" s="528">
        <v>0</v>
      </c>
      <c r="BV97" s="528">
        <v>0</v>
      </c>
      <c r="BW97" s="528">
        <v>0</v>
      </c>
      <c r="BX97" s="528">
        <v>0</v>
      </c>
      <c r="BY97" s="528">
        <v>0</v>
      </c>
      <c r="BZ97" s="528">
        <v>0</v>
      </c>
      <c r="CA97" s="528">
        <v>0</v>
      </c>
      <c r="CB97" s="528">
        <v>0</v>
      </c>
      <c r="CC97" s="528">
        <v>0</v>
      </c>
      <c r="CD97" s="528">
        <v>-157003.14999998829</v>
      </c>
      <c r="CE97" s="528">
        <v>0</v>
      </c>
      <c r="CF97" s="528">
        <v>85432.59</v>
      </c>
      <c r="CG97" s="528">
        <v>0</v>
      </c>
      <c r="CH97" s="528">
        <v>0</v>
      </c>
      <c r="CI97" s="528">
        <f t="shared" si="1"/>
        <v>-71570.559999988298</v>
      </c>
      <c r="CJ97" s="528">
        <v>0</v>
      </c>
      <c r="CK97" s="528">
        <v>0</v>
      </c>
      <c r="CL97" s="528">
        <v>0</v>
      </c>
      <c r="CM97" s="528">
        <v>0</v>
      </c>
      <c r="CN97" s="528">
        <v>0</v>
      </c>
      <c r="CO97" s="528">
        <v>0</v>
      </c>
      <c r="CP97" s="528">
        <v>0</v>
      </c>
      <c r="CQ97" s="528">
        <v>0</v>
      </c>
      <c r="CR97" s="528">
        <v>0</v>
      </c>
      <c r="CS97" s="528">
        <v>0</v>
      </c>
      <c r="CT97" s="528">
        <v>0</v>
      </c>
      <c r="CU97" s="528">
        <v>0</v>
      </c>
      <c r="CV97" s="528">
        <v>0</v>
      </c>
      <c r="CW97" s="528">
        <v>0</v>
      </c>
      <c r="CX97" s="528"/>
      <c r="CY97" s="528"/>
      <c r="CZ97" s="528"/>
      <c r="DA97" s="528">
        <v>-72134.969999988301</v>
      </c>
      <c r="DB97" s="528">
        <v>-72134.969999988301</v>
      </c>
      <c r="DC97" s="528">
        <v>0</v>
      </c>
      <c r="DD97" s="528">
        <v>648.55999999999995</v>
      </c>
      <c r="DE97" s="528">
        <v>0</v>
      </c>
      <c r="DF97" s="528">
        <v>0</v>
      </c>
      <c r="DG97" s="528">
        <v>0</v>
      </c>
      <c r="DH97" s="528">
        <v>-84.15</v>
      </c>
      <c r="DI97" s="528">
        <v>0</v>
      </c>
      <c r="DJ97" s="528">
        <v>0</v>
      </c>
      <c r="DK97" s="528">
        <v>564.41</v>
      </c>
      <c r="DL97" s="528">
        <v>0</v>
      </c>
      <c r="DM97" s="528">
        <v>0</v>
      </c>
      <c r="DN97" s="528">
        <v>0</v>
      </c>
      <c r="DO97" s="528">
        <v>0</v>
      </c>
      <c r="DP97" s="528">
        <v>0</v>
      </c>
      <c r="DQ97" s="529">
        <v>-1.1699739843606949E-8</v>
      </c>
      <c r="DR97" s="530">
        <v>2697643.3599999887</v>
      </c>
      <c r="DS97" s="531">
        <v>545397.0299999998</v>
      </c>
      <c r="DT97" s="530">
        <v>91866.540000000008</v>
      </c>
      <c r="DU97" s="530">
        <v>-2973.0599999999899</v>
      </c>
      <c r="DV97" s="530">
        <v>165442.6</v>
      </c>
      <c r="DW97" s="530">
        <v>0</v>
      </c>
    </row>
    <row r="98" spans="1:127" s="103" customFormat="1">
      <c r="A98" s="525">
        <v>1024</v>
      </c>
      <c r="B98" s="526" t="s">
        <v>901</v>
      </c>
      <c r="C98" s="525">
        <v>1024</v>
      </c>
      <c r="D98" s="527" t="s">
        <v>1284</v>
      </c>
      <c r="E98" s="527" t="s">
        <v>534</v>
      </c>
      <c r="F98" s="527" t="s">
        <v>5</v>
      </c>
      <c r="G98" s="527" t="s">
        <v>958</v>
      </c>
      <c r="H98" s="528">
        <v>646688</v>
      </c>
      <c r="I98" s="528">
        <v>0</v>
      </c>
      <c r="J98" s="528">
        <v>1196</v>
      </c>
      <c r="K98" s="528">
        <v>0</v>
      </c>
      <c r="L98" s="528">
        <v>0</v>
      </c>
      <c r="M98" s="528">
        <v>8957</v>
      </c>
      <c r="N98" s="528">
        <v>14000</v>
      </c>
      <c r="O98" s="528">
        <v>7000</v>
      </c>
      <c r="P98" s="528">
        <v>0</v>
      </c>
      <c r="Q98" s="528">
        <v>4569</v>
      </c>
      <c r="R98" s="528">
        <v>0</v>
      </c>
      <c r="S98" s="528">
        <v>0</v>
      </c>
      <c r="T98" s="528">
        <v>50818</v>
      </c>
      <c r="U98" s="528">
        <v>0</v>
      </c>
      <c r="V98" s="528">
        <v>0</v>
      </c>
      <c r="W98" s="528">
        <v>0</v>
      </c>
      <c r="X98" s="528">
        <v>0</v>
      </c>
      <c r="Y98" s="528">
        <v>733227</v>
      </c>
      <c r="Z98" s="528">
        <v>181924</v>
      </c>
      <c r="AA98" s="528">
        <v>0</v>
      </c>
      <c r="AB98" s="528">
        <v>166001</v>
      </c>
      <c r="AC98" s="528">
        <v>43084</v>
      </c>
      <c r="AD98" s="528">
        <v>51631</v>
      </c>
      <c r="AE98" s="528">
        <v>7262</v>
      </c>
      <c r="AF98" s="528">
        <v>0</v>
      </c>
      <c r="AG98" s="528">
        <v>1606</v>
      </c>
      <c r="AH98" s="528">
        <v>2754</v>
      </c>
      <c r="AI98" s="528">
        <v>0</v>
      </c>
      <c r="AJ98" s="528">
        <v>0</v>
      </c>
      <c r="AK98" s="528">
        <v>19842</v>
      </c>
      <c r="AL98" s="528">
        <v>208</v>
      </c>
      <c r="AM98" s="528">
        <v>2214</v>
      </c>
      <c r="AN98" s="528">
        <v>2715</v>
      </c>
      <c r="AO98" s="528">
        <v>15335</v>
      </c>
      <c r="AP98" s="528">
        <v>0</v>
      </c>
      <c r="AQ98" s="528">
        <v>10788</v>
      </c>
      <c r="AR98" s="528">
        <v>13336</v>
      </c>
      <c r="AS98" s="528">
        <v>0</v>
      </c>
      <c r="AT98" s="528">
        <v>0</v>
      </c>
      <c r="AU98" s="528">
        <v>3791</v>
      </c>
      <c r="AV98" s="528">
        <v>3292</v>
      </c>
      <c r="AW98" s="528">
        <v>0</v>
      </c>
      <c r="AX98" s="528">
        <v>14961</v>
      </c>
      <c r="AY98" s="528">
        <v>75914</v>
      </c>
      <c r="AZ98" s="528">
        <v>0</v>
      </c>
      <c r="BA98" s="528">
        <v>45684</v>
      </c>
      <c r="BB98" s="528">
        <v>0</v>
      </c>
      <c r="BC98" s="528">
        <v>0</v>
      </c>
      <c r="BD98" s="528">
        <v>0</v>
      </c>
      <c r="BE98" s="528">
        <v>662342</v>
      </c>
      <c r="BF98" s="528">
        <v>-565326.36</v>
      </c>
      <c r="BG98" s="528">
        <v>70886</v>
      </c>
      <c r="BH98" s="528">
        <v>-153895.79999999984</v>
      </c>
      <c r="BI98" s="528">
        <v>7532</v>
      </c>
      <c r="BJ98" s="528">
        <v>0</v>
      </c>
      <c r="BK98" s="528">
        <v>0</v>
      </c>
      <c r="BL98" s="528">
        <v>7532</v>
      </c>
      <c r="BM98" s="528">
        <v>0</v>
      </c>
      <c r="BN98" s="528">
        <v>0</v>
      </c>
      <c r="BO98" s="528">
        <v>0</v>
      </c>
      <c r="BP98" s="528">
        <v>0</v>
      </c>
      <c r="BQ98" s="528">
        <v>0</v>
      </c>
      <c r="BR98" s="528">
        <v>10409</v>
      </c>
      <c r="BS98" s="528">
        <v>7532</v>
      </c>
      <c r="BT98" s="528">
        <v>17941</v>
      </c>
      <c r="BU98" s="528">
        <v>0</v>
      </c>
      <c r="BV98" s="528">
        <v>0</v>
      </c>
      <c r="BW98" s="528">
        <v>0</v>
      </c>
      <c r="BX98" s="528">
        <v>0</v>
      </c>
      <c r="BY98" s="528">
        <v>0</v>
      </c>
      <c r="BZ98" s="528">
        <v>0</v>
      </c>
      <c r="CA98" s="528">
        <v>0</v>
      </c>
      <c r="CB98" s="528">
        <v>0</v>
      </c>
      <c r="CC98" s="528">
        <v>0</v>
      </c>
      <c r="CD98" s="528">
        <v>-153895.79999999984</v>
      </c>
      <c r="CE98" s="528">
        <v>0</v>
      </c>
      <c r="CF98" s="528">
        <v>17941</v>
      </c>
      <c r="CG98" s="528">
        <v>0</v>
      </c>
      <c r="CH98" s="528">
        <v>0</v>
      </c>
      <c r="CI98" s="528">
        <f t="shared" si="1"/>
        <v>-135954.79999999984</v>
      </c>
      <c r="CJ98" s="528">
        <v>0</v>
      </c>
      <c r="CK98" s="528">
        <v>0</v>
      </c>
      <c r="CL98" s="528">
        <v>0</v>
      </c>
      <c r="CM98" s="528">
        <v>0</v>
      </c>
      <c r="CN98" s="528">
        <v>0</v>
      </c>
      <c r="CO98" s="528">
        <v>0</v>
      </c>
      <c r="CP98" s="528">
        <v>0</v>
      </c>
      <c r="CQ98" s="528">
        <v>0</v>
      </c>
      <c r="CR98" s="528">
        <v>0</v>
      </c>
      <c r="CS98" s="528">
        <v>0</v>
      </c>
      <c r="CT98" s="528">
        <v>0</v>
      </c>
      <c r="CU98" s="528">
        <v>0</v>
      </c>
      <c r="CV98" s="528">
        <v>0</v>
      </c>
      <c r="CW98" s="528">
        <v>0</v>
      </c>
      <c r="CX98" s="528"/>
      <c r="CY98" s="528"/>
      <c r="CZ98" s="528"/>
      <c r="DA98" s="528">
        <v>-518141.99999999983</v>
      </c>
      <c r="DB98" s="528">
        <v>-518141.99999999983</v>
      </c>
      <c r="DC98" s="528">
        <v>0</v>
      </c>
      <c r="DD98" s="528">
        <v>47252</v>
      </c>
      <c r="DE98" s="528">
        <v>0</v>
      </c>
      <c r="DF98" s="528">
        <v>0</v>
      </c>
      <c r="DG98" s="528">
        <v>-5609</v>
      </c>
      <c r="DH98" s="528">
        <v>0</v>
      </c>
      <c r="DI98" s="528">
        <v>0</v>
      </c>
      <c r="DJ98" s="528">
        <v>0</v>
      </c>
      <c r="DK98" s="528">
        <v>41643</v>
      </c>
      <c r="DL98" s="528">
        <v>0</v>
      </c>
      <c r="DM98" s="528">
        <v>0</v>
      </c>
      <c r="DN98" s="528">
        <v>0</v>
      </c>
      <c r="DO98" s="528">
        <v>0</v>
      </c>
      <c r="DP98" s="528">
        <v>0</v>
      </c>
      <c r="DQ98" s="529">
        <v>0</v>
      </c>
      <c r="DR98" s="530">
        <v>451508</v>
      </c>
      <c r="DS98" s="531">
        <v>210834</v>
      </c>
      <c r="DT98" s="530">
        <v>75914</v>
      </c>
      <c r="DU98" s="530">
        <v>62387</v>
      </c>
      <c r="DV98" s="530">
        <v>0</v>
      </c>
      <c r="DW98" s="530">
        <v>0</v>
      </c>
    </row>
    <row r="99" spans="1:127" s="103" customFormat="1">
      <c r="A99" s="525">
        <v>7062</v>
      </c>
      <c r="B99" s="526" t="s">
        <v>689</v>
      </c>
      <c r="C99" s="525">
        <v>7062</v>
      </c>
      <c r="D99" s="527" t="s">
        <v>1284</v>
      </c>
      <c r="E99" s="527" t="s">
        <v>553</v>
      </c>
      <c r="F99" s="527" t="s">
        <v>5</v>
      </c>
      <c r="G99" s="527" t="s">
        <v>535</v>
      </c>
      <c r="H99" s="528">
        <v>1653467.24</v>
      </c>
      <c r="I99" s="528">
        <v>0</v>
      </c>
      <c r="J99" s="528">
        <v>2871433.71</v>
      </c>
      <c r="K99" s="528">
        <v>0</v>
      </c>
      <c r="L99" s="528">
        <v>131820</v>
      </c>
      <c r="M99" s="528">
        <v>800</v>
      </c>
      <c r="N99" s="528">
        <v>0</v>
      </c>
      <c r="O99" s="528">
        <v>0</v>
      </c>
      <c r="P99" s="528">
        <v>291210.76</v>
      </c>
      <c r="Q99" s="528">
        <v>167357.68</v>
      </c>
      <c r="R99" s="528">
        <v>0</v>
      </c>
      <c r="S99" s="528">
        <v>0</v>
      </c>
      <c r="T99" s="528">
        <v>6014.54</v>
      </c>
      <c r="U99" s="528">
        <v>0</v>
      </c>
      <c r="V99" s="528">
        <v>0</v>
      </c>
      <c r="W99" s="528">
        <v>34846.11</v>
      </c>
      <c r="X99" s="528">
        <v>16202</v>
      </c>
      <c r="Y99" s="528">
        <v>5173152.04</v>
      </c>
      <c r="Z99" s="528">
        <v>1561162.3800000022</v>
      </c>
      <c r="AA99" s="528">
        <v>0</v>
      </c>
      <c r="AB99" s="528">
        <v>1293558.1299999999</v>
      </c>
      <c r="AC99" s="528">
        <v>254376.6299999964</v>
      </c>
      <c r="AD99" s="528">
        <v>233355.17</v>
      </c>
      <c r="AE99" s="528">
        <v>29035.99</v>
      </c>
      <c r="AF99" s="528">
        <v>309902.4300000011</v>
      </c>
      <c r="AG99" s="528">
        <v>13493.34999999992</v>
      </c>
      <c r="AH99" s="528">
        <v>15521.439999999999</v>
      </c>
      <c r="AI99" s="528">
        <v>0</v>
      </c>
      <c r="AJ99" s="528">
        <v>0</v>
      </c>
      <c r="AK99" s="528">
        <v>16084.789999999999</v>
      </c>
      <c r="AL99" s="528">
        <v>4502.6899999999996</v>
      </c>
      <c r="AM99" s="528">
        <v>16069.81</v>
      </c>
      <c r="AN99" s="528">
        <v>9263</v>
      </c>
      <c r="AO99" s="528">
        <v>101930.85000000002</v>
      </c>
      <c r="AP99" s="528">
        <v>2147.34</v>
      </c>
      <c r="AQ99" s="528">
        <v>89718.21</v>
      </c>
      <c r="AR99" s="528">
        <v>98516.64</v>
      </c>
      <c r="AS99" s="528">
        <v>15923.44</v>
      </c>
      <c r="AT99" s="528">
        <v>71772.37</v>
      </c>
      <c r="AU99" s="528">
        <v>35947.790000000008</v>
      </c>
      <c r="AV99" s="528">
        <v>3291.75</v>
      </c>
      <c r="AW99" s="528">
        <v>1513</v>
      </c>
      <c r="AX99" s="528">
        <v>50758.630000000034</v>
      </c>
      <c r="AY99" s="528">
        <v>588341.73999999976</v>
      </c>
      <c r="AZ99" s="528">
        <v>56563.08</v>
      </c>
      <c r="BA99" s="528">
        <v>154706.86000000002</v>
      </c>
      <c r="BB99" s="528">
        <v>0</v>
      </c>
      <c r="BC99" s="528">
        <v>0</v>
      </c>
      <c r="BD99" s="528">
        <v>0</v>
      </c>
      <c r="BE99" s="528">
        <v>5027457.5100000007</v>
      </c>
      <c r="BF99" s="528">
        <v>660064.80999999947</v>
      </c>
      <c r="BG99" s="528">
        <v>145694.52999999933</v>
      </c>
      <c r="BH99" s="528">
        <v>805759.3399999988</v>
      </c>
      <c r="BI99" s="528">
        <v>10581.25</v>
      </c>
      <c r="BJ99" s="528">
        <v>0</v>
      </c>
      <c r="BK99" s="528">
        <v>0</v>
      </c>
      <c r="BL99" s="528">
        <v>10581.25</v>
      </c>
      <c r="BM99" s="528">
        <v>0</v>
      </c>
      <c r="BN99" s="528">
        <v>0</v>
      </c>
      <c r="BO99" s="528">
        <v>0</v>
      </c>
      <c r="BP99" s="528">
        <v>0</v>
      </c>
      <c r="BQ99" s="528">
        <v>0</v>
      </c>
      <c r="BR99" s="528">
        <v>42896.09</v>
      </c>
      <c r="BS99" s="528">
        <v>10581.25</v>
      </c>
      <c r="BT99" s="528">
        <v>53477.34</v>
      </c>
      <c r="BU99" s="528">
        <v>0</v>
      </c>
      <c r="BV99" s="528">
        <v>0</v>
      </c>
      <c r="BW99" s="528">
        <v>0</v>
      </c>
      <c r="BX99" s="528">
        <v>0</v>
      </c>
      <c r="BY99" s="528">
        <v>0</v>
      </c>
      <c r="BZ99" s="528">
        <v>0</v>
      </c>
      <c r="CA99" s="528">
        <v>0</v>
      </c>
      <c r="CB99" s="528">
        <v>0</v>
      </c>
      <c r="CC99" s="528">
        <v>0</v>
      </c>
      <c r="CD99" s="528">
        <v>805759.3399999988</v>
      </c>
      <c r="CE99" s="528">
        <v>0</v>
      </c>
      <c r="CF99" s="528">
        <v>53477.34</v>
      </c>
      <c r="CG99" s="528">
        <v>0</v>
      </c>
      <c r="CH99" s="528">
        <v>0</v>
      </c>
      <c r="CI99" s="528">
        <f t="shared" si="1"/>
        <v>859236.67999999877</v>
      </c>
      <c r="CJ99" s="528">
        <v>1067269.1000000001</v>
      </c>
      <c r="CK99" s="528">
        <v>0</v>
      </c>
      <c r="CL99" s="528">
        <v>0</v>
      </c>
      <c r="CM99" s="528">
        <v>1067269.1000000001</v>
      </c>
      <c r="CN99" s="528">
        <v>0</v>
      </c>
      <c r="CO99" s="528">
        <v>0</v>
      </c>
      <c r="CP99" s="528">
        <v>15157.73</v>
      </c>
      <c r="CQ99" s="528">
        <v>0</v>
      </c>
      <c r="CR99" s="528">
        <v>-412282.73</v>
      </c>
      <c r="CS99" s="528">
        <v>670144.10000000009</v>
      </c>
      <c r="CT99" s="528">
        <v>0</v>
      </c>
      <c r="CU99" s="528">
        <v>0</v>
      </c>
      <c r="CV99" s="528">
        <v>0</v>
      </c>
      <c r="CW99" s="528">
        <v>0</v>
      </c>
      <c r="CX99" s="528"/>
      <c r="CY99" s="528"/>
      <c r="CZ99" s="528"/>
      <c r="DA99" s="528">
        <v>0</v>
      </c>
      <c r="DB99" s="528">
        <v>0</v>
      </c>
      <c r="DC99" s="528">
        <v>0</v>
      </c>
      <c r="DD99" s="528">
        <v>249625.66</v>
      </c>
      <c r="DE99" s="528">
        <v>3970.15</v>
      </c>
      <c r="DF99" s="528">
        <v>0</v>
      </c>
      <c r="DG99" s="528">
        <v>-64503.57</v>
      </c>
      <c r="DH99" s="528">
        <v>0</v>
      </c>
      <c r="DI99" s="528">
        <v>0</v>
      </c>
      <c r="DJ99" s="528">
        <v>0</v>
      </c>
      <c r="DK99" s="528">
        <v>189092.24</v>
      </c>
      <c r="DL99" s="528">
        <v>0</v>
      </c>
      <c r="DM99" s="528">
        <v>0</v>
      </c>
      <c r="DN99" s="528">
        <v>0</v>
      </c>
      <c r="DO99" s="528">
        <v>0</v>
      </c>
      <c r="DP99" s="528">
        <v>0</v>
      </c>
      <c r="DQ99" s="529">
        <v>0.33999999985098839</v>
      </c>
      <c r="DR99" s="530">
        <v>3694884.08</v>
      </c>
      <c r="DS99" s="531">
        <v>1332573.4300000006</v>
      </c>
      <c r="DT99" s="530">
        <v>588341.73999999976</v>
      </c>
      <c r="DU99" s="530">
        <v>464582.98</v>
      </c>
      <c r="DV99" s="530">
        <v>0</v>
      </c>
      <c r="DW99" s="530">
        <v>0</v>
      </c>
    </row>
    <row r="100" spans="1:127" s="103" customFormat="1">
      <c r="A100" s="525">
        <v>2462</v>
      </c>
      <c r="B100" s="526" t="s">
        <v>691</v>
      </c>
      <c r="C100" s="525">
        <v>2462</v>
      </c>
      <c r="D100" s="527" t="s">
        <v>1284</v>
      </c>
      <c r="E100" s="527" t="s">
        <v>538</v>
      </c>
      <c r="F100" s="527" t="s">
        <v>5</v>
      </c>
      <c r="G100" s="527" t="s">
        <v>535</v>
      </c>
      <c r="H100" s="528">
        <v>2104095.67</v>
      </c>
      <c r="I100" s="528">
        <v>0</v>
      </c>
      <c r="J100" s="528">
        <v>34470.980000000003</v>
      </c>
      <c r="K100" s="528">
        <v>0</v>
      </c>
      <c r="L100" s="528">
        <v>55707</v>
      </c>
      <c r="M100" s="528">
        <v>711666</v>
      </c>
      <c r="N100" s="528">
        <v>40776</v>
      </c>
      <c r="O100" s="528">
        <v>31432</v>
      </c>
      <c r="P100" s="528">
        <v>38629.86</v>
      </c>
      <c r="Q100" s="528">
        <v>84932.31</v>
      </c>
      <c r="R100" s="528">
        <v>0</v>
      </c>
      <c r="S100" s="528">
        <v>0</v>
      </c>
      <c r="T100" s="528">
        <v>66064.850000000006</v>
      </c>
      <c r="U100" s="528">
        <v>20281.009999999998</v>
      </c>
      <c r="V100" s="528">
        <v>0</v>
      </c>
      <c r="W100" s="528">
        <v>2403.13</v>
      </c>
      <c r="X100" s="528">
        <v>101531</v>
      </c>
      <c r="Y100" s="528">
        <v>3291989.8099999996</v>
      </c>
      <c r="Z100" s="528">
        <v>1234342.45</v>
      </c>
      <c r="AA100" s="528">
        <v>0</v>
      </c>
      <c r="AB100" s="528">
        <v>327579.85000000003</v>
      </c>
      <c r="AC100" s="528">
        <v>19346.72</v>
      </c>
      <c r="AD100" s="528">
        <v>165546.46</v>
      </c>
      <c r="AE100" s="528">
        <v>0</v>
      </c>
      <c r="AF100" s="528">
        <v>158415.77000000002</v>
      </c>
      <c r="AG100" s="528">
        <v>1960.9</v>
      </c>
      <c r="AH100" s="528">
        <v>7459.71</v>
      </c>
      <c r="AI100" s="528">
        <v>0</v>
      </c>
      <c r="AJ100" s="528">
        <v>0</v>
      </c>
      <c r="AK100" s="528">
        <v>21225.9</v>
      </c>
      <c r="AL100" s="528">
        <v>4287.96</v>
      </c>
      <c r="AM100" s="528">
        <v>51392.3</v>
      </c>
      <c r="AN100" s="528">
        <v>9252.7799999999988</v>
      </c>
      <c r="AO100" s="528">
        <v>44917.33</v>
      </c>
      <c r="AP100" s="528">
        <v>54589.67</v>
      </c>
      <c r="AQ100" s="528">
        <v>11252.56</v>
      </c>
      <c r="AR100" s="528">
        <v>102627.87</v>
      </c>
      <c r="AS100" s="528">
        <v>24627.640000000003</v>
      </c>
      <c r="AT100" s="528">
        <v>0</v>
      </c>
      <c r="AU100" s="528">
        <v>65210.92</v>
      </c>
      <c r="AV100" s="528">
        <v>9471</v>
      </c>
      <c r="AW100" s="528">
        <v>442675.39</v>
      </c>
      <c r="AX100" s="528">
        <v>200256.72999999998</v>
      </c>
      <c r="AY100" s="528">
        <v>37759.61</v>
      </c>
      <c r="AZ100" s="528">
        <v>28051.870000000003</v>
      </c>
      <c r="BA100" s="528">
        <v>376198.56</v>
      </c>
      <c r="BB100" s="528">
        <v>0</v>
      </c>
      <c r="BC100" s="528">
        <v>0</v>
      </c>
      <c r="BD100" s="528">
        <v>0</v>
      </c>
      <c r="BE100" s="528">
        <v>3398449.95</v>
      </c>
      <c r="BF100" s="528">
        <v>730779.20999999973</v>
      </c>
      <c r="BG100" s="528">
        <v>-106460.1400000006</v>
      </c>
      <c r="BH100" s="528">
        <v>624319.06999999913</v>
      </c>
      <c r="BI100" s="528">
        <v>8741.8799999999992</v>
      </c>
      <c r="BJ100" s="528">
        <v>0</v>
      </c>
      <c r="BK100" s="528">
        <v>0</v>
      </c>
      <c r="BL100" s="528">
        <v>8741.8799999999992</v>
      </c>
      <c r="BM100" s="528">
        <v>0</v>
      </c>
      <c r="BN100" s="528">
        <v>0</v>
      </c>
      <c r="BO100" s="528">
        <v>19156.05</v>
      </c>
      <c r="BP100" s="528">
        <v>0</v>
      </c>
      <c r="BQ100" s="528">
        <v>19156.05</v>
      </c>
      <c r="BR100" s="528">
        <v>14805</v>
      </c>
      <c r="BS100" s="528">
        <v>-10414.17</v>
      </c>
      <c r="BT100" s="528">
        <v>4390.83</v>
      </c>
      <c r="BU100" s="528">
        <v>0</v>
      </c>
      <c r="BV100" s="528">
        <v>0</v>
      </c>
      <c r="BW100" s="528">
        <v>0</v>
      </c>
      <c r="BX100" s="528">
        <v>0</v>
      </c>
      <c r="BY100" s="528">
        <v>0</v>
      </c>
      <c r="BZ100" s="528">
        <v>0</v>
      </c>
      <c r="CA100" s="528">
        <v>0</v>
      </c>
      <c r="CB100" s="528">
        <v>0</v>
      </c>
      <c r="CC100" s="528">
        <v>0</v>
      </c>
      <c r="CD100" s="528">
        <v>678279.99</v>
      </c>
      <c r="CE100" s="528">
        <v>0</v>
      </c>
      <c r="CF100" s="528">
        <v>4390.83</v>
      </c>
      <c r="CG100" s="528">
        <v>0</v>
      </c>
      <c r="CH100" s="528">
        <v>0</v>
      </c>
      <c r="CI100" s="528">
        <f t="shared" si="1"/>
        <v>682670.82</v>
      </c>
      <c r="CJ100" s="528">
        <v>780027.15</v>
      </c>
      <c r="CK100" s="528">
        <v>5971.39</v>
      </c>
      <c r="CL100" s="528">
        <v>0</v>
      </c>
      <c r="CM100" s="528">
        <v>774055.76</v>
      </c>
      <c r="CN100" s="528">
        <v>0</v>
      </c>
      <c r="CO100" s="528">
        <v>0</v>
      </c>
      <c r="CP100" s="528">
        <v>5178.2299999999996</v>
      </c>
      <c r="CQ100" s="528">
        <v>0</v>
      </c>
      <c r="CR100" s="528">
        <v>0</v>
      </c>
      <c r="CS100" s="528">
        <v>779233.99</v>
      </c>
      <c r="CT100" s="528">
        <v>1005.2</v>
      </c>
      <c r="CU100" s="528">
        <v>0</v>
      </c>
      <c r="CV100" s="528">
        <v>0</v>
      </c>
      <c r="CW100" s="528">
        <v>1005.2</v>
      </c>
      <c r="CX100" s="528"/>
      <c r="CY100" s="528"/>
      <c r="CZ100" s="528"/>
      <c r="DA100" s="528">
        <v>0</v>
      </c>
      <c r="DB100" s="528">
        <v>1005.2</v>
      </c>
      <c r="DC100" s="528">
        <v>14719.05</v>
      </c>
      <c r="DD100" s="528">
        <v>0</v>
      </c>
      <c r="DE100" s="528">
        <v>7054.94</v>
      </c>
      <c r="DF100" s="528">
        <v>0</v>
      </c>
      <c r="DG100" s="528">
        <v>-18330.11</v>
      </c>
      <c r="DH100" s="528">
        <v>-53960.92</v>
      </c>
      <c r="DI100" s="528">
        <v>0</v>
      </c>
      <c r="DJ100" s="528">
        <v>-20425.830000000002</v>
      </c>
      <c r="DK100" s="528">
        <v>-70942.87</v>
      </c>
      <c r="DL100" s="528">
        <v>4500</v>
      </c>
      <c r="DM100" s="528">
        <v>71096.06</v>
      </c>
      <c r="DN100" s="528">
        <v>0</v>
      </c>
      <c r="DO100" s="528">
        <v>-156182.46</v>
      </c>
      <c r="DP100" s="528">
        <v>0</v>
      </c>
      <c r="DQ100" s="529">
        <v>-2.0000000135041773E-2</v>
      </c>
      <c r="DR100" s="530">
        <v>1907192.15</v>
      </c>
      <c r="DS100" s="531">
        <v>1491257.8000000003</v>
      </c>
      <c r="DT100" s="530">
        <v>37759.61</v>
      </c>
      <c r="DU100" s="530">
        <v>221059.02</v>
      </c>
      <c r="DV100" s="530">
        <v>20281.009999999998</v>
      </c>
      <c r="DW100" s="530">
        <v>-80586.399999999994</v>
      </c>
    </row>
    <row r="101" spans="1:127" s="103" customFormat="1">
      <c r="A101" s="525">
        <v>7012</v>
      </c>
      <c r="B101" s="526" t="s">
        <v>693</v>
      </c>
      <c r="C101" s="525">
        <v>7012</v>
      </c>
      <c r="D101" s="527" t="s">
        <v>1284</v>
      </c>
      <c r="E101" s="527" t="s">
        <v>553</v>
      </c>
      <c r="F101" s="527" t="s">
        <v>5</v>
      </c>
      <c r="G101" s="527" t="s">
        <v>535</v>
      </c>
      <c r="H101" s="528">
        <v>789559</v>
      </c>
      <c r="I101" s="528">
        <v>0</v>
      </c>
      <c r="J101" s="528">
        <v>653322</v>
      </c>
      <c r="K101" s="528">
        <v>0</v>
      </c>
      <c r="L101" s="528">
        <v>51800</v>
      </c>
      <c r="M101" s="528">
        <v>0</v>
      </c>
      <c r="N101" s="528">
        <v>0</v>
      </c>
      <c r="O101" s="528">
        <v>0</v>
      </c>
      <c r="P101" s="528">
        <v>271794</v>
      </c>
      <c r="Q101" s="528">
        <v>17689</v>
      </c>
      <c r="R101" s="528">
        <v>0</v>
      </c>
      <c r="S101" s="528">
        <v>0</v>
      </c>
      <c r="T101" s="528">
        <v>0</v>
      </c>
      <c r="U101" s="528">
        <v>0</v>
      </c>
      <c r="V101" s="528">
        <v>0</v>
      </c>
      <c r="W101" s="528">
        <v>9194</v>
      </c>
      <c r="X101" s="528">
        <v>22004</v>
      </c>
      <c r="Y101" s="528">
        <v>1815362</v>
      </c>
      <c r="Z101" s="528">
        <v>632686</v>
      </c>
      <c r="AA101" s="528">
        <v>-1570</v>
      </c>
      <c r="AB101" s="528">
        <v>-9215</v>
      </c>
      <c r="AC101" s="528">
        <v>488924</v>
      </c>
      <c r="AD101" s="528">
        <v>0</v>
      </c>
      <c r="AE101" s="528">
        <v>0</v>
      </c>
      <c r="AF101" s="528">
        <v>480439</v>
      </c>
      <c r="AG101" s="528">
        <v>17372</v>
      </c>
      <c r="AH101" s="528">
        <v>185</v>
      </c>
      <c r="AI101" s="528">
        <v>0</v>
      </c>
      <c r="AJ101" s="528">
        <v>0</v>
      </c>
      <c r="AK101" s="528">
        <v>158</v>
      </c>
      <c r="AL101" s="528">
        <v>0</v>
      </c>
      <c r="AM101" s="528">
        <v>1220</v>
      </c>
      <c r="AN101" s="528">
        <v>0</v>
      </c>
      <c r="AO101" s="528">
        <v>17794</v>
      </c>
      <c r="AP101" s="528">
        <v>0</v>
      </c>
      <c r="AQ101" s="528">
        <v>233</v>
      </c>
      <c r="AR101" s="528">
        <v>250645</v>
      </c>
      <c r="AS101" s="528">
        <v>1279</v>
      </c>
      <c r="AT101" s="528">
        <v>630</v>
      </c>
      <c r="AU101" s="528">
        <v>75901</v>
      </c>
      <c r="AV101" s="528">
        <v>3292</v>
      </c>
      <c r="AW101" s="528">
        <v>0</v>
      </c>
      <c r="AX101" s="528">
        <v>73158.62</v>
      </c>
      <c r="AY101" s="528">
        <v>0</v>
      </c>
      <c r="AZ101" s="528">
        <v>0</v>
      </c>
      <c r="BA101" s="528">
        <v>17185</v>
      </c>
      <c r="BB101" s="528">
        <v>0</v>
      </c>
      <c r="BC101" s="528">
        <v>0</v>
      </c>
      <c r="BD101" s="528">
        <v>0</v>
      </c>
      <c r="BE101" s="528">
        <v>2050316.62</v>
      </c>
      <c r="BF101" s="528">
        <v>103482</v>
      </c>
      <c r="BG101" s="528">
        <v>-234954.62000000011</v>
      </c>
      <c r="BH101" s="528">
        <v>-131472.62000000011</v>
      </c>
      <c r="BI101" s="528">
        <v>7038</v>
      </c>
      <c r="BJ101" s="528">
        <v>0</v>
      </c>
      <c r="BK101" s="528">
        <v>0</v>
      </c>
      <c r="BL101" s="528">
        <v>7038</v>
      </c>
      <c r="BM101" s="528">
        <v>0</v>
      </c>
      <c r="BN101" s="528">
        <v>4695</v>
      </c>
      <c r="BO101" s="528">
        <v>0</v>
      </c>
      <c r="BP101" s="528">
        <v>0</v>
      </c>
      <c r="BQ101" s="528">
        <v>4695</v>
      </c>
      <c r="BR101" s="528">
        <v>36285</v>
      </c>
      <c r="BS101" s="528">
        <v>2342</v>
      </c>
      <c r="BT101" s="528">
        <v>38628</v>
      </c>
      <c r="BU101" s="528">
        <v>0</v>
      </c>
      <c r="BV101" s="528">
        <v>0</v>
      </c>
      <c r="BW101" s="528">
        <v>0</v>
      </c>
      <c r="BX101" s="528">
        <v>0</v>
      </c>
      <c r="BY101" s="528">
        <v>0</v>
      </c>
      <c r="BZ101" s="528">
        <v>0</v>
      </c>
      <c r="CA101" s="528">
        <v>0</v>
      </c>
      <c r="CB101" s="528">
        <v>0</v>
      </c>
      <c r="CC101" s="528">
        <v>0</v>
      </c>
      <c r="CD101" s="528">
        <v>-131472.62000000011</v>
      </c>
      <c r="CE101" s="528">
        <v>0</v>
      </c>
      <c r="CF101" s="528">
        <v>38628</v>
      </c>
      <c r="CG101" s="528">
        <v>0</v>
      </c>
      <c r="CH101" s="528">
        <v>0</v>
      </c>
      <c r="CI101" s="528">
        <f t="shared" si="1"/>
        <v>-92844.620000000112</v>
      </c>
      <c r="CJ101" s="528">
        <v>202306</v>
      </c>
      <c r="CK101" s="528">
        <v>0</v>
      </c>
      <c r="CL101" s="528">
        <v>0</v>
      </c>
      <c r="CM101" s="528">
        <v>202306</v>
      </c>
      <c r="CN101" s="528">
        <v>0</v>
      </c>
      <c r="CO101" s="528">
        <v>0</v>
      </c>
      <c r="CP101" s="528">
        <v>0</v>
      </c>
      <c r="CQ101" s="528">
        <v>0</v>
      </c>
      <c r="CR101" s="528">
        <v>-280165</v>
      </c>
      <c r="CS101" s="528">
        <v>-77859</v>
      </c>
      <c r="CT101" s="528">
        <v>0</v>
      </c>
      <c r="CU101" s="528">
        <v>0</v>
      </c>
      <c r="CV101" s="528">
        <v>0</v>
      </c>
      <c r="CW101" s="528">
        <v>0</v>
      </c>
      <c r="CX101" s="528"/>
      <c r="CY101" s="528"/>
      <c r="CZ101" s="528"/>
      <c r="DA101" s="528">
        <v>0</v>
      </c>
      <c r="DB101" s="528">
        <v>0</v>
      </c>
      <c r="DC101" s="528">
        <v>0</v>
      </c>
      <c r="DD101" s="528">
        <v>95</v>
      </c>
      <c r="DE101" s="528">
        <v>0</v>
      </c>
      <c r="DF101" s="528">
        <v>0</v>
      </c>
      <c r="DG101" s="528">
        <v>0</v>
      </c>
      <c r="DH101" s="528">
        <v>-15080.62</v>
      </c>
      <c r="DI101" s="528">
        <v>0</v>
      </c>
      <c r="DJ101" s="528">
        <v>0</v>
      </c>
      <c r="DK101" s="528">
        <v>-14985.62</v>
      </c>
      <c r="DL101" s="528">
        <v>0</v>
      </c>
      <c r="DM101" s="528">
        <v>0</v>
      </c>
      <c r="DN101" s="528">
        <v>0</v>
      </c>
      <c r="DO101" s="528">
        <v>0</v>
      </c>
      <c r="DP101" s="528">
        <v>0</v>
      </c>
      <c r="DQ101" s="529">
        <v>-0.01</v>
      </c>
      <c r="DR101" s="530">
        <v>1608636</v>
      </c>
      <c r="DS101" s="531">
        <v>441680.62000000011</v>
      </c>
      <c r="DT101" s="530">
        <v>0</v>
      </c>
      <c r="DU101" s="530">
        <v>289483</v>
      </c>
      <c r="DV101" s="530">
        <v>0</v>
      </c>
      <c r="DW101" s="530">
        <v>0</v>
      </c>
    </row>
    <row r="102" spans="1:127" s="103" customFormat="1">
      <c r="A102" s="525">
        <v>2127</v>
      </c>
      <c r="B102" s="526" t="s">
        <v>695</v>
      </c>
      <c r="C102" s="525">
        <v>2127</v>
      </c>
      <c r="D102" s="527" t="s">
        <v>1284</v>
      </c>
      <c r="E102" s="527" t="s">
        <v>538</v>
      </c>
      <c r="F102" s="527" t="s">
        <v>5</v>
      </c>
      <c r="G102" s="527" t="s">
        <v>535</v>
      </c>
      <c r="H102" s="528">
        <v>2759902.69</v>
      </c>
      <c r="I102" s="528">
        <v>0</v>
      </c>
      <c r="J102" s="528">
        <v>178241.43</v>
      </c>
      <c r="K102" s="528">
        <v>0</v>
      </c>
      <c r="L102" s="528">
        <v>362600</v>
      </c>
      <c r="M102" s="528">
        <v>7885.64</v>
      </c>
      <c r="N102" s="528">
        <v>0</v>
      </c>
      <c r="O102" s="528">
        <v>0</v>
      </c>
      <c r="P102" s="528">
        <v>19872.93</v>
      </c>
      <c r="Q102" s="528">
        <v>1270.9000000000001</v>
      </c>
      <c r="R102" s="528">
        <v>0</v>
      </c>
      <c r="S102" s="528">
        <v>0</v>
      </c>
      <c r="T102" s="528">
        <v>14243.6</v>
      </c>
      <c r="U102" s="528">
        <v>18564.61</v>
      </c>
      <c r="V102" s="528">
        <v>0</v>
      </c>
      <c r="W102" s="528">
        <v>258.13</v>
      </c>
      <c r="X102" s="528">
        <v>57382</v>
      </c>
      <c r="Y102" s="528">
        <v>3420221.93</v>
      </c>
      <c r="Z102" s="528">
        <v>1359889.66</v>
      </c>
      <c r="AA102" s="528">
        <v>0</v>
      </c>
      <c r="AB102" s="528">
        <v>488862.78</v>
      </c>
      <c r="AC102" s="528">
        <v>0</v>
      </c>
      <c r="AD102" s="528">
        <v>196614.13</v>
      </c>
      <c r="AE102" s="528">
        <v>0</v>
      </c>
      <c r="AF102" s="528">
        <v>97019.03</v>
      </c>
      <c r="AG102" s="528">
        <v>10860.04</v>
      </c>
      <c r="AH102" s="528">
        <v>6947.6</v>
      </c>
      <c r="AI102" s="528">
        <v>0</v>
      </c>
      <c r="AJ102" s="528">
        <v>11252.12</v>
      </c>
      <c r="AK102" s="528">
        <v>2829.96</v>
      </c>
      <c r="AL102" s="528">
        <v>0</v>
      </c>
      <c r="AM102" s="528">
        <v>0</v>
      </c>
      <c r="AN102" s="528">
        <v>16626.490000000002</v>
      </c>
      <c r="AO102" s="528">
        <v>120690.17000000001</v>
      </c>
      <c r="AP102" s="528">
        <v>64578.17</v>
      </c>
      <c r="AQ102" s="528">
        <v>26059.14</v>
      </c>
      <c r="AR102" s="528">
        <v>51873.32</v>
      </c>
      <c r="AS102" s="528">
        <v>76364.95</v>
      </c>
      <c r="AT102" s="528">
        <v>0</v>
      </c>
      <c r="AU102" s="528">
        <v>40636.089999999997</v>
      </c>
      <c r="AV102" s="528">
        <v>0</v>
      </c>
      <c r="AW102" s="528">
        <v>1610</v>
      </c>
      <c r="AX102" s="528">
        <v>184440.94</v>
      </c>
      <c r="AY102" s="528">
        <v>362845.2</v>
      </c>
      <c r="AZ102" s="528">
        <v>14420.76</v>
      </c>
      <c r="BA102" s="528">
        <v>103895.67</v>
      </c>
      <c r="BB102" s="528">
        <v>296998.67</v>
      </c>
      <c r="BC102" s="528">
        <v>0</v>
      </c>
      <c r="BD102" s="528">
        <v>0</v>
      </c>
      <c r="BE102" s="528">
        <v>3535314.8899999997</v>
      </c>
      <c r="BF102" s="528">
        <v>429121.32000000041</v>
      </c>
      <c r="BG102" s="528">
        <v>-115092.9599999995</v>
      </c>
      <c r="BH102" s="528">
        <v>314028.36000000092</v>
      </c>
      <c r="BI102" s="528">
        <v>9015.25</v>
      </c>
      <c r="BJ102" s="528">
        <v>0</v>
      </c>
      <c r="BK102" s="528">
        <v>0</v>
      </c>
      <c r="BL102" s="528">
        <v>9015.25</v>
      </c>
      <c r="BM102" s="528">
        <v>0</v>
      </c>
      <c r="BN102" s="528">
        <v>0</v>
      </c>
      <c r="BO102" s="528">
        <v>0</v>
      </c>
      <c r="BP102" s="528">
        <v>0</v>
      </c>
      <c r="BQ102" s="528">
        <v>0</v>
      </c>
      <c r="BR102" s="528">
        <v>36941.53</v>
      </c>
      <c r="BS102" s="528">
        <v>9015.25</v>
      </c>
      <c r="BT102" s="528">
        <v>45956.78</v>
      </c>
      <c r="BU102" s="528">
        <v>0</v>
      </c>
      <c r="BV102" s="528">
        <v>0</v>
      </c>
      <c r="BW102" s="528">
        <v>0</v>
      </c>
      <c r="BX102" s="528">
        <v>0</v>
      </c>
      <c r="BY102" s="528">
        <v>0</v>
      </c>
      <c r="BZ102" s="528">
        <v>0</v>
      </c>
      <c r="CA102" s="528">
        <v>0</v>
      </c>
      <c r="CB102" s="528">
        <v>0</v>
      </c>
      <c r="CC102" s="528">
        <v>0</v>
      </c>
      <c r="CD102" s="528">
        <v>314028.36000000092</v>
      </c>
      <c r="CE102" s="528">
        <v>0</v>
      </c>
      <c r="CF102" s="528">
        <v>45956.78</v>
      </c>
      <c r="CG102" s="528">
        <v>0</v>
      </c>
      <c r="CH102" s="528">
        <v>0</v>
      </c>
      <c r="CI102" s="528">
        <f t="shared" si="1"/>
        <v>359985.14000000095</v>
      </c>
      <c r="CJ102" s="528">
        <v>661121.15</v>
      </c>
      <c r="CK102" s="528">
        <v>81841.509999999995</v>
      </c>
      <c r="CL102" s="528">
        <v>0</v>
      </c>
      <c r="CM102" s="528">
        <v>579279.64</v>
      </c>
      <c r="CN102" s="528">
        <v>0</v>
      </c>
      <c r="CO102" s="528">
        <v>0</v>
      </c>
      <c r="CP102" s="528">
        <v>10350.85</v>
      </c>
      <c r="CQ102" s="528">
        <v>12525.230000000001</v>
      </c>
      <c r="CR102" s="528">
        <v>-182699.02</v>
      </c>
      <c r="CS102" s="528">
        <v>419456.69999999995</v>
      </c>
      <c r="CT102" s="528">
        <v>0</v>
      </c>
      <c r="CU102" s="528">
        <v>0</v>
      </c>
      <c r="CV102" s="528">
        <v>0</v>
      </c>
      <c r="CW102" s="528">
        <v>0</v>
      </c>
      <c r="CX102" s="528"/>
      <c r="CY102" s="528"/>
      <c r="CZ102" s="528"/>
      <c r="DA102" s="528">
        <v>0</v>
      </c>
      <c r="DB102" s="528">
        <v>0</v>
      </c>
      <c r="DC102" s="528">
        <v>0</v>
      </c>
      <c r="DD102" s="528">
        <v>0</v>
      </c>
      <c r="DE102" s="528">
        <v>0</v>
      </c>
      <c r="DF102" s="528">
        <v>0</v>
      </c>
      <c r="DG102" s="528">
        <v>-59109.47</v>
      </c>
      <c r="DH102" s="528">
        <v>-361.9</v>
      </c>
      <c r="DI102" s="528">
        <v>0</v>
      </c>
      <c r="DJ102" s="528">
        <v>0</v>
      </c>
      <c r="DK102" s="528">
        <v>-59471.37</v>
      </c>
      <c r="DL102" s="528">
        <v>0</v>
      </c>
      <c r="DM102" s="528">
        <v>0</v>
      </c>
      <c r="DN102" s="528">
        <v>0</v>
      </c>
      <c r="DO102" s="528">
        <v>0</v>
      </c>
      <c r="DP102" s="528">
        <v>0</v>
      </c>
      <c r="DQ102" s="529">
        <v>-0.18999999994412065</v>
      </c>
      <c r="DR102" s="530">
        <v>2153245.6399999997</v>
      </c>
      <c r="DS102" s="531">
        <v>1382069.25</v>
      </c>
      <c r="DT102" s="530">
        <v>362845.2</v>
      </c>
      <c r="DU102" s="530">
        <v>35387.43</v>
      </c>
      <c r="DV102" s="530">
        <v>18564.61</v>
      </c>
      <c r="DW102" s="530">
        <v>0</v>
      </c>
    </row>
    <row r="103" spans="1:127" s="103" customFormat="1">
      <c r="A103" s="525">
        <v>2129</v>
      </c>
      <c r="B103" s="526" t="s">
        <v>697</v>
      </c>
      <c r="C103" s="525">
        <v>2129</v>
      </c>
      <c r="D103" s="527" t="s">
        <v>1284</v>
      </c>
      <c r="E103" s="527" t="s">
        <v>538</v>
      </c>
      <c r="F103" s="527" t="s">
        <v>5</v>
      </c>
      <c r="G103" s="527" t="s">
        <v>535</v>
      </c>
      <c r="H103" s="528">
        <v>1484315.9000000001</v>
      </c>
      <c r="I103" s="528">
        <v>0</v>
      </c>
      <c r="J103" s="528">
        <v>179452.41</v>
      </c>
      <c r="K103" s="528">
        <v>0</v>
      </c>
      <c r="L103" s="528">
        <v>88750</v>
      </c>
      <c r="M103" s="528">
        <v>2342.5700000000002</v>
      </c>
      <c r="N103" s="528">
        <v>0</v>
      </c>
      <c r="O103" s="528">
        <v>0</v>
      </c>
      <c r="P103" s="528">
        <v>77002.600000000006</v>
      </c>
      <c r="Q103" s="528">
        <v>0</v>
      </c>
      <c r="R103" s="528">
        <v>0</v>
      </c>
      <c r="S103" s="528">
        <v>0</v>
      </c>
      <c r="T103" s="528">
        <v>4675.3</v>
      </c>
      <c r="U103" s="528">
        <v>6028.99</v>
      </c>
      <c r="V103" s="528">
        <v>0</v>
      </c>
      <c r="W103" s="528">
        <v>4548</v>
      </c>
      <c r="X103" s="528">
        <v>99764</v>
      </c>
      <c r="Y103" s="528">
        <v>1946879.7700000003</v>
      </c>
      <c r="Z103" s="528">
        <v>879605.42</v>
      </c>
      <c r="AA103" s="528">
        <v>0</v>
      </c>
      <c r="AB103" s="528">
        <v>171244.26</v>
      </c>
      <c r="AC103" s="528">
        <v>84213.25</v>
      </c>
      <c r="AD103" s="528">
        <v>159771.79</v>
      </c>
      <c r="AE103" s="528">
        <v>0</v>
      </c>
      <c r="AF103" s="528">
        <v>57311.63</v>
      </c>
      <c r="AG103" s="528">
        <v>8212.56</v>
      </c>
      <c r="AH103" s="528">
        <v>8056.97</v>
      </c>
      <c r="AI103" s="528">
        <v>0</v>
      </c>
      <c r="AJ103" s="528">
        <v>0</v>
      </c>
      <c r="AK103" s="528">
        <v>19065.740000000002</v>
      </c>
      <c r="AL103" s="528">
        <v>4231.21</v>
      </c>
      <c r="AM103" s="528">
        <v>15885.61</v>
      </c>
      <c r="AN103" s="528">
        <v>1274.53</v>
      </c>
      <c r="AO103" s="528">
        <v>129130.62</v>
      </c>
      <c r="AP103" s="528">
        <v>17553.5</v>
      </c>
      <c r="AQ103" s="528">
        <v>11699.743333333334</v>
      </c>
      <c r="AR103" s="528">
        <v>54292.21</v>
      </c>
      <c r="AS103" s="528">
        <v>12945.102254901962</v>
      </c>
      <c r="AT103" s="528">
        <v>0</v>
      </c>
      <c r="AU103" s="528">
        <v>31183.610833333332</v>
      </c>
      <c r="AV103" s="528">
        <v>6525</v>
      </c>
      <c r="AW103" s="528">
        <v>0</v>
      </c>
      <c r="AX103" s="528">
        <v>82011.34</v>
      </c>
      <c r="AY103" s="528">
        <v>276632.71000000002</v>
      </c>
      <c r="AZ103" s="528">
        <v>10323.200000000001</v>
      </c>
      <c r="BA103" s="528">
        <v>71246.320000000007</v>
      </c>
      <c r="BB103" s="528">
        <v>0</v>
      </c>
      <c r="BC103" s="528">
        <v>0</v>
      </c>
      <c r="BD103" s="528">
        <v>0</v>
      </c>
      <c r="BE103" s="528">
        <v>2112416.3264215691</v>
      </c>
      <c r="BF103" s="528">
        <v>215618.48999999967</v>
      </c>
      <c r="BG103" s="528">
        <v>-165536.55642156885</v>
      </c>
      <c r="BH103" s="528">
        <v>50081.93357843082</v>
      </c>
      <c r="BI103" s="528">
        <v>7150</v>
      </c>
      <c r="BJ103" s="528">
        <v>0</v>
      </c>
      <c r="BK103" s="528">
        <v>0</v>
      </c>
      <c r="BL103" s="528">
        <v>7150</v>
      </c>
      <c r="BM103" s="528">
        <v>0</v>
      </c>
      <c r="BN103" s="528">
        <v>27457.19</v>
      </c>
      <c r="BO103" s="528">
        <v>0</v>
      </c>
      <c r="BP103" s="528">
        <v>6484.85</v>
      </c>
      <c r="BQ103" s="528">
        <v>33942.04</v>
      </c>
      <c r="BR103" s="528">
        <v>57198.510000000009</v>
      </c>
      <c r="BS103" s="528">
        <v>-26792.04</v>
      </c>
      <c r="BT103" s="528">
        <v>30406.470000000008</v>
      </c>
      <c r="BU103" s="528">
        <v>0</v>
      </c>
      <c r="BV103" s="528">
        <v>0</v>
      </c>
      <c r="BW103" s="528">
        <v>0</v>
      </c>
      <c r="BX103" s="528">
        <v>0</v>
      </c>
      <c r="BY103" s="528">
        <v>0</v>
      </c>
      <c r="BZ103" s="528">
        <v>0</v>
      </c>
      <c r="CA103" s="528">
        <v>0</v>
      </c>
      <c r="CB103" s="528">
        <v>0</v>
      </c>
      <c r="CC103" s="528">
        <v>0</v>
      </c>
      <c r="CD103" s="528">
        <v>50081.93</v>
      </c>
      <c r="CE103" s="528">
        <v>0</v>
      </c>
      <c r="CF103" s="528">
        <v>30406.47</v>
      </c>
      <c r="CG103" s="528">
        <v>0</v>
      </c>
      <c r="CH103" s="528">
        <v>0</v>
      </c>
      <c r="CI103" s="528">
        <f t="shared" si="1"/>
        <v>80488.399999999994</v>
      </c>
      <c r="CJ103" s="528">
        <v>197094.75</v>
      </c>
      <c r="CK103" s="528">
        <v>38940.730000000003</v>
      </c>
      <c r="CL103" s="528">
        <v>249.63</v>
      </c>
      <c r="CM103" s="528">
        <v>158403.65</v>
      </c>
      <c r="CN103" s="528">
        <v>0</v>
      </c>
      <c r="CO103" s="528">
        <v>0</v>
      </c>
      <c r="CP103" s="528">
        <v>9989.86</v>
      </c>
      <c r="CQ103" s="528">
        <v>9427.3700000000026</v>
      </c>
      <c r="CR103" s="528">
        <v>0</v>
      </c>
      <c r="CS103" s="528">
        <v>177820.88</v>
      </c>
      <c r="CT103" s="528">
        <v>22442.97</v>
      </c>
      <c r="CU103" s="528">
        <v>0</v>
      </c>
      <c r="CV103" s="528">
        <v>0</v>
      </c>
      <c r="CW103" s="528">
        <v>22442.97</v>
      </c>
      <c r="CX103" s="528"/>
      <c r="CY103" s="528"/>
      <c r="CZ103" s="528"/>
      <c r="DA103" s="528">
        <v>0</v>
      </c>
      <c r="DB103" s="528">
        <v>22442.97</v>
      </c>
      <c r="DC103" s="528">
        <v>0</v>
      </c>
      <c r="DD103" s="528">
        <v>2029.82</v>
      </c>
      <c r="DE103" s="528">
        <v>2896.9</v>
      </c>
      <c r="DF103" s="528">
        <v>0</v>
      </c>
      <c r="DG103" s="528">
        <v>-7255.12</v>
      </c>
      <c r="DH103" s="528">
        <v>0</v>
      </c>
      <c r="DI103" s="528">
        <v>0</v>
      </c>
      <c r="DJ103" s="528">
        <v>0</v>
      </c>
      <c r="DK103" s="528">
        <v>-2328.3999999999996</v>
      </c>
      <c r="DL103" s="528">
        <v>0</v>
      </c>
      <c r="DM103" s="528">
        <v>0</v>
      </c>
      <c r="DN103" s="528">
        <v>-455.52</v>
      </c>
      <c r="DO103" s="528">
        <v>-116991.19</v>
      </c>
      <c r="DP103" s="528">
        <v>0</v>
      </c>
      <c r="DQ103" s="529">
        <v>-0.34000000002561137</v>
      </c>
      <c r="DR103" s="530">
        <v>1360358.9100000001</v>
      </c>
      <c r="DS103" s="531">
        <v>752057.41642156895</v>
      </c>
      <c r="DT103" s="530">
        <v>276632.71000000002</v>
      </c>
      <c r="DU103" s="530">
        <v>81677.900000000009</v>
      </c>
      <c r="DV103" s="530">
        <v>6028.99</v>
      </c>
      <c r="DW103" s="530">
        <v>-117446.71</v>
      </c>
    </row>
    <row r="104" spans="1:127" s="103" customFormat="1">
      <c r="A104" s="525">
        <v>2128</v>
      </c>
      <c r="B104" s="526" t="s">
        <v>699</v>
      </c>
      <c r="C104" s="525">
        <v>2128</v>
      </c>
      <c r="D104" s="527" t="s">
        <v>1284</v>
      </c>
      <c r="E104" s="527" t="s">
        <v>538</v>
      </c>
      <c r="F104" s="527" t="s">
        <v>5</v>
      </c>
      <c r="G104" s="527" t="s">
        <v>535</v>
      </c>
      <c r="H104" s="528">
        <v>2024922.51</v>
      </c>
      <c r="I104" s="528">
        <v>0</v>
      </c>
      <c r="J104" s="528">
        <v>161929.53</v>
      </c>
      <c r="K104" s="528">
        <v>0</v>
      </c>
      <c r="L104" s="528">
        <v>182560</v>
      </c>
      <c r="M104" s="528">
        <v>4456.93</v>
      </c>
      <c r="N104" s="528">
        <v>0</v>
      </c>
      <c r="O104" s="528">
        <v>0</v>
      </c>
      <c r="P104" s="528">
        <v>112305.31</v>
      </c>
      <c r="Q104" s="528">
        <v>39006.720000000001</v>
      </c>
      <c r="R104" s="528">
        <v>0</v>
      </c>
      <c r="S104" s="528">
        <v>0</v>
      </c>
      <c r="T104" s="528">
        <v>15913.21</v>
      </c>
      <c r="U104" s="528">
        <v>0</v>
      </c>
      <c r="V104" s="528">
        <v>0</v>
      </c>
      <c r="W104" s="528">
        <v>7708.75</v>
      </c>
      <c r="X104" s="528">
        <v>19649</v>
      </c>
      <c r="Y104" s="528">
        <v>2568451.9600000004</v>
      </c>
      <c r="Z104" s="528">
        <v>1280477.92</v>
      </c>
      <c r="AA104" s="528">
        <v>0</v>
      </c>
      <c r="AB104" s="528">
        <v>195160.79</v>
      </c>
      <c r="AC104" s="528">
        <v>33485.65</v>
      </c>
      <c r="AD104" s="528">
        <v>117430.39</v>
      </c>
      <c r="AE104" s="528">
        <v>143555.97</v>
      </c>
      <c r="AF104" s="528">
        <v>50059.59</v>
      </c>
      <c r="AG104" s="528">
        <v>7965.83</v>
      </c>
      <c r="AH104" s="528">
        <v>8263.5</v>
      </c>
      <c r="AI104" s="528">
        <v>0</v>
      </c>
      <c r="AJ104" s="528">
        <v>0</v>
      </c>
      <c r="AK104" s="528">
        <v>34046.620000000003</v>
      </c>
      <c r="AL104" s="528">
        <v>7349.95</v>
      </c>
      <c r="AM104" s="528">
        <v>46052.04</v>
      </c>
      <c r="AN104" s="528">
        <v>7578.66</v>
      </c>
      <c r="AO104" s="528">
        <v>90078.14</v>
      </c>
      <c r="AP104" s="528">
        <v>20960.28</v>
      </c>
      <c r="AQ104" s="528">
        <v>15390.54</v>
      </c>
      <c r="AR104" s="528">
        <v>80874.006666666668</v>
      </c>
      <c r="AS104" s="528">
        <v>18422.240000000002</v>
      </c>
      <c r="AT104" s="528">
        <v>0</v>
      </c>
      <c r="AU104" s="528">
        <v>27526.615000000002</v>
      </c>
      <c r="AV104" s="528">
        <v>10121</v>
      </c>
      <c r="AW104" s="528">
        <v>10200</v>
      </c>
      <c r="AX104" s="528">
        <v>94145.09</v>
      </c>
      <c r="AY104" s="528">
        <v>69692.11</v>
      </c>
      <c r="AZ104" s="528">
        <v>72200.816249999989</v>
      </c>
      <c r="BA104" s="528">
        <v>169044.54</v>
      </c>
      <c r="BB104" s="528">
        <v>0</v>
      </c>
      <c r="BC104" s="528">
        <v>0</v>
      </c>
      <c r="BD104" s="528">
        <v>0</v>
      </c>
      <c r="BE104" s="528">
        <v>2610082.2879166668</v>
      </c>
      <c r="BF104" s="528">
        <v>255150.15999999963</v>
      </c>
      <c r="BG104" s="528">
        <v>-41630.3279166664</v>
      </c>
      <c r="BH104" s="528">
        <v>213519.83208333323</v>
      </c>
      <c r="BI104" s="528">
        <v>8072.5</v>
      </c>
      <c r="BJ104" s="528">
        <v>0</v>
      </c>
      <c r="BK104" s="528">
        <v>0</v>
      </c>
      <c r="BL104" s="528">
        <v>8072.5</v>
      </c>
      <c r="BM104" s="528">
        <v>0</v>
      </c>
      <c r="BN104" s="528">
        <v>0</v>
      </c>
      <c r="BO104" s="528">
        <v>0</v>
      </c>
      <c r="BP104" s="528">
        <v>3472.72</v>
      </c>
      <c r="BQ104" s="528">
        <v>3472.72</v>
      </c>
      <c r="BR104" s="528">
        <v>71566.59</v>
      </c>
      <c r="BS104" s="528">
        <v>4599.7800000000007</v>
      </c>
      <c r="BT104" s="528">
        <v>76166.37</v>
      </c>
      <c r="BU104" s="528">
        <v>0</v>
      </c>
      <c r="BV104" s="528">
        <v>0</v>
      </c>
      <c r="BW104" s="528">
        <v>0</v>
      </c>
      <c r="BX104" s="528">
        <v>0</v>
      </c>
      <c r="BY104" s="528">
        <v>0</v>
      </c>
      <c r="BZ104" s="528">
        <v>0</v>
      </c>
      <c r="CA104" s="528">
        <v>0</v>
      </c>
      <c r="CB104" s="528">
        <v>0</v>
      </c>
      <c r="CC104" s="528">
        <v>0</v>
      </c>
      <c r="CD104" s="528">
        <v>213519.83208333323</v>
      </c>
      <c r="CE104" s="528">
        <v>0</v>
      </c>
      <c r="CF104" s="528">
        <v>76166.37</v>
      </c>
      <c r="CG104" s="528">
        <v>0</v>
      </c>
      <c r="CH104" s="528">
        <v>0</v>
      </c>
      <c r="CI104" s="528">
        <f t="shared" si="1"/>
        <v>289686.20208333322</v>
      </c>
      <c r="CJ104" s="528">
        <v>404045.9</v>
      </c>
      <c r="CK104" s="528">
        <v>20443.53</v>
      </c>
      <c r="CL104" s="528">
        <v>7564.92</v>
      </c>
      <c r="CM104" s="528">
        <v>391167.29</v>
      </c>
      <c r="CN104" s="528">
        <v>0</v>
      </c>
      <c r="CO104" s="528">
        <v>0</v>
      </c>
      <c r="CP104" s="528">
        <v>7366.95</v>
      </c>
      <c r="CQ104" s="528">
        <v>41695.26</v>
      </c>
      <c r="CR104" s="528">
        <v>0</v>
      </c>
      <c r="CS104" s="528">
        <v>440229.5</v>
      </c>
      <c r="CT104" s="528">
        <v>79.37</v>
      </c>
      <c r="CU104" s="528">
        <v>0</v>
      </c>
      <c r="CV104" s="528">
        <v>0</v>
      </c>
      <c r="CW104" s="528">
        <v>79.37</v>
      </c>
      <c r="CX104" s="528"/>
      <c r="CY104" s="528"/>
      <c r="CZ104" s="528"/>
      <c r="DA104" s="528">
        <v>0</v>
      </c>
      <c r="DB104" s="528">
        <v>79.37</v>
      </c>
      <c r="DC104" s="528">
        <v>0</v>
      </c>
      <c r="DD104" s="528">
        <v>1988.33</v>
      </c>
      <c r="DE104" s="528">
        <v>9567.9599999999991</v>
      </c>
      <c r="DF104" s="528">
        <v>0</v>
      </c>
      <c r="DG104" s="528">
        <v>-9240.6200000000008</v>
      </c>
      <c r="DH104" s="528">
        <v>0</v>
      </c>
      <c r="DI104" s="528">
        <v>0</v>
      </c>
      <c r="DJ104" s="528">
        <v>0</v>
      </c>
      <c r="DK104" s="528">
        <v>2315.6699999999983</v>
      </c>
      <c r="DL104" s="528">
        <v>0</v>
      </c>
      <c r="DM104" s="528">
        <v>0</v>
      </c>
      <c r="DN104" s="528">
        <v>0</v>
      </c>
      <c r="DO104" s="528">
        <v>-152938.54</v>
      </c>
      <c r="DP104" s="528">
        <v>0</v>
      </c>
      <c r="DQ104" s="529"/>
      <c r="DR104" s="530">
        <v>1828136.14</v>
      </c>
      <c r="DS104" s="531">
        <v>781946.14791666693</v>
      </c>
      <c r="DT104" s="530">
        <v>69692.11</v>
      </c>
      <c r="DU104" s="530">
        <v>167225.24</v>
      </c>
      <c r="DV104" s="530">
        <v>0</v>
      </c>
      <c r="DW104" s="530">
        <v>-152938.54</v>
      </c>
    </row>
    <row r="105" spans="1:127" s="103" customFormat="1">
      <c r="A105" s="525">
        <v>2420</v>
      </c>
      <c r="B105" s="526" t="s">
        <v>701</v>
      </c>
      <c r="C105" s="525">
        <v>2420</v>
      </c>
      <c r="D105" s="527" t="s">
        <v>1284</v>
      </c>
      <c r="E105" s="527" t="s">
        <v>538</v>
      </c>
      <c r="F105" s="527" t="s">
        <v>5</v>
      </c>
      <c r="G105" s="527" t="s">
        <v>535</v>
      </c>
      <c r="H105" s="528">
        <v>2053237</v>
      </c>
      <c r="I105" s="528">
        <v>0</v>
      </c>
      <c r="J105" s="528">
        <v>86104</v>
      </c>
      <c r="K105" s="528">
        <v>0</v>
      </c>
      <c r="L105" s="528">
        <v>40450</v>
      </c>
      <c r="M105" s="528">
        <v>4714</v>
      </c>
      <c r="N105" s="528">
        <v>0</v>
      </c>
      <c r="O105" s="528">
        <v>0</v>
      </c>
      <c r="P105" s="528">
        <v>72953</v>
      </c>
      <c r="Q105" s="528">
        <v>0</v>
      </c>
      <c r="R105" s="528">
        <v>0</v>
      </c>
      <c r="S105" s="528">
        <v>0</v>
      </c>
      <c r="T105" s="528">
        <v>242064</v>
      </c>
      <c r="U105" s="528">
        <v>0</v>
      </c>
      <c r="V105" s="528">
        <v>0</v>
      </c>
      <c r="W105" s="528">
        <v>629</v>
      </c>
      <c r="X105" s="528">
        <v>99795</v>
      </c>
      <c r="Y105" s="528">
        <v>2599946</v>
      </c>
      <c r="Z105" s="528">
        <v>1003410</v>
      </c>
      <c r="AA105" s="528">
        <v>4363</v>
      </c>
      <c r="AB105" s="528">
        <v>2522</v>
      </c>
      <c r="AC105" s="528">
        <v>382136</v>
      </c>
      <c r="AD105" s="528">
        <v>406</v>
      </c>
      <c r="AE105" s="528">
        <v>0</v>
      </c>
      <c r="AF105" s="528">
        <v>537381</v>
      </c>
      <c r="AG105" s="528">
        <v>26945</v>
      </c>
      <c r="AH105" s="528">
        <v>1289</v>
      </c>
      <c r="AI105" s="528">
        <v>0</v>
      </c>
      <c r="AJ105" s="528">
        <v>0</v>
      </c>
      <c r="AK105" s="528">
        <v>6016</v>
      </c>
      <c r="AL105" s="528">
        <v>0</v>
      </c>
      <c r="AM105" s="528">
        <v>0</v>
      </c>
      <c r="AN105" s="528">
        <v>0</v>
      </c>
      <c r="AO105" s="528">
        <v>39291</v>
      </c>
      <c r="AP105" s="528">
        <v>24536</v>
      </c>
      <c r="AQ105" s="528">
        <v>3058</v>
      </c>
      <c r="AR105" s="528">
        <v>599122</v>
      </c>
      <c r="AS105" s="528">
        <v>97</v>
      </c>
      <c r="AT105" s="528">
        <v>0</v>
      </c>
      <c r="AU105" s="528">
        <v>4594</v>
      </c>
      <c r="AV105" s="528">
        <v>9471</v>
      </c>
      <c r="AW105" s="528">
        <v>0</v>
      </c>
      <c r="AX105" s="528">
        <v>-7157</v>
      </c>
      <c r="AY105" s="528">
        <v>-5640</v>
      </c>
      <c r="AZ105" s="528">
        <v>10479</v>
      </c>
      <c r="BA105" s="528">
        <v>56968</v>
      </c>
      <c r="BB105" s="528">
        <v>0</v>
      </c>
      <c r="BC105" s="528">
        <v>0</v>
      </c>
      <c r="BD105" s="528">
        <v>0</v>
      </c>
      <c r="BE105" s="528">
        <v>2699287</v>
      </c>
      <c r="BF105" s="528">
        <v>384081</v>
      </c>
      <c r="BG105" s="528">
        <v>-99341</v>
      </c>
      <c r="BH105" s="528">
        <v>284740</v>
      </c>
      <c r="BI105" s="528">
        <v>14770</v>
      </c>
      <c r="BJ105" s="528">
        <v>0</v>
      </c>
      <c r="BK105" s="528">
        <v>0</v>
      </c>
      <c r="BL105" s="528">
        <v>14770</v>
      </c>
      <c r="BM105" s="528">
        <v>0</v>
      </c>
      <c r="BN105" s="528">
        <v>29935</v>
      </c>
      <c r="BO105" s="528">
        <v>0</v>
      </c>
      <c r="BP105" s="528">
        <v>0</v>
      </c>
      <c r="BQ105" s="528">
        <v>29935</v>
      </c>
      <c r="BR105" s="528">
        <v>22179</v>
      </c>
      <c r="BS105" s="528">
        <v>-15165</v>
      </c>
      <c r="BT105" s="528">
        <v>7014</v>
      </c>
      <c r="BU105" s="528">
        <v>0</v>
      </c>
      <c r="BV105" s="528">
        <v>0</v>
      </c>
      <c r="BW105" s="528">
        <v>0</v>
      </c>
      <c r="BX105" s="528">
        <v>0</v>
      </c>
      <c r="BY105" s="528">
        <v>0</v>
      </c>
      <c r="BZ105" s="528">
        <v>0</v>
      </c>
      <c r="CA105" s="528">
        <v>0</v>
      </c>
      <c r="CB105" s="528">
        <v>0</v>
      </c>
      <c r="CC105" s="528">
        <v>0</v>
      </c>
      <c r="CD105" s="528">
        <v>284740</v>
      </c>
      <c r="CE105" s="528">
        <v>0</v>
      </c>
      <c r="CF105" s="528">
        <v>7014</v>
      </c>
      <c r="CG105" s="528">
        <v>0</v>
      </c>
      <c r="CH105" s="528">
        <v>0</v>
      </c>
      <c r="CI105" s="528">
        <f t="shared" si="1"/>
        <v>291754</v>
      </c>
      <c r="CJ105" s="528">
        <v>622136</v>
      </c>
      <c r="CK105" s="528">
        <v>0</v>
      </c>
      <c r="CL105" s="528">
        <v>0</v>
      </c>
      <c r="CM105" s="528">
        <v>622136</v>
      </c>
      <c r="CN105" s="528">
        <v>0</v>
      </c>
      <c r="CO105" s="528">
        <v>0</v>
      </c>
      <c r="CP105" s="528">
        <v>11088</v>
      </c>
      <c r="CQ105" s="528">
        <v>0</v>
      </c>
      <c r="CR105" s="528">
        <v>-353158</v>
      </c>
      <c r="CS105" s="528">
        <v>280066</v>
      </c>
      <c r="CT105" s="528">
        <v>0</v>
      </c>
      <c r="CU105" s="528">
        <v>0</v>
      </c>
      <c r="CV105" s="528">
        <v>0</v>
      </c>
      <c r="CW105" s="528">
        <v>0</v>
      </c>
      <c r="CX105" s="528"/>
      <c r="CY105" s="528"/>
      <c r="CZ105" s="528"/>
      <c r="DA105" s="528">
        <v>0</v>
      </c>
      <c r="DB105" s="528">
        <v>0</v>
      </c>
      <c r="DC105" s="528">
        <v>0</v>
      </c>
      <c r="DD105" s="528">
        <v>11919</v>
      </c>
      <c r="DE105" s="528">
        <v>0</v>
      </c>
      <c r="DF105" s="528">
        <v>0</v>
      </c>
      <c r="DG105" s="528">
        <v>0</v>
      </c>
      <c r="DH105" s="528">
        <v>-231</v>
      </c>
      <c r="DI105" s="528">
        <v>0</v>
      </c>
      <c r="DJ105" s="528">
        <v>0</v>
      </c>
      <c r="DK105" s="528">
        <v>11688</v>
      </c>
      <c r="DL105" s="528">
        <v>0</v>
      </c>
      <c r="DM105" s="528">
        <v>0</v>
      </c>
      <c r="DN105" s="528">
        <v>0</v>
      </c>
      <c r="DO105" s="528">
        <v>0</v>
      </c>
      <c r="DP105" s="528">
        <v>0</v>
      </c>
      <c r="DQ105" s="529">
        <v>-0.01</v>
      </c>
      <c r="DR105" s="530">
        <v>1957163</v>
      </c>
      <c r="DS105" s="531">
        <v>742124</v>
      </c>
      <c r="DT105" s="530">
        <v>-5640</v>
      </c>
      <c r="DU105" s="530">
        <v>315017</v>
      </c>
      <c r="DV105" s="530">
        <v>0</v>
      </c>
      <c r="DW105" s="530">
        <v>0</v>
      </c>
    </row>
    <row r="106" spans="1:127" s="103" customFormat="1">
      <c r="A106" s="525">
        <v>2004</v>
      </c>
      <c r="B106" s="526" t="s">
        <v>903</v>
      </c>
      <c r="C106" s="525">
        <v>2004</v>
      </c>
      <c r="D106" s="527" t="s">
        <v>1284</v>
      </c>
      <c r="E106" s="527" t="s">
        <v>538</v>
      </c>
      <c r="F106" s="527" t="s">
        <v>5</v>
      </c>
      <c r="G106" s="527" t="s">
        <v>958</v>
      </c>
      <c r="H106" s="528">
        <v>1844309.44</v>
      </c>
      <c r="I106" s="528">
        <v>0</v>
      </c>
      <c r="J106" s="528">
        <v>47170.89</v>
      </c>
      <c r="K106" s="528">
        <v>0</v>
      </c>
      <c r="L106" s="528">
        <v>199410</v>
      </c>
      <c r="M106" s="528">
        <v>400</v>
      </c>
      <c r="N106" s="528">
        <v>0</v>
      </c>
      <c r="O106" s="528">
        <v>0</v>
      </c>
      <c r="P106" s="528">
        <v>44423.140000000014</v>
      </c>
      <c r="Q106" s="528">
        <v>28528.31</v>
      </c>
      <c r="R106" s="528">
        <v>0</v>
      </c>
      <c r="S106" s="528">
        <v>0</v>
      </c>
      <c r="T106" s="528">
        <v>2.4700000000000002</v>
      </c>
      <c r="U106" s="528">
        <v>0</v>
      </c>
      <c r="V106" s="528">
        <v>0</v>
      </c>
      <c r="W106" s="528">
        <v>10910.75</v>
      </c>
      <c r="X106" s="528">
        <v>56325</v>
      </c>
      <c r="Y106" s="528">
        <v>2231480</v>
      </c>
      <c r="Z106" s="528">
        <v>1064714.4999999993</v>
      </c>
      <c r="AA106" s="528">
        <v>1438.15</v>
      </c>
      <c r="AB106" s="528">
        <v>-359.91</v>
      </c>
      <c r="AC106" s="528">
        <v>422938.86000000057</v>
      </c>
      <c r="AD106" s="528">
        <v>2414.1699999999992</v>
      </c>
      <c r="AE106" s="528">
        <v>0</v>
      </c>
      <c r="AF106" s="528">
        <v>231443.37999999977</v>
      </c>
      <c r="AG106" s="528">
        <v>14825.449999999997</v>
      </c>
      <c r="AH106" s="528">
        <v>2566</v>
      </c>
      <c r="AI106" s="528">
        <v>0</v>
      </c>
      <c r="AJ106" s="528">
        <v>0</v>
      </c>
      <c r="AK106" s="528">
        <v>18766.519999999997</v>
      </c>
      <c r="AL106" s="528">
        <v>0</v>
      </c>
      <c r="AM106" s="528">
        <v>18593.060000000001</v>
      </c>
      <c r="AN106" s="528">
        <v>4411.5000000000009</v>
      </c>
      <c r="AO106" s="528">
        <v>51619.37000000001</v>
      </c>
      <c r="AP106" s="528">
        <v>23631.7</v>
      </c>
      <c r="AQ106" s="528">
        <v>6639.4</v>
      </c>
      <c r="AR106" s="528">
        <v>39507.210000000006</v>
      </c>
      <c r="AS106" s="528">
        <v>564</v>
      </c>
      <c r="AT106" s="528">
        <v>24.04</v>
      </c>
      <c r="AU106" s="528">
        <v>9362.91</v>
      </c>
      <c r="AV106" s="528">
        <v>9471</v>
      </c>
      <c r="AW106" s="528">
        <v>4715</v>
      </c>
      <c r="AX106" s="528">
        <v>108676.65</v>
      </c>
      <c r="AY106" s="528">
        <v>67025.709999999992</v>
      </c>
      <c r="AZ106" s="528">
        <v>7821.84</v>
      </c>
      <c r="BA106" s="528">
        <v>159733.11999999997</v>
      </c>
      <c r="BB106" s="528">
        <v>0</v>
      </c>
      <c r="BC106" s="528">
        <v>0</v>
      </c>
      <c r="BD106" s="528">
        <v>0</v>
      </c>
      <c r="BE106" s="528">
        <v>2270543.6299999994</v>
      </c>
      <c r="BF106" s="528">
        <v>-22083.420000000362</v>
      </c>
      <c r="BG106" s="528">
        <v>-39063.629999999423</v>
      </c>
      <c r="BH106" s="528">
        <v>-61147.049999999785</v>
      </c>
      <c r="BI106" s="528">
        <v>7672</v>
      </c>
      <c r="BJ106" s="528">
        <v>0</v>
      </c>
      <c r="BK106" s="528">
        <v>0</v>
      </c>
      <c r="BL106" s="528">
        <v>7672</v>
      </c>
      <c r="BM106" s="528">
        <v>0</v>
      </c>
      <c r="BN106" s="528">
        <v>24023.279999999999</v>
      </c>
      <c r="BO106" s="528">
        <v>0</v>
      </c>
      <c r="BP106" s="528">
        <v>0</v>
      </c>
      <c r="BQ106" s="528">
        <v>24023.279999999999</v>
      </c>
      <c r="BR106" s="528">
        <v>55361.9</v>
      </c>
      <c r="BS106" s="528">
        <v>-16351.279999999999</v>
      </c>
      <c r="BT106" s="528">
        <v>39010.620000000003</v>
      </c>
      <c r="BU106" s="528">
        <v>0</v>
      </c>
      <c r="BV106" s="528">
        <v>0</v>
      </c>
      <c r="BW106" s="528">
        <v>0</v>
      </c>
      <c r="BX106" s="528">
        <v>0</v>
      </c>
      <c r="BY106" s="528">
        <v>0</v>
      </c>
      <c r="BZ106" s="528">
        <v>0</v>
      </c>
      <c r="CA106" s="528">
        <v>0</v>
      </c>
      <c r="CB106" s="528">
        <v>0</v>
      </c>
      <c r="CC106" s="528">
        <v>0</v>
      </c>
      <c r="CD106" s="528">
        <v>-61147.049999999785</v>
      </c>
      <c r="CE106" s="528">
        <v>0</v>
      </c>
      <c r="CF106" s="528">
        <v>39010.620000000003</v>
      </c>
      <c r="CG106" s="528">
        <v>0</v>
      </c>
      <c r="CH106" s="528">
        <v>0</v>
      </c>
      <c r="CI106" s="528">
        <f t="shared" si="1"/>
        <v>-22136.429999999782</v>
      </c>
      <c r="CJ106" s="528">
        <v>0</v>
      </c>
      <c r="CK106" s="528">
        <v>0</v>
      </c>
      <c r="CL106" s="528">
        <v>0</v>
      </c>
      <c r="CM106" s="528">
        <v>0</v>
      </c>
      <c r="CN106" s="528">
        <v>0</v>
      </c>
      <c r="CO106" s="528">
        <v>0</v>
      </c>
      <c r="CP106" s="528">
        <v>0</v>
      </c>
      <c r="CQ106" s="528">
        <v>0</v>
      </c>
      <c r="CR106" s="528">
        <v>0</v>
      </c>
      <c r="CS106" s="528">
        <v>0</v>
      </c>
      <c r="CT106" s="528">
        <v>0</v>
      </c>
      <c r="CU106" s="528">
        <v>0</v>
      </c>
      <c r="CV106" s="528">
        <v>0</v>
      </c>
      <c r="CW106" s="528">
        <v>0</v>
      </c>
      <c r="CX106" s="528"/>
      <c r="CY106" s="528"/>
      <c r="CZ106" s="528"/>
      <c r="DA106" s="528">
        <v>15450.750000000051</v>
      </c>
      <c r="DB106" s="528">
        <v>15450.750000000051</v>
      </c>
      <c r="DC106" s="528">
        <v>0</v>
      </c>
      <c r="DD106" s="528">
        <v>411.14</v>
      </c>
      <c r="DE106" s="528">
        <v>0</v>
      </c>
      <c r="DF106" s="528">
        <v>0</v>
      </c>
      <c r="DG106" s="528">
        <v>0</v>
      </c>
      <c r="DH106" s="528">
        <v>-37998.32</v>
      </c>
      <c r="DI106" s="528">
        <v>0</v>
      </c>
      <c r="DJ106" s="528">
        <v>0</v>
      </c>
      <c r="DK106" s="528">
        <v>-37587.18</v>
      </c>
      <c r="DL106" s="528">
        <v>0</v>
      </c>
      <c r="DM106" s="528">
        <v>0</v>
      </c>
      <c r="DN106" s="528">
        <v>0</v>
      </c>
      <c r="DO106" s="528">
        <v>0</v>
      </c>
      <c r="DP106" s="528">
        <v>0</v>
      </c>
      <c r="DQ106" s="529">
        <v>-4.7293724492192268E-11</v>
      </c>
      <c r="DR106" s="530">
        <v>1737414.5999999994</v>
      </c>
      <c r="DS106" s="531">
        <v>533129.03</v>
      </c>
      <c r="DT106" s="530">
        <v>67025.709999999992</v>
      </c>
      <c r="DU106" s="530">
        <v>72953.920000000013</v>
      </c>
      <c r="DV106" s="530">
        <v>0</v>
      </c>
      <c r="DW106" s="530">
        <v>0</v>
      </c>
    </row>
    <row r="107" spans="1:127" s="103" customFormat="1">
      <c r="A107" s="525">
        <v>1012</v>
      </c>
      <c r="B107" s="526" t="s">
        <v>703</v>
      </c>
      <c r="C107" s="525">
        <v>1012</v>
      </c>
      <c r="D107" s="527" t="s">
        <v>1284</v>
      </c>
      <c r="E107" s="527" t="s">
        <v>534</v>
      </c>
      <c r="F107" s="527" t="s">
        <v>5</v>
      </c>
      <c r="G107" s="527" t="s">
        <v>535</v>
      </c>
      <c r="H107" s="528">
        <v>809668.15</v>
      </c>
      <c r="I107" s="528">
        <v>0</v>
      </c>
      <c r="J107" s="528">
        <v>15378.33</v>
      </c>
      <c r="K107" s="528">
        <v>0</v>
      </c>
      <c r="L107" s="528">
        <v>0</v>
      </c>
      <c r="M107" s="528">
        <v>-900</v>
      </c>
      <c r="N107" s="528">
        <v>0</v>
      </c>
      <c r="O107" s="528">
        <v>0</v>
      </c>
      <c r="P107" s="528">
        <v>11635.62</v>
      </c>
      <c r="Q107" s="528">
        <v>0</v>
      </c>
      <c r="R107" s="528">
        <v>0</v>
      </c>
      <c r="S107" s="528">
        <v>0</v>
      </c>
      <c r="T107" s="528">
        <v>1640</v>
      </c>
      <c r="U107" s="528">
        <v>15000</v>
      </c>
      <c r="V107" s="528">
        <v>0</v>
      </c>
      <c r="W107" s="528">
        <v>0</v>
      </c>
      <c r="X107" s="528">
        <v>0</v>
      </c>
      <c r="Y107" s="528">
        <v>852422.1</v>
      </c>
      <c r="Z107" s="528">
        <v>326144.79000000027</v>
      </c>
      <c r="AA107" s="528">
        <v>0</v>
      </c>
      <c r="AB107" s="528">
        <v>181092.99000000002</v>
      </c>
      <c r="AC107" s="528">
        <v>0</v>
      </c>
      <c r="AD107" s="528">
        <v>30457.62</v>
      </c>
      <c r="AE107" s="528">
        <v>0</v>
      </c>
      <c r="AF107" s="528">
        <v>0</v>
      </c>
      <c r="AG107" s="528">
        <v>78.040000000003602</v>
      </c>
      <c r="AH107" s="528">
        <v>199.5</v>
      </c>
      <c r="AI107" s="528">
        <v>0</v>
      </c>
      <c r="AJ107" s="528">
        <v>0</v>
      </c>
      <c r="AK107" s="528">
        <v>35649.279999999999</v>
      </c>
      <c r="AL107" s="528">
        <v>2225</v>
      </c>
      <c r="AM107" s="528">
        <v>1485.35</v>
      </c>
      <c r="AN107" s="528">
        <v>2304.84</v>
      </c>
      <c r="AO107" s="528">
        <v>9525.7099999999991</v>
      </c>
      <c r="AP107" s="528">
        <v>0</v>
      </c>
      <c r="AQ107" s="528">
        <v>0</v>
      </c>
      <c r="AR107" s="528">
        <v>70369.600000000006</v>
      </c>
      <c r="AS107" s="528">
        <v>15</v>
      </c>
      <c r="AT107" s="528">
        <v>0</v>
      </c>
      <c r="AU107" s="528">
        <v>3193.119999999999</v>
      </c>
      <c r="AV107" s="528">
        <v>3291.75</v>
      </c>
      <c r="AW107" s="528">
        <v>0</v>
      </c>
      <c r="AX107" s="528">
        <v>6516.75</v>
      </c>
      <c r="AY107" s="528">
        <v>1555</v>
      </c>
      <c r="AZ107" s="528">
        <v>0</v>
      </c>
      <c r="BA107" s="528">
        <v>20731.979999999996</v>
      </c>
      <c r="BB107" s="528">
        <v>0</v>
      </c>
      <c r="BC107" s="528">
        <v>0</v>
      </c>
      <c r="BD107" s="528">
        <v>0</v>
      </c>
      <c r="BE107" s="528">
        <v>694836.32000000018</v>
      </c>
      <c r="BF107" s="528">
        <v>338021.99999999994</v>
      </c>
      <c r="BG107" s="528">
        <v>157585.7799999998</v>
      </c>
      <c r="BH107" s="528">
        <v>495607.77999999974</v>
      </c>
      <c r="BI107" s="528">
        <v>4945</v>
      </c>
      <c r="BJ107" s="528">
        <v>0</v>
      </c>
      <c r="BK107" s="528">
        <v>0</v>
      </c>
      <c r="BL107" s="528">
        <v>4945</v>
      </c>
      <c r="BM107" s="528">
        <v>0</v>
      </c>
      <c r="BN107" s="528">
        <v>0</v>
      </c>
      <c r="BO107" s="528">
        <v>0</v>
      </c>
      <c r="BP107" s="528">
        <v>0</v>
      </c>
      <c r="BQ107" s="528">
        <v>0</v>
      </c>
      <c r="BR107" s="528">
        <v>40513.949999999997</v>
      </c>
      <c r="BS107" s="528">
        <v>4945</v>
      </c>
      <c r="BT107" s="528">
        <v>45458.95</v>
      </c>
      <c r="BU107" s="528">
        <v>0</v>
      </c>
      <c r="BV107" s="528">
        <v>0</v>
      </c>
      <c r="BW107" s="528">
        <v>0</v>
      </c>
      <c r="BX107" s="528">
        <v>0</v>
      </c>
      <c r="BY107" s="528">
        <v>0</v>
      </c>
      <c r="BZ107" s="528">
        <v>0</v>
      </c>
      <c r="CA107" s="528">
        <v>0</v>
      </c>
      <c r="CB107" s="528">
        <v>0</v>
      </c>
      <c r="CC107" s="528">
        <v>0</v>
      </c>
      <c r="CD107" s="528">
        <v>495607.77999999974</v>
      </c>
      <c r="CE107" s="528">
        <v>0</v>
      </c>
      <c r="CF107" s="528">
        <v>45458.95</v>
      </c>
      <c r="CG107" s="528">
        <v>0</v>
      </c>
      <c r="CH107" s="528">
        <v>0</v>
      </c>
      <c r="CI107" s="528">
        <f t="shared" si="1"/>
        <v>541066.72999999975</v>
      </c>
      <c r="CJ107" s="528">
        <v>10368</v>
      </c>
      <c r="CK107" s="528">
        <v>0</v>
      </c>
      <c r="CL107" s="528">
        <v>0</v>
      </c>
      <c r="CM107" s="528">
        <v>10368</v>
      </c>
      <c r="CN107" s="528">
        <v>0</v>
      </c>
      <c r="CO107" s="528">
        <v>0</v>
      </c>
      <c r="CP107" s="528">
        <v>4191.83</v>
      </c>
      <c r="CQ107" s="528">
        <v>0</v>
      </c>
      <c r="CR107" s="528">
        <v>522472</v>
      </c>
      <c r="CS107" s="528">
        <v>537031.82999999996</v>
      </c>
      <c r="CT107" s="528">
        <v>0</v>
      </c>
      <c r="CU107" s="528">
        <v>0</v>
      </c>
      <c r="CV107" s="528">
        <v>0</v>
      </c>
      <c r="CW107" s="528">
        <v>0</v>
      </c>
      <c r="CX107" s="528"/>
      <c r="CY107" s="528"/>
      <c r="CZ107" s="528"/>
      <c r="DA107" s="528">
        <v>0</v>
      </c>
      <c r="DB107" s="528">
        <v>0</v>
      </c>
      <c r="DC107" s="528">
        <v>0</v>
      </c>
      <c r="DD107" s="528">
        <v>10405.620000000001</v>
      </c>
      <c r="DE107" s="528">
        <v>0</v>
      </c>
      <c r="DF107" s="528">
        <v>0</v>
      </c>
      <c r="DG107" s="528">
        <v>0</v>
      </c>
      <c r="DH107" s="528">
        <v>-6370.25</v>
      </c>
      <c r="DI107" s="528">
        <v>0</v>
      </c>
      <c r="DJ107" s="528">
        <v>0</v>
      </c>
      <c r="DK107" s="528">
        <v>4035.3700000000008</v>
      </c>
      <c r="DL107" s="528">
        <v>0</v>
      </c>
      <c r="DM107" s="528">
        <v>0</v>
      </c>
      <c r="DN107" s="528">
        <v>0</v>
      </c>
      <c r="DO107" s="528">
        <v>0</v>
      </c>
      <c r="DP107" s="528">
        <v>0</v>
      </c>
      <c r="DQ107" s="529">
        <v>-0.46999999997206032</v>
      </c>
      <c r="DR107" s="530">
        <v>537773.44000000029</v>
      </c>
      <c r="DS107" s="531">
        <v>157062.87999999989</v>
      </c>
      <c r="DT107" s="530">
        <v>1555</v>
      </c>
      <c r="DU107" s="530">
        <v>13275.62</v>
      </c>
      <c r="DV107" s="530">
        <v>15000</v>
      </c>
      <c r="DW107" s="530">
        <v>0</v>
      </c>
    </row>
    <row r="108" spans="1:127" s="103" customFormat="1">
      <c r="A108" s="525">
        <v>2133</v>
      </c>
      <c r="B108" s="526" t="s">
        <v>705</v>
      </c>
      <c r="C108" s="525">
        <v>2133</v>
      </c>
      <c r="D108" s="527" t="s">
        <v>1284</v>
      </c>
      <c r="E108" s="527" t="s">
        <v>538</v>
      </c>
      <c r="F108" s="527" t="s">
        <v>5</v>
      </c>
      <c r="G108" s="527" t="s">
        <v>535</v>
      </c>
      <c r="H108" s="528">
        <v>2648134.11</v>
      </c>
      <c r="I108" s="528">
        <v>0</v>
      </c>
      <c r="J108" s="528">
        <v>110590.78</v>
      </c>
      <c r="K108" s="528">
        <v>0</v>
      </c>
      <c r="L108" s="528">
        <v>279170</v>
      </c>
      <c r="M108" s="528">
        <v>3742.08</v>
      </c>
      <c r="N108" s="528">
        <v>0</v>
      </c>
      <c r="O108" s="528">
        <v>0</v>
      </c>
      <c r="P108" s="528">
        <v>40900.67</v>
      </c>
      <c r="Q108" s="528">
        <v>21843.05</v>
      </c>
      <c r="R108" s="528">
        <v>0</v>
      </c>
      <c r="S108" s="528">
        <v>0</v>
      </c>
      <c r="T108" s="528">
        <v>14479</v>
      </c>
      <c r="U108" s="528">
        <v>0</v>
      </c>
      <c r="V108" s="528">
        <v>0</v>
      </c>
      <c r="W108" s="528">
        <v>396.88</v>
      </c>
      <c r="X108" s="528">
        <v>78004</v>
      </c>
      <c r="Y108" s="528">
        <v>3197260.5699999994</v>
      </c>
      <c r="Z108" s="528">
        <v>1113989.3400000001</v>
      </c>
      <c r="AA108" s="528">
        <v>22105.91</v>
      </c>
      <c r="AB108" s="528">
        <v>558546.55999999994</v>
      </c>
      <c r="AC108" s="528">
        <v>0</v>
      </c>
      <c r="AD108" s="528">
        <v>138905.38</v>
      </c>
      <c r="AE108" s="528">
        <v>81977.489999999991</v>
      </c>
      <c r="AF108" s="528">
        <v>103724.63</v>
      </c>
      <c r="AG108" s="528">
        <v>6321.23</v>
      </c>
      <c r="AH108" s="528">
        <v>4865</v>
      </c>
      <c r="AI108" s="528">
        <v>0</v>
      </c>
      <c r="AJ108" s="528">
        <v>0</v>
      </c>
      <c r="AK108" s="528">
        <v>70774.8</v>
      </c>
      <c r="AL108" s="528">
        <v>0</v>
      </c>
      <c r="AM108" s="528">
        <v>0</v>
      </c>
      <c r="AN108" s="528">
        <v>12657.8</v>
      </c>
      <c r="AO108" s="528">
        <v>65861.64</v>
      </c>
      <c r="AP108" s="528">
        <v>46374.720000000001</v>
      </c>
      <c r="AQ108" s="528">
        <v>13257.369999999999</v>
      </c>
      <c r="AR108" s="528">
        <v>99917.39</v>
      </c>
      <c r="AS108" s="528">
        <v>55481.939999999995</v>
      </c>
      <c r="AT108" s="528">
        <v>0</v>
      </c>
      <c r="AU108" s="528">
        <v>26424.010000000002</v>
      </c>
      <c r="AV108" s="528">
        <v>9471</v>
      </c>
      <c r="AW108" s="528">
        <v>13042.869999999999</v>
      </c>
      <c r="AX108" s="528">
        <v>60833.86</v>
      </c>
      <c r="AY108" s="528">
        <v>207101.17</v>
      </c>
      <c r="AZ108" s="528">
        <v>10479.26</v>
      </c>
      <c r="BA108" s="528">
        <v>81264.689999999988</v>
      </c>
      <c r="BB108" s="528">
        <v>427773</v>
      </c>
      <c r="BC108" s="528">
        <v>0</v>
      </c>
      <c r="BD108" s="528">
        <v>0</v>
      </c>
      <c r="BE108" s="528">
        <v>3231151.0599999996</v>
      </c>
      <c r="BF108" s="528">
        <v>385719.86999999994</v>
      </c>
      <c r="BG108" s="528">
        <v>-33890.490000000224</v>
      </c>
      <c r="BH108" s="528">
        <v>351829.37999999971</v>
      </c>
      <c r="BI108" s="528">
        <v>8702.5</v>
      </c>
      <c r="BJ108" s="528">
        <v>0</v>
      </c>
      <c r="BK108" s="528">
        <v>0</v>
      </c>
      <c r="BL108" s="528">
        <v>8702.5</v>
      </c>
      <c r="BM108" s="528">
        <v>0</v>
      </c>
      <c r="BN108" s="528">
        <v>0</v>
      </c>
      <c r="BO108" s="528">
        <v>0</v>
      </c>
      <c r="BP108" s="528">
        <v>0</v>
      </c>
      <c r="BQ108" s="528">
        <v>0</v>
      </c>
      <c r="BR108" s="528">
        <v>32161.299999999996</v>
      </c>
      <c r="BS108" s="528">
        <v>8702.5</v>
      </c>
      <c r="BT108" s="528">
        <v>40863.799999999996</v>
      </c>
      <c r="BU108" s="528">
        <v>0</v>
      </c>
      <c r="BV108" s="528">
        <v>0</v>
      </c>
      <c r="BW108" s="528">
        <v>0</v>
      </c>
      <c r="BX108" s="528">
        <v>0</v>
      </c>
      <c r="BY108" s="528">
        <v>0</v>
      </c>
      <c r="BZ108" s="528">
        <v>0</v>
      </c>
      <c r="CA108" s="528">
        <v>0</v>
      </c>
      <c r="CB108" s="528">
        <v>0</v>
      </c>
      <c r="CC108" s="528">
        <v>0</v>
      </c>
      <c r="CD108" s="528">
        <v>351829.37999999971</v>
      </c>
      <c r="CE108" s="528">
        <v>0</v>
      </c>
      <c r="CF108" s="528">
        <v>40863.799999999996</v>
      </c>
      <c r="CG108" s="528">
        <v>0</v>
      </c>
      <c r="CH108" s="528">
        <v>0</v>
      </c>
      <c r="CI108" s="528">
        <f t="shared" si="1"/>
        <v>392693.1799999997</v>
      </c>
      <c r="CJ108" s="528" t="s">
        <v>1288</v>
      </c>
      <c r="CK108" s="528" t="s">
        <v>1289</v>
      </c>
      <c r="CL108" s="528">
        <v>0</v>
      </c>
      <c r="CM108" s="528">
        <v>187692.48</v>
      </c>
      <c r="CN108" s="528">
        <v>0</v>
      </c>
      <c r="CO108" s="528">
        <v>0</v>
      </c>
      <c r="CP108" s="528">
        <v>-5630.46</v>
      </c>
      <c r="CQ108" s="528">
        <v>-6267.9299999999994</v>
      </c>
      <c r="CR108" s="528">
        <v>0</v>
      </c>
      <c r="CS108" s="528">
        <v>175794.09000000003</v>
      </c>
      <c r="CT108" s="528">
        <v>191225.16999999998</v>
      </c>
      <c r="CU108" s="528">
        <v>0</v>
      </c>
      <c r="CV108" s="528">
        <v>0</v>
      </c>
      <c r="CW108" s="528">
        <v>191225.16999999998</v>
      </c>
      <c r="CX108" s="528"/>
      <c r="CY108" s="528"/>
      <c r="CZ108" s="528"/>
      <c r="DA108" s="528">
        <v>0</v>
      </c>
      <c r="DB108" s="528">
        <v>191225.16999999998</v>
      </c>
      <c r="DC108" s="528">
        <v>0</v>
      </c>
      <c r="DD108" s="528">
        <v>0</v>
      </c>
      <c r="DE108" s="528">
        <v>0</v>
      </c>
      <c r="DF108" s="528">
        <v>0</v>
      </c>
      <c r="DG108" s="528">
        <v>-15323.65</v>
      </c>
      <c r="DH108" s="528">
        <v>-130.9</v>
      </c>
      <c r="DI108" s="528">
        <v>0</v>
      </c>
      <c r="DJ108" s="528">
        <v>0</v>
      </c>
      <c r="DK108" s="528">
        <v>-15454.55</v>
      </c>
      <c r="DL108" s="528">
        <v>-33687.75</v>
      </c>
      <c r="DM108" s="528">
        <v>78447</v>
      </c>
      <c r="DN108" s="528">
        <v>-2148.89</v>
      </c>
      <c r="DO108" s="528">
        <v>-1482</v>
      </c>
      <c r="DP108" s="528">
        <v>0</v>
      </c>
      <c r="DQ108" s="529">
        <v>0.10999999998603016</v>
      </c>
      <c r="DR108" s="530">
        <v>2025570.54</v>
      </c>
      <c r="DS108" s="531">
        <v>1205580.5199999996</v>
      </c>
      <c r="DT108" s="530">
        <v>207101.17</v>
      </c>
      <c r="DU108" s="530">
        <v>77222.720000000001</v>
      </c>
      <c r="DV108" s="530">
        <v>0</v>
      </c>
      <c r="DW108" s="530">
        <v>41128.36</v>
      </c>
    </row>
    <row r="109" spans="1:127" s="103" customFormat="1">
      <c r="A109" s="525">
        <v>3322</v>
      </c>
      <c r="B109" s="526" t="s">
        <v>707</v>
      </c>
      <c r="C109" s="525">
        <v>3322</v>
      </c>
      <c r="D109" s="527" t="s">
        <v>1284</v>
      </c>
      <c r="E109" s="527" t="s">
        <v>538</v>
      </c>
      <c r="F109" s="527" t="s">
        <v>5</v>
      </c>
      <c r="G109" s="527" t="s">
        <v>535</v>
      </c>
      <c r="H109" s="528">
        <v>1274646.1200000001</v>
      </c>
      <c r="I109" s="528">
        <v>0</v>
      </c>
      <c r="J109" s="528">
        <v>59817.93</v>
      </c>
      <c r="K109" s="528">
        <v>0</v>
      </c>
      <c r="L109" s="528">
        <v>111700</v>
      </c>
      <c r="M109" s="528">
        <v>771.29</v>
      </c>
      <c r="N109" s="528">
        <v>0</v>
      </c>
      <c r="O109" s="528">
        <v>0</v>
      </c>
      <c r="P109" s="528">
        <v>65523.47</v>
      </c>
      <c r="Q109" s="528">
        <v>7290.91</v>
      </c>
      <c r="R109" s="528">
        <v>0</v>
      </c>
      <c r="S109" s="528">
        <v>0</v>
      </c>
      <c r="T109" s="528">
        <v>10077.870000000001</v>
      </c>
      <c r="U109" s="528">
        <v>0</v>
      </c>
      <c r="V109" s="528">
        <v>0</v>
      </c>
      <c r="W109" s="528">
        <v>4707.5</v>
      </c>
      <c r="X109" s="528">
        <v>43152</v>
      </c>
      <c r="Y109" s="528">
        <v>1577687.09</v>
      </c>
      <c r="Z109" s="528">
        <v>645375.06000000006</v>
      </c>
      <c r="AA109" s="528">
        <v>0</v>
      </c>
      <c r="AB109" s="528">
        <v>294013.34000000003</v>
      </c>
      <c r="AC109" s="528">
        <v>44992.68</v>
      </c>
      <c r="AD109" s="528">
        <v>53910.69</v>
      </c>
      <c r="AE109" s="528">
        <v>0</v>
      </c>
      <c r="AF109" s="528">
        <v>43019.86</v>
      </c>
      <c r="AG109" s="528">
        <v>502.35</v>
      </c>
      <c r="AH109" s="528">
        <v>9093.2000000000007</v>
      </c>
      <c r="AI109" s="528">
        <v>0</v>
      </c>
      <c r="AJ109" s="528">
        <v>0</v>
      </c>
      <c r="AK109" s="528">
        <v>22872.68</v>
      </c>
      <c r="AL109" s="528">
        <v>526.24</v>
      </c>
      <c r="AM109" s="528">
        <v>3969.76</v>
      </c>
      <c r="AN109" s="528">
        <v>9486.15</v>
      </c>
      <c r="AO109" s="528">
        <v>16305.37</v>
      </c>
      <c r="AP109" s="528">
        <v>7944.8</v>
      </c>
      <c r="AQ109" s="528">
        <v>1583.4</v>
      </c>
      <c r="AR109" s="528">
        <v>43652.099999999817</v>
      </c>
      <c r="AS109" s="528">
        <v>12400.57</v>
      </c>
      <c r="AT109" s="528">
        <v>0</v>
      </c>
      <c r="AU109" s="528">
        <v>34050.58</v>
      </c>
      <c r="AV109" s="528">
        <v>10034.75</v>
      </c>
      <c r="AW109" s="528">
        <v>3677.5</v>
      </c>
      <c r="AX109" s="528">
        <v>155890.4</v>
      </c>
      <c r="AY109" s="528">
        <v>60112.94</v>
      </c>
      <c r="AZ109" s="528">
        <v>27487.519999999997</v>
      </c>
      <c r="BA109" s="528">
        <v>40839.300000000003</v>
      </c>
      <c r="BB109" s="528">
        <v>0</v>
      </c>
      <c r="BC109" s="528">
        <v>0</v>
      </c>
      <c r="BD109" s="528">
        <v>0</v>
      </c>
      <c r="BE109" s="528">
        <v>1541741.2400000002</v>
      </c>
      <c r="BF109" s="528">
        <v>28133.239999999845</v>
      </c>
      <c r="BG109" s="528">
        <v>35945.84999999986</v>
      </c>
      <c r="BH109" s="528">
        <v>64079.089999999705</v>
      </c>
      <c r="BI109" s="528">
        <v>0</v>
      </c>
      <c r="BJ109" s="528">
        <v>0</v>
      </c>
      <c r="BK109" s="528">
        <v>0</v>
      </c>
      <c r="BL109" s="528">
        <v>0</v>
      </c>
      <c r="BM109" s="528">
        <v>0</v>
      </c>
      <c r="BN109" s="528">
        <v>0</v>
      </c>
      <c r="BO109" s="528">
        <v>0</v>
      </c>
      <c r="BP109" s="528">
        <v>0</v>
      </c>
      <c r="BQ109" s="528">
        <v>0</v>
      </c>
      <c r="BR109" s="528">
        <v>13482.24</v>
      </c>
      <c r="BS109" s="528">
        <v>0</v>
      </c>
      <c r="BT109" s="528">
        <v>13482.24</v>
      </c>
      <c r="BU109" s="528">
        <v>0</v>
      </c>
      <c r="BV109" s="528">
        <v>0</v>
      </c>
      <c r="BW109" s="528">
        <v>0</v>
      </c>
      <c r="BX109" s="528">
        <v>0</v>
      </c>
      <c r="BY109" s="528">
        <v>0</v>
      </c>
      <c r="BZ109" s="528">
        <v>0</v>
      </c>
      <c r="CA109" s="528">
        <v>0</v>
      </c>
      <c r="CB109" s="528">
        <v>0</v>
      </c>
      <c r="CC109" s="528">
        <v>0</v>
      </c>
      <c r="CD109" s="528">
        <v>64079.089999999705</v>
      </c>
      <c r="CE109" s="528">
        <v>0</v>
      </c>
      <c r="CF109" s="528">
        <v>13482.24</v>
      </c>
      <c r="CG109" s="528">
        <v>0</v>
      </c>
      <c r="CH109" s="528">
        <v>0</v>
      </c>
      <c r="CI109" s="528">
        <f t="shared" si="1"/>
        <v>77561.329999999711</v>
      </c>
      <c r="CJ109" s="528">
        <v>206629.44</v>
      </c>
      <c r="CK109" s="528">
        <v>114781.45</v>
      </c>
      <c r="CL109" s="528">
        <v>997.84</v>
      </c>
      <c r="CM109" s="528">
        <v>92845.83</v>
      </c>
      <c r="CN109" s="528">
        <v>0</v>
      </c>
      <c r="CO109" s="528">
        <v>0</v>
      </c>
      <c r="CP109" s="528">
        <v>1640.23</v>
      </c>
      <c r="CQ109" s="528">
        <v>0</v>
      </c>
      <c r="CR109" s="528">
        <v>10646.51</v>
      </c>
      <c r="CS109" s="528">
        <v>105132.56999999999</v>
      </c>
      <c r="CT109" s="528">
        <v>0</v>
      </c>
      <c r="CU109" s="528">
        <v>0</v>
      </c>
      <c r="CV109" s="528">
        <v>0</v>
      </c>
      <c r="CW109" s="528">
        <v>0</v>
      </c>
      <c r="CX109" s="528"/>
      <c r="CY109" s="528"/>
      <c r="CZ109" s="528"/>
      <c r="DA109" s="528">
        <v>0</v>
      </c>
      <c r="DB109" s="528">
        <v>0</v>
      </c>
      <c r="DC109" s="528">
        <v>0</v>
      </c>
      <c r="DD109" s="528">
        <v>0</v>
      </c>
      <c r="DE109" s="528">
        <v>0</v>
      </c>
      <c r="DF109" s="528">
        <v>0</v>
      </c>
      <c r="DG109" s="528">
        <v>0</v>
      </c>
      <c r="DH109" s="528">
        <v>-27571.24</v>
      </c>
      <c r="DI109" s="528">
        <v>0</v>
      </c>
      <c r="DJ109" s="528">
        <v>0</v>
      </c>
      <c r="DK109" s="528">
        <v>-27571.24</v>
      </c>
      <c r="DL109" s="528">
        <v>0</v>
      </c>
      <c r="DM109" s="528">
        <v>0</v>
      </c>
      <c r="DN109" s="528">
        <v>0</v>
      </c>
      <c r="DO109" s="528">
        <v>0</v>
      </c>
      <c r="DP109" s="528">
        <v>0</v>
      </c>
      <c r="DQ109" s="529">
        <v>0</v>
      </c>
      <c r="DR109" s="530">
        <v>1081813.9800000004</v>
      </c>
      <c r="DS109" s="531">
        <v>459927.25999999978</v>
      </c>
      <c r="DT109" s="530">
        <v>60112.94</v>
      </c>
      <c r="DU109" s="530">
        <v>82892.25</v>
      </c>
      <c r="DV109" s="530">
        <v>0</v>
      </c>
      <c r="DW109" s="530">
        <v>0</v>
      </c>
    </row>
    <row r="110" spans="1:127" s="103" customFormat="1">
      <c r="A110" s="525">
        <v>2406</v>
      </c>
      <c r="B110" s="526" t="s">
        <v>709</v>
      </c>
      <c r="C110" s="525">
        <v>2406</v>
      </c>
      <c r="D110" s="527" t="s">
        <v>1284</v>
      </c>
      <c r="E110" s="527" t="s">
        <v>538</v>
      </c>
      <c r="F110" s="527" t="s">
        <v>5</v>
      </c>
      <c r="G110" s="527" t="s">
        <v>535</v>
      </c>
      <c r="H110" s="528">
        <v>1262089</v>
      </c>
      <c r="I110" s="528">
        <v>0</v>
      </c>
      <c r="J110" s="528">
        <v>72069</v>
      </c>
      <c r="K110" s="528">
        <v>0</v>
      </c>
      <c r="L110" s="528">
        <v>143170</v>
      </c>
      <c r="M110" s="528">
        <v>5657</v>
      </c>
      <c r="N110" s="528">
        <v>0</v>
      </c>
      <c r="O110" s="528">
        <v>0</v>
      </c>
      <c r="P110" s="528">
        <v>6723</v>
      </c>
      <c r="Q110" s="528">
        <v>0</v>
      </c>
      <c r="R110" s="528">
        <v>0</v>
      </c>
      <c r="S110" s="528">
        <v>0</v>
      </c>
      <c r="T110" s="528">
        <v>14878</v>
      </c>
      <c r="U110" s="528">
        <v>76509</v>
      </c>
      <c r="V110" s="528">
        <v>0</v>
      </c>
      <c r="W110" s="528">
        <v>9766</v>
      </c>
      <c r="X110" s="528">
        <v>41802</v>
      </c>
      <c r="Y110" s="528">
        <v>1632663</v>
      </c>
      <c r="Z110" s="528">
        <v>156638.62</v>
      </c>
      <c r="AA110" s="528">
        <v>0</v>
      </c>
      <c r="AB110" s="528">
        <v>59503</v>
      </c>
      <c r="AC110" s="528">
        <v>9331</v>
      </c>
      <c r="AD110" s="528">
        <v>90363</v>
      </c>
      <c r="AE110" s="528">
        <v>0</v>
      </c>
      <c r="AF110" s="528">
        <v>6637</v>
      </c>
      <c r="AG110" s="528">
        <v>0</v>
      </c>
      <c r="AH110" s="528">
        <v>0</v>
      </c>
      <c r="AI110" s="528">
        <v>0</v>
      </c>
      <c r="AJ110" s="528">
        <v>0</v>
      </c>
      <c r="AK110" s="528">
        <v>34768</v>
      </c>
      <c r="AL110" s="528">
        <v>3710</v>
      </c>
      <c r="AM110" s="528">
        <v>10433</v>
      </c>
      <c r="AN110" s="528">
        <v>2728</v>
      </c>
      <c r="AO110" s="528">
        <v>13017</v>
      </c>
      <c r="AP110" s="528">
        <v>12359</v>
      </c>
      <c r="AQ110" s="528">
        <v>11945</v>
      </c>
      <c r="AR110" s="528">
        <v>21395</v>
      </c>
      <c r="AS110" s="528">
        <v>0</v>
      </c>
      <c r="AT110" s="528">
        <v>0</v>
      </c>
      <c r="AU110" s="528">
        <v>0</v>
      </c>
      <c r="AV110" s="528">
        <v>5140</v>
      </c>
      <c r="AW110" s="528">
        <v>15418</v>
      </c>
      <c r="AX110" s="528">
        <v>52134</v>
      </c>
      <c r="AY110" s="528">
        <v>1534</v>
      </c>
      <c r="AZ110" s="528">
        <v>5114</v>
      </c>
      <c r="BA110" s="528">
        <v>1147257</v>
      </c>
      <c r="BB110" s="528">
        <v>0</v>
      </c>
      <c r="BC110" s="528">
        <v>0</v>
      </c>
      <c r="BD110" s="528">
        <v>0</v>
      </c>
      <c r="BE110" s="528">
        <v>1659425.62</v>
      </c>
      <c r="BF110" s="528">
        <v>219348</v>
      </c>
      <c r="BG110" s="528">
        <v>-26762.620000000112</v>
      </c>
      <c r="BH110" s="528">
        <v>192585.37999999989</v>
      </c>
      <c r="BI110" s="528">
        <v>6318</v>
      </c>
      <c r="BJ110" s="528">
        <v>0</v>
      </c>
      <c r="BK110" s="528">
        <v>0</v>
      </c>
      <c r="BL110" s="528">
        <v>6318</v>
      </c>
      <c r="BM110" s="528">
        <v>0</v>
      </c>
      <c r="BN110" s="528">
        <v>0</v>
      </c>
      <c r="BO110" s="528">
        <v>60346</v>
      </c>
      <c r="BP110" s="528">
        <v>0</v>
      </c>
      <c r="BQ110" s="528">
        <v>60346</v>
      </c>
      <c r="BR110" s="528">
        <v>62246</v>
      </c>
      <c r="BS110" s="528">
        <v>-54029</v>
      </c>
      <c r="BT110" s="528">
        <v>8217</v>
      </c>
      <c r="BU110" s="528">
        <v>0</v>
      </c>
      <c r="BV110" s="528">
        <v>0</v>
      </c>
      <c r="BW110" s="528">
        <v>0</v>
      </c>
      <c r="BX110" s="528">
        <v>0</v>
      </c>
      <c r="BY110" s="528">
        <v>0</v>
      </c>
      <c r="BZ110" s="528">
        <v>0</v>
      </c>
      <c r="CA110" s="528">
        <v>0</v>
      </c>
      <c r="CB110" s="528">
        <v>0</v>
      </c>
      <c r="CC110" s="528">
        <v>0</v>
      </c>
      <c r="CD110" s="528">
        <v>192585.37999999989</v>
      </c>
      <c r="CE110" s="528">
        <v>0</v>
      </c>
      <c r="CF110" s="528">
        <v>8217</v>
      </c>
      <c r="CG110" s="528">
        <v>0</v>
      </c>
      <c r="CH110" s="528">
        <v>0</v>
      </c>
      <c r="CI110" s="528">
        <f t="shared" si="1"/>
        <v>200802.37999999989</v>
      </c>
      <c r="CJ110" s="528">
        <v>288817</v>
      </c>
      <c r="CK110" s="528">
        <v>0</v>
      </c>
      <c r="CL110" s="528">
        <v>20000</v>
      </c>
      <c r="CM110" s="528">
        <v>308817</v>
      </c>
      <c r="CN110" s="528">
        <v>0</v>
      </c>
      <c r="CO110" s="528">
        <v>0</v>
      </c>
      <c r="CP110" s="528">
        <v>1644</v>
      </c>
      <c r="CQ110" s="528">
        <v>11155</v>
      </c>
      <c r="CR110" s="528">
        <v>-76885</v>
      </c>
      <c r="CS110" s="528">
        <v>244731</v>
      </c>
      <c r="CT110" s="528">
        <v>0</v>
      </c>
      <c r="CU110" s="528">
        <v>0</v>
      </c>
      <c r="CV110" s="528">
        <v>0</v>
      </c>
      <c r="CW110" s="528">
        <v>0</v>
      </c>
      <c r="CX110" s="528"/>
      <c r="CY110" s="528"/>
      <c r="CZ110" s="528"/>
      <c r="DA110" s="528">
        <v>0</v>
      </c>
      <c r="DB110" s="528">
        <v>0</v>
      </c>
      <c r="DC110" s="528">
        <v>0</v>
      </c>
      <c r="DD110" s="528">
        <v>6353</v>
      </c>
      <c r="DE110" s="528">
        <v>0</v>
      </c>
      <c r="DF110" s="528">
        <v>0</v>
      </c>
      <c r="DG110" s="528">
        <v>0</v>
      </c>
      <c r="DH110" s="528">
        <v>-28852.620000000003</v>
      </c>
      <c r="DI110" s="528">
        <v>0</v>
      </c>
      <c r="DJ110" s="528">
        <v>0</v>
      </c>
      <c r="DK110" s="528">
        <v>-22499.620000000003</v>
      </c>
      <c r="DL110" s="528">
        <v>0</v>
      </c>
      <c r="DM110" s="528">
        <v>0</v>
      </c>
      <c r="DN110" s="528">
        <v>0</v>
      </c>
      <c r="DO110" s="528">
        <v>0</v>
      </c>
      <c r="DP110" s="528">
        <v>-21428</v>
      </c>
      <c r="DQ110" s="529">
        <v>0</v>
      </c>
      <c r="DR110" s="530">
        <v>322472.62</v>
      </c>
      <c r="DS110" s="531">
        <v>1336953</v>
      </c>
      <c r="DT110" s="530">
        <v>1534</v>
      </c>
      <c r="DU110" s="530">
        <v>21601</v>
      </c>
      <c r="DV110" s="530">
        <v>76509</v>
      </c>
      <c r="DW110" s="530">
        <v>-21428</v>
      </c>
    </row>
    <row r="111" spans="1:127" s="103" customFormat="1">
      <c r="A111" s="525">
        <v>2416</v>
      </c>
      <c r="B111" s="526" t="s">
        <v>711</v>
      </c>
      <c r="C111" s="525">
        <v>2416</v>
      </c>
      <c r="D111" s="527" t="s">
        <v>1284</v>
      </c>
      <c r="E111" s="527" t="s">
        <v>538</v>
      </c>
      <c r="F111" s="527" t="s">
        <v>5</v>
      </c>
      <c r="G111" s="527" t="s">
        <v>535</v>
      </c>
      <c r="H111" s="528">
        <v>2045053</v>
      </c>
      <c r="I111" s="528">
        <v>0</v>
      </c>
      <c r="J111" s="528">
        <v>75526</v>
      </c>
      <c r="K111" s="528">
        <v>0</v>
      </c>
      <c r="L111" s="528">
        <v>63510</v>
      </c>
      <c r="M111" s="528">
        <v>1086</v>
      </c>
      <c r="N111" s="528">
        <v>0</v>
      </c>
      <c r="O111" s="528">
        <v>13060</v>
      </c>
      <c r="P111" s="528">
        <v>177344</v>
      </c>
      <c r="Q111" s="528">
        <v>80172</v>
      </c>
      <c r="R111" s="528">
        <v>0</v>
      </c>
      <c r="S111" s="528">
        <v>0</v>
      </c>
      <c r="T111" s="528">
        <v>53271</v>
      </c>
      <c r="U111" s="528">
        <v>32392</v>
      </c>
      <c r="V111" s="528">
        <v>0</v>
      </c>
      <c r="W111" s="528">
        <v>4408</v>
      </c>
      <c r="X111" s="528">
        <v>100472</v>
      </c>
      <c r="Y111" s="528">
        <v>2646294</v>
      </c>
      <c r="Z111" s="528">
        <v>1157725.0900000001</v>
      </c>
      <c r="AA111" s="528">
        <v>95323</v>
      </c>
      <c r="AB111" s="528">
        <v>343800</v>
      </c>
      <c r="AC111" s="528">
        <v>34740</v>
      </c>
      <c r="AD111" s="528">
        <v>142053</v>
      </c>
      <c r="AE111" s="528">
        <v>0</v>
      </c>
      <c r="AF111" s="528">
        <v>170682</v>
      </c>
      <c r="AG111" s="528">
        <v>1543</v>
      </c>
      <c r="AH111" s="528">
        <v>0</v>
      </c>
      <c r="AI111" s="528">
        <v>0</v>
      </c>
      <c r="AJ111" s="528">
        <v>0</v>
      </c>
      <c r="AK111" s="528">
        <v>20173</v>
      </c>
      <c r="AL111" s="528">
        <v>20135</v>
      </c>
      <c r="AM111" s="528">
        <v>36446</v>
      </c>
      <c r="AN111" s="528">
        <v>3651</v>
      </c>
      <c r="AO111" s="528">
        <v>48053</v>
      </c>
      <c r="AP111" s="528">
        <v>32595</v>
      </c>
      <c r="AQ111" s="528">
        <v>20905</v>
      </c>
      <c r="AR111" s="528">
        <v>54930</v>
      </c>
      <c r="AS111" s="528">
        <v>13379</v>
      </c>
      <c r="AT111" s="528">
        <v>0</v>
      </c>
      <c r="AU111" s="528">
        <v>-1479</v>
      </c>
      <c r="AV111" s="528">
        <v>10375</v>
      </c>
      <c r="AW111" s="528">
        <v>1296</v>
      </c>
      <c r="AX111" s="528">
        <v>19431</v>
      </c>
      <c r="AY111" s="528">
        <v>89026</v>
      </c>
      <c r="AZ111" s="528">
        <v>12937</v>
      </c>
      <c r="BA111" s="528">
        <v>303125</v>
      </c>
      <c r="BB111" s="528">
        <v>0</v>
      </c>
      <c r="BC111" s="528">
        <v>0</v>
      </c>
      <c r="BD111" s="528">
        <v>0</v>
      </c>
      <c r="BE111" s="528">
        <v>2630843.09</v>
      </c>
      <c r="BF111" s="528">
        <v>42262</v>
      </c>
      <c r="BG111" s="528">
        <v>15450.910000000149</v>
      </c>
      <c r="BH111" s="528">
        <v>57712.910000000149</v>
      </c>
      <c r="BI111" s="528">
        <v>13899</v>
      </c>
      <c r="BJ111" s="528">
        <v>0</v>
      </c>
      <c r="BK111" s="528">
        <v>0</v>
      </c>
      <c r="BL111" s="528">
        <v>13899</v>
      </c>
      <c r="BM111" s="528">
        <v>0</v>
      </c>
      <c r="BN111" s="528">
        <v>0</v>
      </c>
      <c r="BO111" s="528">
        <v>0</v>
      </c>
      <c r="BP111" s="528">
        <v>0</v>
      </c>
      <c r="BQ111" s="528">
        <v>0</v>
      </c>
      <c r="BR111" s="528">
        <v>5759</v>
      </c>
      <c r="BS111" s="528">
        <v>13899</v>
      </c>
      <c r="BT111" s="528">
        <v>19658</v>
      </c>
      <c r="BU111" s="528">
        <v>0</v>
      </c>
      <c r="BV111" s="528">
        <v>0</v>
      </c>
      <c r="BW111" s="528">
        <v>0</v>
      </c>
      <c r="BX111" s="528">
        <v>0</v>
      </c>
      <c r="BY111" s="528">
        <v>0</v>
      </c>
      <c r="BZ111" s="528">
        <v>0</v>
      </c>
      <c r="CA111" s="528">
        <v>0</v>
      </c>
      <c r="CB111" s="528">
        <v>0</v>
      </c>
      <c r="CC111" s="528">
        <v>0</v>
      </c>
      <c r="CD111" s="528">
        <v>57712.910000000149</v>
      </c>
      <c r="CE111" s="528">
        <v>0</v>
      </c>
      <c r="CF111" s="528">
        <v>19658</v>
      </c>
      <c r="CG111" s="528">
        <v>0</v>
      </c>
      <c r="CH111" s="528">
        <v>0</v>
      </c>
      <c r="CI111" s="528">
        <f t="shared" si="1"/>
        <v>77370.910000000149</v>
      </c>
      <c r="CJ111" s="528">
        <v>163958</v>
      </c>
      <c r="CK111" s="528">
        <v>1078</v>
      </c>
      <c r="CL111" s="528">
        <v>312</v>
      </c>
      <c r="CM111" s="528">
        <v>163192</v>
      </c>
      <c r="CN111" s="528">
        <v>0</v>
      </c>
      <c r="CO111" s="528">
        <v>0</v>
      </c>
      <c r="CP111" s="528">
        <v>11013</v>
      </c>
      <c r="CQ111" s="528">
        <v>0</v>
      </c>
      <c r="CR111" s="528">
        <v>-35140</v>
      </c>
      <c r="CS111" s="528">
        <v>139065</v>
      </c>
      <c r="CT111" s="528">
        <v>50769</v>
      </c>
      <c r="CU111" s="528">
        <v>0</v>
      </c>
      <c r="CV111" s="528">
        <v>0</v>
      </c>
      <c r="CW111" s="528">
        <v>50769</v>
      </c>
      <c r="CX111" s="528"/>
      <c r="CY111" s="528"/>
      <c r="CZ111" s="528"/>
      <c r="DA111" s="528">
        <v>0</v>
      </c>
      <c r="DB111" s="528">
        <v>50769</v>
      </c>
      <c r="DC111" s="528">
        <v>0</v>
      </c>
      <c r="DD111" s="528">
        <v>34</v>
      </c>
      <c r="DE111" s="528">
        <v>0</v>
      </c>
      <c r="DF111" s="528">
        <v>0</v>
      </c>
      <c r="DG111" s="528">
        <v>-100522</v>
      </c>
      <c r="DH111" s="528">
        <v>-22824.09</v>
      </c>
      <c r="DI111" s="528">
        <v>0</v>
      </c>
      <c r="DJ111" s="528">
        <v>0</v>
      </c>
      <c r="DK111" s="528">
        <v>-123312.09</v>
      </c>
      <c r="DL111" s="528">
        <v>0</v>
      </c>
      <c r="DM111" s="528">
        <v>11013</v>
      </c>
      <c r="DN111" s="528">
        <v>0</v>
      </c>
      <c r="DO111" s="528">
        <v>0</v>
      </c>
      <c r="DP111" s="528">
        <v>-165</v>
      </c>
      <c r="DQ111" s="529">
        <v>-0.1</v>
      </c>
      <c r="DR111" s="530">
        <v>1945866.09</v>
      </c>
      <c r="DS111" s="531">
        <v>684976.99999999977</v>
      </c>
      <c r="DT111" s="530">
        <v>89026</v>
      </c>
      <c r="DU111" s="530">
        <v>323847</v>
      </c>
      <c r="DV111" s="530">
        <v>32392</v>
      </c>
      <c r="DW111" s="530">
        <v>10848</v>
      </c>
    </row>
    <row r="112" spans="1:127" s="103" customFormat="1">
      <c r="A112" s="525">
        <v>3003</v>
      </c>
      <c r="B112" s="526" t="s">
        <v>713</v>
      </c>
      <c r="C112" s="525">
        <v>3003</v>
      </c>
      <c r="D112" s="527" t="s">
        <v>1284</v>
      </c>
      <c r="E112" s="527" t="s">
        <v>538</v>
      </c>
      <c r="F112" s="527" t="s">
        <v>5</v>
      </c>
      <c r="G112" s="527" t="s">
        <v>535</v>
      </c>
      <c r="H112" s="528">
        <v>1104745.93</v>
      </c>
      <c r="I112" s="528">
        <v>0</v>
      </c>
      <c r="J112" s="528">
        <v>50307.040000000001</v>
      </c>
      <c r="K112" s="528">
        <v>0</v>
      </c>
      <c r="L112" s="528">
        <v>49100</v>
      </c>
      <c r="M112" s="528">
        <v>3171.29</v>
      </c>
      <c r="N112" s="528">
        <v>0</v>
      </c>
      <c r="O112" s="528">
        <v>0</v>
      </c>
      <c r="P112" s="528">
        <v>102667.04000000002</v>
      </c>
      <c r="Q112" s="528">
        <v>22815.33</v>
      </c>
      <c r="R112" s="528">
        <v>0</v>
      </c>
      <c r="S112" s="528">
        <v>0</v>
      </c>
      <c r="T112" s="528">
        <v>171401.15</v>
      </c>
      <c r="U112" s="528">
        <v>34.64</v>
      </c>
      <c r="V112" s="528">
        <v>0</v>
      </c>
      <c r="W112" s="528">
        <v>864.8</v>
      </c>
      <c r="X112" s="528">
        <v>52059</v>
      </c>
      <c r="Y112" s="528">
        <v>1557166.22</v>
      </c>
      <c r="Z112" s="528">
        <v>488546.74000000011</v>
      </c>
      <c r="AA112" s="528">
        <v>1055.4000000000001</v>
      </c>
      <c r="AB112" s="528">
        <v>427.32999999999993</v>
      </c>
      <c r="AC112" s="528">
        <v>202150.0899999995</v>
      </c>
      <c r="AD112" s="528">
        <v>85.960000000000008</v>
      </c>
      <c r="AE112" s="528">
        <v>0</v>
      </c>
      <c r="AF112" s="528">
        <v>230875.38000000009</v>
      </c>
      <c r="AG112" s="528">
        <v>7247.33</v>
      </c>
      <c r="AH112" s="528">
        <v>6777</v>
      </c>
      <c r="AI112" s="528">
        <v>0</v>
      </c>
      <c r="AJ112" s="528">
        <v>0</v>
      </c>
      <c r="AK112" s="528">
        <v>48491.680000000008</v>
      </c>
      <c r="AL112" s="528">
        <v>1166.6500000000001</v>
      </c>
      <c r="AM112" s="528">
        <v>1246.9199999999998</v>
      </c>
      <c r="AN112" s="528">
        <v>1086.0700000000002</v>
      </c>
      <c r="AO112" s="528">
        <v>42993.8</v>
      </c>
      <c r="AP112" s="528">
        <v>49289.7</v>
      </c>
      <c r="AQ112" s="528">
        <v>9399.09</v>
      </c>
      <c r="AR112" s="528">
        <v>56691.049999999996</v>
      </c>
      <c r="AS112" s="528">
        <v>18552.929999999997</v>
      </c>
      <c r="AT112" s="528">
        <v>5850</v>
      </c>
      <c r="AU112" s="528">
        <v>9014.0899999999965</v>
      </c>
      <c r="AV112" s="528">
        <v>5139.75</v>
      </c>
      <c r="AW112" s="528">
        <v>1495</v>
      </c>
      <c r="AX112" s="528">
        <v>80170.17</v>
      </c>
      <c r="AY112" s="528">
        <v>110614.05999999998</v>
      </c>
      <c r="AZ112" s="528">
        <v>5239.63</v>
      </c>
      <c r="BA112" s="528">
        <v>264789.1100000001</v>
      </c>
      <c r="BB112" s="528">
        <v>0</v>
      </c>
      <c r="BC112" s="528">
        <v>0</v>
      </c>
      <c r="BD112" s="528">
        <v>0</v>
      </c>
      <c r="BE112" s="528">
        <v>1648394.93</v>
      </c>
      <c r="BF112" s="528">
        <v>86970.719999999841</v>
      </c>
      <c r="BG112" s="528">
        <v>-91228.709999999963</v>
      </c>
      <c r="BH112" s="528">
        <v>-4257.9900000001217</v>
      </c>
      <c r="BI112" s="528">
        <v>0</v>
      </c>
      <c r="BJ112" s="528">
        <v>0</v>
      </c>
      <c r="BK112" s="528">
        <v>0</v>
      </c>
      <c r="BL112" s="528">
        <v>0</v>
      </c>
      <c r="BM112" s="528">
        <v>0</v>
      </c>
      <c r="BN112" s="528">
        <v>0</v>
      </c>
      <c r="BO112" s="528">
        <v>0</v>
      </c>
      <c r="BP112" s="528">
        <v>0</v>
      </c>
      <c r="BQ112" s="528">
        <v>0</v>
      </c>
      <c r="BR112" s="528">
        <v>0</v>
      </c>
      <c r="BS112" s="528">
        <v>0</v>
      </c>
      <c r="BT112" s="528">
        <v>0</v>
      </c>
      <c r="BU112" s="528">
        <v>0</v>
      </c>
      <c r="BV112" s="528">
        <v>0</v>
      </c>
      <c r="BW112" s="528">
        <v>0</v>
      </c>
      <c r="BX112" s="528">
        <v>0</v>
      </c>
      <c r="BY112" s="528">
        <v>0</v>
      </c>
      <c r="BZ112" s="528">
        <v>0</v>
      </c>
      <c r="CA112" s="528">
        <v>0</v>
      </c>
      <c r="CB112" s="528">
        <v>0</v>
      </c>
      <c r="CC112" s="528">
        <v>0</v>
      </c>
      <c r="CD112" s="528">
        <v>-4257.9900000001217</v>
      </c>
      <c r="CE112" s="528">
        <v>0</v>
      </c>
      <c r="CF112" s="528">
        <v>0</v>
      </c>
      <c r="CG112" s="528">
        <v>0</v>
      </c>
      <c r="CH112" s="528">
        <v>0</v>
      </c>
      <c r="CI112" s="528">
        <f t="shared" si="1"/>
        <v>-4257.9900000001217</v>
      </c>
      <c r="CJ112" s="528">
        <v>157299.78</v>
      </c>
      <c r="CK112" s="528">
        <v>0</v>
      </c>
      <c r="CL112" s="528">
        <v>0</v>
      </c>
      <c r="CM112" s="528">
        <v>157299.78</v>
      </c>
      <c r="CN112" s="528">
        <v>0</v>
      </c>
      <c r="CO112" s="528">
        <v>0</v>
      </c>
      <c r="CP112" s="528">
        <v>0</v>
      </c>
      <c r="CQ112" s="528">
        <v>0</v>
      </c>
      <c r="CR112" s="528">
        <v>-118780.5</v>
      </c>
      <c r="CS112" s="528">
        <v>38519.279999999999</v>
      </c>
      <c r="CT112" s="528">
        <v>0</v>
      </c>
      <c r="CU112" s="528">
        <v>0</v>
      </c>
      <c r="CV112" s="528">
        <v>0</v>
      </c>
      <c r="CW112" s="528">
        <v>0</v>
      </c>
      <c r="CX112" s="528"/>
      <c r="CY112" s="528"/>
      <c r="CZ112" s="528"/>
      <c r="DA112" s="528">
        <v>0</v>
      </c>
      <c r="DB112" s="528">
        <v>0</v>
      </c>
      <c r="DC112" s="528">
        <v>0</v>
      </c>
      <c r="DD112" s="528">
        <v>3075.96</v>
      </c>
      <c r="DE112" s="528">
        <v>0</v>
      </c>
      <c r="DF112" s="528">
        <v>0</v>
      </c>
      <c r="DG112" s="528">
        <v>-22133.52</v>
      </c>
      <c r="DH112" s="528">
        <v>-23719.71</v>
      </c>
      <c r="DI112" s="528">
        <v>0</v>
      </c>
      <c r="DJ112" s="528">
        <v>0</v>
      </c>
      <c r="DK112" s="528">
        <v>-42777.270000000004</v>
      </c>
      <c r="DL112" s="528">
        <v>0</v>
      </c>
      <c r="DM112" s="528">
        <v>0</v>
      </c>
      <c r="DN112" s="528">
        <v>0</v>
      </c>
      <c r="DO112" s="528">
        <v>0</v>
      </c>
      <c r="DP112" s="528">
        <v>0</v>
      </c>
      <c r="DQ112" s="529">
        <v>0</v>
      </c>
      <c r="DR112" s="530">
        <v>930388.22999999963</v>
      </c>
      <c r="DS112" s="531">
        <v>718006.7000000003</v>
      </c>
      <c r="DT112" s="530">
        <v>110614.05999999998</v>
      </c>
      <c r="DU112" s="530">
        <v>296883.52</v>
      </c>
      <c r="DV112" s="530">
        <v>34.64</v>
      </c>
      <c r="DW112" s="530">
        <v>0</v>
      </c>
    </row>
    <row r="113" spans="1:127" s="103" customFormat="1">
      <c r="A113" s="525">
        <v>4245</v>
      </c>
      <c r="B113" s="526" t="s">
        <v>715</v>
      </c>
      <c r="C113" s="525">
        <v>4245</v>
      </c>
      <c r="D113" s="527" t="s">
        <v>1284</v>
      </c>
      <c r="E113" s="527" t="s">
        <v>564</v>
      </c>
      <c r="F113" s="527" t="s">
        <v>5</v>
      </c>
      <c r="G113" s="527" t="s">
        <v>535</v>
      </c>
      <c r="H113" s="528">
        <v>10235301.390000001</v>
      </c>
      <c r="I113" s="528">
        <v>1419220.64</v>
      </c>
      <c r="J113" s="528">
        <v>121911.75</v>
      </c>
      <c r="K113" s="528">
        <v>0</v>
      </c>
      <c r="L113" s="528">
        <v>745500</v>
      </c>
      <c r="M113" s="528">
        <v>29655.439999999999</v>
      </c>
      <c r="N113" s="528">
        <v>0</v>
      </c>
      <c r="O113" s="528">
        <v>268600</v>
      </c>
      <c r="P113" s="528">
        <v>180419.29</v>
      </c>
      <c r="Q113" s="528">
        <v>0</v>
      </c>
      <c r="R113" s="528">
        <v>0</v>
      </c>
      <c r="S113" s="528">
        <v>0</v>
      </c>
      <c r="T113" s="528">
        <v>37828</v>
      </c>
      <c r="U113" s="528">
        <v>5068.8</v>
      </c>
      <c r="V113" s="528">
        <v>0</v>
      </c>
      <c r="W113" s="528">
        <v>42168.38</v>
      </c>
      <c r="X113" s="528">
        <v>0</v>
      </c>
      <c r="Y113" s="528">
        <v>13085673.690000001</v>
      </c>
      <c r="Z113" s="528">
        <v>6585382</v>
      </c>
      <c r="AA113" s="528">
        <v>0</v>
      </c>
      <c r="AB113" s="528">
        <v>1849393</v>
      </c>
      <c r="AC113" s="528">
        <v>485022</v>
      </c>
      <c r="AD113" s="528">
        <v>797288</v>
      </c>
      <c r="AE113" s="528">
        <v>0</v>
      </c>
      <c r="AF113" s="528">
        <v>0</v>
      </c>
      <c r="AG113" s="528">
        <v>354784</v>
      </c>
      <c r="AH113" s="528">
        <v>32190</v>
      </c>
      <c r="AI113" s="528">
        <v>0</v>
      </c>
      <c r="AJ113" s="528">
        <v>0</v>
      </c>
      <c r="AK113" s="528">
        <v>1074186.49</v>
      </c>
      <c r="AL113" s="528">
        <v>21378</v>
      </c>
      <c r="AM113" s="528">
        <v>15866</v>
      </c>
      <c r="AN113" s="528">
        <v>26734</v>
      </c>
      <c r="AO113" s="528">
        <v>308908</v>
      </c>
      <c r="AP113" s="528">
        <v>22895.86</v>
      </c>
      <c r="AQ113" s="528">
        <v>94492</v>
      </c>
      <c r="AR113" s="528">
        <v>458069.45</v>
      </c>
      <c r="AS113" s="528">
        <v>140184</v>
      </c>
      <c r="AT113" s="528">
        <v>211018</v>
      </c>
      <c r="AU113" s="528">
        <v>203210.6</v>
      </c>
      <c r="AV113" s="528">
        <v>47732</v>
      </c>
      <c r="AW113" s="528">
        <v>5920</v>
      </c>
      <c r="AX113" s="528">
        <v>281019</v>
      </c>
      <c r="AY113" s="528">
        <v>-18471.64</v>
      </c>
      <c r="AZ113" s="528">
        <v>303199.05</v>
      </c>
      <c r="BA113" s="528">
        <v>85938.1</v>
      </c>
      <c r="BB113" s="528">
        <v>0</v>
      </c>
      <c r="BC113" s="528">
        <v>0</v>
      </c>
      <c r="BD113" s="528">
        <v>0</v>
      </c>
      <c r="BE113" s="528">
        <v>13386337.909999998</v>
      </c>
      <c r="BF113" s="528">
        <v>4271575.1399999997</v>
      </c>
      <c r="BG113" s="528">
        <v>-300664.21999999695</v>
      </c>
      <c r="BH113" s="528">
        <v>3970910.9200000027</v>
      </c>
      <c r="BI113" s="528">
        <v>30091.56</v>
      </c>
      <c r="BJ113" s="528">
        <v>0</v>
      </c>
      <c r="BK113" s="528">
        <v>0</v>
      </c>
      <c r="BL113" s="528">
        <v>30091.56</v>
      </c>
      <c r="BM113" s="528">
        <v>0</v>
      </c>
      <c r="BN113" s="528">
        <v>0</v>
      </c>
      <c r="BO113" s="528">
        <v>0</v>
      </c>
      <c r="BP113" s="528">
        <v>0</v>
      </c>
      <c r="BQ113" s="528">
        <v>0</v>
      </c>
      <c r="BR113" s="528">
        <v>114023.5</v>
      </c>
      <c r="BS113" s="528">
        <v>30091.56</v>
      </c>
      <c r="BT113" s="528">
        <v>144115.06</v>
      </c>
      <c r="BU113" s="528">
        <v>0</v>
      </c>
      <c r="BV113" s="528">
        <v>0</v>
      </c>
      <c r="BW113" s="528">
        <v>0</v>
      </c>
      <c r="BX113" s="528">
        <v>0</v>
      </c>
      <c r="BY113" s="528">
        <v>0</v>
      </c>
      <c r="BZ113" s="528">
        <v>0</v>
      </c>
      <c r="CA113" s="528">
        <v>0</v>
      </c>
      <c r="CB113" s="528">
        <v>0</v>
      </c>
      <c r="CC113" s="528">
        <v>0</v>
      </c>
      <c r="CD113" s="528">
        <v>3970910.9200000027</v>
      </c>
      <c r="CE113" s="528">
        <v>0</v>
      </c>
      <c r="CF113" s="528">
        <v>144115.06</v>
      </c>
      <c r="CG113" s="528">
        <v>0</v>
      </c>
      <c r="CH113" s="528">
        <v>0</v>
      </c>
      <c r="CI113" s="528">
        <f t="shared" si="1"/>
        <v>4115025.9800000028</v>
      </c>
      <c r="CJ113" s="528">
        <v>4250826.3899999997</v>
      </c>
      <c r="CK113" s="528">
        <v>37910</v>
      </c>
      <c r="CL113" s="528">
        <v>77865</v>
      </c>
      <c r="CM113" s="528">
        <v>4290781.3899999997</v>
      </c>
      <c r="CN113" s="528">
        <v>0</v>
      </c>
      <c r="CO113" s="528">
        <v>0</v>
      </c>
      <c r="CP113" s="528">
        <v>102670.49</v>
      </c>
      <c r="CQ113" s="528">
        <v>0</v>
      </c>
      <c r="CR113" s="528">
        <v>-183395.34</v>
      </c>
      <c r="CS113" s="528">
        <v>4210056.54</v>
      </c>
      <c r="CT113" s="528">
        <v>0</v>
      </c>
      <c r="CU113" s="528">
        <v>0</v>
      </c>
      <c r="CV113" s="528">
        <v>0</v>
      </c>
      <c r="CW113" s="528">
        <v>0</v>
      </c>
      <c r="CX113" s="528"/>
      <c r="CY113" s="528"/>
      <c r="CZ113" s="528"/>
      <c r="DA113" s="528">
        <v>0</v>
      </c>
      <c r="DB113" s="528">
        <v>0</v>
      </c>
      <c r="DC113" s="528">
        <v>5068.8</v>
      </c>
      <c r="DD113" s="528">
        <v>4281.29</v>
      </c>
      <c r="DE113" s="528">
        <v>43095.8</v>
      </c>
      <c r="DF113" s="528">
        <v>0</v>
      </c>
      <c r="DG113" s="528">
        <v>-158144.4</v>
      </c>
      <c r="DH113" s="528">
        <v>-2318.9</v>
      </c>
      <c r="DI113" s="528">
        <v>0</v>
      </c>
      <c r="DJ113" s="528">
        <v>0</v>
      </c>
      <c r="DK113" s="528">
        <v>-108017.40999999999</v>
      </c>
      <c r="DL113" s="528">
        <v>12986.85</v>
      </c>
      <c r="DM113" s="528">
        <v>0</v>
      </c>
      <c r="DN113" s="528">
        <v>0</v>
      </c>
      <c r="DO113" s="528">
        <v>0</v>
      </c>
      <c r="DP113" s="528">
        <v>0</v>
      </c>
      <c r="DQ113" s="529">
        <v>0</v>
      </c>
      <c r="DR113" s="530">
        <v>10071869</v>
      </c>
      <c r="DS113" s="531">
        <v>3314468.9099999983</v>
      </c>
      <c r="DT113" s="530">
        <v>-18471.64</v>
      </c>
      <c r="DU113" s="530">
        <v>486847.29000000004</v>
      </c>
      <c r="DV113" s="530">
        <v>5068.8</v>
      </c>
      <c r="DW113" s="530">
        <v>12986.85</v>
      </c>
    </row>
    <row r="114" spans="1:127" s="103" customFormat="1">
      <c r="A114" s="525">
        <v>2457</v>
      </c>
      <c r="B114" s="526" t="s">
        <v>717</v>
      </c>
      <c r="C114" s="525">
        <v>2457</v>
      </c>
      <c r="D114" s="527" t="s">
        <v>1284</v>
      </c>
      <c r="E114" s="527" t="s">
        <v>538</v>
      </c>
      <c r="F114" s="527" t="s">
        <v>5</v>
      </c>
      <c r="G114" s="527" t="s">
        <v>535</v>
      </c>
      <c r="H114" s="528">
        <v>2583930.31</v>
      </c>
      <c r="I114" s="528">
        <v>0</v>
      </c>
      <c r="J114" s="528">
        <v>259737.79</v>
      </c>
      <c r="K114" s="528">
        <v>0</v>
      </c>
      <c r="L114" s="528">
        <v>254880</v>
      </c>
      <c r="M114" s="528">
        <v>856.93</v>
      </c>
      <c r="N114" s="528">
        <v>0</v>
      </c>
      <c r="O114" s="528">
        <v>0</v>
      </c>
      <c r="P114" s="528">
        <v>62863.64</v>
      </c>
      <c r="Q114" s="528">
        <v>35976.78</v>
      </c>
      <c r="R114" s="528">
        <v>1512.95</v>
      </c>
      <c r="S114" s="528">
        <v>0</v>
      </c>
      <c r="T114" s="528">
        <v>6095.4099999999989</v>
      </c>
      <c r="U114" s="528">
        <v>150.84</v>
      </c>
      <c r="V114" s="528">
        <v>0</v>
      </c>
      <c r="W114" s="528">
        <v>9499.23</v>
      </c>
      <c r="X114" s="528">
        <v>74903</v>
      </c>
      <c r="Y114" s="528">
        <v>3290406.8800000004</v>
      </c>
      <c r="Z114" s="528">
        <v>1218842.4699999986</v>
      </c>
      <c r="AA114" s="528">
        <v>-533.91</v>
      </c>
      <c r="AB114" s="528">
        <v>-17835.140000000003</v>
      </c>
      <c r="AC114" s="528">
        <v>536394.76999999979</v>
      </c>
      <c r="AD114" s="528">
        <v>203.57</v>
      </c>
      <c r="AE114" s="528">
        <v>0</v>
      </c>
      <c r="AF114" s="528">
        <v>601576.41999999888</v>
      </c>
      <c r="AG114" s="528">
        <v>30560.389999999974</v>
      </c>
      <c r="AH114" s="528">
        <v>2720.83</v>
      </c>
      <c r="AI114" s="528">
        <v>0</v>
      </c>
      <c r="AJ114" s="528">
        <v>0</v>
      </c>
      <c r="AK114" s="528">
        <v>278908.99</v>
      </c>
      <c r="AL114" s="528">
        <v>0</v>
      </c>
      <c r="AM114" s="528">
        <v>4561.4499999999989</v>
      </c>
      <c r="AN114" s="528">
        <v>-51.480000000000132</v>
      </c>
      <c r="AO114" s="528">
        <v>38107.859999999993</v>
      </c>
      <c r="AP114" s="528">
        <v>31799.81</v>
      </c>
      <c r="AQ114" s="528">
        <v>17382.179999999993</v>
      </c>
      <c r="AR114" s="528">
        <v>82526.989999999991</v>
      </c>
      <c r="AS114" s="528">
        <v>43373.819999999992</v>
      </c>
      <c r="AT114" s="528">
        <v>700</v>
      </c>
      <c r="AU114" s="528">
        <v>49642.55000000001</v>
      </c>
      <c r="AV114" s="528">
        <v>9471</v>
      </c>
      <c r="AW114" s="528">
        <v>2975</v>
      </c>
      <c r="AX114" s="528">
        <v>197433.78</v>
      </c>
      <c r="AY114" s="528">
        <v>207511.14999999997</v>
      </c>
      <c r="AZ114" s="528">
        <v>10328.84</v>
      </c>
      <c r="BA114" s="528">
        <v>131850.53999999998</v>
      </c>
      <c r="BB114" s="528">
        <v>0</v>
      </c>
      <c r="BC114" s="528">
        <v>0</v>
      </c>
      <c r="BD114" s="528">
        <v>0</v>
      </c>
      <c r="BE114" s="528">
        <v>3478451.8799999976</v>
      </c>
      <c r="BF114" s="528">
        <v>974998.39999999991</v>
      </c>
      <c r="BG114" s="528">
        <v>-188044.99999999721</v>
      </c>
      <c r="BH114" s="528">
        <v>786953.4000000027</v>
      </c>
      <c r="BI114" s="528">
        <v>8954.5</v>
      </c>
      <c r="BJ114" s="528">
        <v>0</v>
      </c>
      <c r="BK114" s="528">
        <v>0</v>
      </c>
      <c r="BL114" s="528">
        <v>8954.5</v>
      </c>
      <c r="BM114" s="528">
        <v>0</v>
      </c>
      <c r="BN114" s="528">
        <v>139</v>
      </c>
      <c r="BO114" s="528">
        <v>0</v>
      </c>
      <c r="BP114" s="528">
        <v>0</v>
      </c>
      <c r="BQ114" s="528">
        <v>139</v>
      </c>
      <c r="BR114" s="528">
        <v>0</v>
      </c>
      <c r="BS114" s="528">
        <v>8815.5</v>
      </c>
      <c r="BT114" s="528">
        <v>8815.5</v>
      </c>
      <c r="BU114" s="528">
        <v>0</v>
      </c>
      <c r="BV114" s="528">
        <v>0</v>
      </c>
      <c r="BW114" s="528">
        <v>0</v>
      </c>
      <c r="BX114" s="528">
        <v>0</v>
      </c>
      <c r="BY114" s="528">
        <v>0</v>
      </c>
      <c r="BZ114" s="528">
        <v>0</v>
      </c>
      <c r="CA114" s="528">
        <v>0</v>
      </c>
      <c r="CB114" s="528">
        <v>0</v>
      </c>
      <c r="CC114" s="528">
        <v>0</v>
      </c>
      <c r="CD114" s="528">
        <v>786953.4000000027</v>
      </c>
      <c r="CE114" s="528">
        <v>0</v>
      </c>
      <c r="CF114" s="528">
        <v>8815.5</v>
      </c>
      <c r="CG114" s="528">
        <v>0</v>
      </c>
      <c r="CH114" s="528">
        <v>0</v>
      </c>
      <c r="CI114" s="528">
        <f t="shared" si="1"/>
        <v>795768.9000000027</v>
      </c>
      <c r="CJ114" s="528">
        <v>145384.75</v>
      </c>
      <c r="CK114" s="528">
        <v>86</v>
      </c>
      <c r="CL114" s="528">
        <v>0</v>
      </c>
      <c r="CM114" s="528">
        <v>145298.75</v>
      </c>
      <c r="CN114" s="528">
        <v>0</v>
      </c>
      <c r="CO114" s="528">
        <v>0</v>
      </c>
      <c r="CP114" s="528">
        <v>27409.56</v>
      </c>
      <c r="CQ114" s="528">
        <v>0</v>
      </c>
      <c r="CR114" s="528">
        <v>738373.26</v>
      </c>
      <c r="CS114" s="528">
        <v>911081.57000000007</v>
      </c>
      <c r="CT114" s="528">
        <v>0</v>
      </c>
      <c r="CU114" s="528">
        <v>0</v>
      </c>
      <c r="CV114" s="528">
        <v>0</v>
      </c>
      <c r="CW114" s="528">
        <v>0</v>
      </c>
      <c r="CX114" s="528"/>
      <c r="CY114" s="528"/>
      <c r="CZ114" s="528"/>
      <c r="DA114" s="528">
        <v>0</v>
      </c>
      <c r="DB114" s="528">
        <v>0</v>
      </c>
      <c r="DC114" s="528">
        <v>0</v>
      </c>
      <c r="DD114" s="528">
        <v>37525.39</v>
      </c>
      <c r="DE114" s="528">
        <v>0</v>
      </c>
      <c r="DF114" s="528">
        <v>0</v>
      </c>
      <c r="DG114" s="528">
        <v>-109634.59</v>
      </c>
      <c r="DH114" s="528">
        <v>-43203.82</v>
      </c>
      <c r="DI114" s="528">
        <v>0</v>
      </c>
      <c r="DJ114" s="528">
        <v>0</v>
      </c>
      <c r="DK114" s="528">
        <v>-115313.01999999999</v>
      </c>
      <c r="DL114" s="528">
        <v>0</v>
      </c>
      <c r="DM114" s="528">
        <v>0</v>
      </c>
      <c r="DN114" s="528">
        <v>0</v>
      </c>
      <c r="DO114" s="528">
        <v>0</v>
      </c>
      <c r="DP114" s="528">
        <v>0</v>
      </c>
      <c r="DQ114" s="529">
        <v>0.34999999986030161</v>
      </c>
      <c r="DR114" s="530">
        <v>2369208.5699999975</v>
      </c>
      <c r="DS114" s="531">
        <v>1109243.31</v>
      </c>
      <c r="DT114" s="530">
        <v>207511.14999999997</v>
      </c>
      <c r="DU114" s="530">
        <v>104935.83</v>
      </c>
      <c r="DV114" s="530">
        <v>1663.79</v>
      </c>
      <c r="DW114" s="530">
        <v>0</v>
      </c>
    </row>
    <row r="115" spans="1:127" s="103" customFormat="1">
      <c r="A115" s="525">
        <v>2142</v>
      </c>
      <c r="B115" s="526" t="s">
        <v>719</v>
      </c>
      <c r="C115" s="525">
        <v>2142</v>
      </c>
      <c r="D115" s="527" t="s">
        <v>1284</v>
      </c>
      <c r="E115" s="527" t="s">
        <v>538</v>
      </c>
      <c r="F115" s="527" t="s">
        <v>5</v>
      </c>
      <c r="G115" s="527" t="s">
        <v>535</v>
      </c>
      <c r="H115" s="528">
        <v>2732388.45</v>
      </c>
      <c r="I115" s="528">
        <v>0</v>
      </c>
      <c r="J115" s="528">
        <v>174775.55</v>
      </c>
      <c r="K115" s="528">
        <v>0</v>
      </c>
      <c r="L115" s="528">
        <v>285640</v>
      </c>
      <c r="M115" s="528">
        <v>5571.2899999999936</v>
      </c>
      <c r="N115" s="528">
        <v>0</v>
      </c>
      <c r="O115" s="528">
        <v>0</v>
      </c>
      <c r="P115" s="528">
        <v>36189.93</v>
      </c>
      <c r="Q115" s="528">
        <v>1513.3799999999974</v>
      </c>
      <c r="R115" s="528">
        <v>0</v>
      </c>
      <c r="S115" s="528">
        <v>0</v>
      </c>
      <c r="T115" s="528">
        <v>11164.609999999993</v>
      </c>
      <c r="U115" s="528">
        <v>134616.71</v>
      </c>
      <c r="V115" s="528">
        <v>0</v>
      </c>
      <c r="W115" s="528">
        <v>17712.919999999998</v>
      </c>
      <c r="X115" s="528">
        <v>65138</v>
      </c>
      <c r="Y115" s="528">
        <v>3464710.84</v>
      </c>
      <c r="Z115" s="528">
        <v>1629082.840000001</v>
      </c>
      <c r="AA115" s="528">
        <v>0</v>
      </c>
      <c r="AB115" s="528">
        <v>290761.40999999997</v>
      </c>
      <c r="AC115" s="528">
        <v>40265.550000000687</v>
      </c>
      <c r="AD115" s="528">
        <v>199886.67</v>
      </c>
      <c r="AE115" s="528">
        <v>0</v>
      </c>
      <c r="AF115" s="528">
        <v>92683.679999999818</v>
      </c>
      <c r="AG115" s="528">
        <v>10018.200000000035</v>
      </c>
      <c r="AH115" s="528">
        <v>11507.7</v>
      </c>
      <c r="AI115" s="528">
        <v>0</v>
      </c>
      <c r="AJ115" s="528">
        <v>0</v>
      </c>
      <c r="AK115" s="528">
        <v>55893.42</v>
      </c>
      <c r="AL115" s="528">
        <v>6563</v>
      </c>
      <c r="AM115" s="528">
        <v>62276.829999999994</v>
      </c>
      <c r="AN115" s="528">
        <v>715.57</v>
      </c>
      <c r="AO115" s="528">
        <v>61475.499999999985</v>
      </c>
      <c r="AP115" s="528">
        <v>23115.16</v>
      </c>
      <c r="AQ115" s="528">
        <v>18209.73</v>
      </c>
      <c r="AR115" s="528">
        <v>308158.81999999989</v>
      </c>
      <c r="AS115" s="528">
        <v>7268.87</v>
      </c>
      <c r="AT115" s="528">
        <v>0</v>
      </c>
      <c r="AU115" s="528">
        <v>142150.37</v>
      </c>
      <c r="AV115" s="528">
        <v>9471</v>
      </c>
      <c r="AW115" s="528">
        <v>5190</v>
      </c>
      <c r="AX115" s="528">
        <v>148924.99</v>
      </c>
      <c r="AY115" s="528">
        <v>63598.049999999945</v>
      </c>
      <c r="AZ115" s="528">
        <v>13124.19</v>
      </c>
      <c r="BA115" s="528">
        <v>209973.69999999995</v>
      </c>
      <c r="BB115" s="528">
        <v>0</v>
      </c>
      <c r="BC115" s="528">
        <v>0</v>
      </c>
      <c r="BD115" s="528">
        <v>0</v>
      </c>
      <c r="BE115" s="528">
        <v>3410315.2500000009</v>
      </c>
      <c r="BF115" s="528">
        <v>1122784.47</v>
      </c>
      <c r="BG115" s="528">
        <v>54395.58999999892</v>
      </c>
      <c r="BH115" s="528">
        <v>1177180.0599999989</v>
      </c>
      <c r="BI115" s="528">
        <v>32889</v>
      </c>
      <c r="BJ115" s="528">
        <v>0</v>
      </c>
      <c r="BK115" s="528">
        <v>0</v>
      </c>
      <c r="BL115" s="528">
        <v>32889</v>
      </c>
      <c r="BM115" s="528">
        <v>0</v>
      </c>
      <c r="BN115" s="528">
        <v>0</v>
      </c>
      <c r="BO115" s="528">
        <v>3600</v>
      </c>
      <c r="BP115" s="528">
        <v>0</v>
      </c>
      <c r="BQ115" s="528">
        <v>3600</v>
      </c>
      <c r="BR115" s="528">
        <v>0</v>
      </c>
      <c r="BS115" s="528">
        <v>29289</v>
      </c>
      <c r="BT115" s="528">
        <v>29289</v>
      </c>
      <c r="BU115" s="528">
        <v>0</v>
      </c>
      <c r="BV115" s="528">
        <v>0</v>
      </c>
      <c r="BW115" s="528">
        <v>0</v>
      </c>
      <c r="BX115" s="528">
        <v>0</v>
      </c>
      <c r="BY115" s="528">
        <v>0</v>
      </c>
      <c r="BZ115" s="528">
        <v>0</v>
      </c>
      <c r="CA115" s="528">
        <v>0</v>
      </c>
      <c r="CB115" s="528">
        <v>0</v>
      </c>
      <c r="CC115" s="528">
        <v>0</v>
      </c>
      <c r="CD115" s="528">
        <v>1177180.0599999989</v>
      </c>
      <c r="CE115" s="528">
        <v>0</v>
      </c>
      <c r="CF115" s="528">
        <v>29289</v>
      </c>
      <c r="CG115" s="528">
        <v>0</v>
      </c>
      <c r="CH115" s="528">
        <v>0</v>
      </c>
      <c r="CI115" s="528">
        <f t="shared" si="1"/>
        <v>1206469.0599999989</v>
      </c>
      <c r="CJ115" s="528">
        <v>1416074.64</v>
      </c>
      <c r="CK115" s="528">
        <v>0</v>
      </c>
      <c r="CL115" s="528">
        <v>0</v>
      </c>
      <c r="CM115" s="528">
        <v>1416074.64</v>
      </c>
      <c r="CN115" s="528">
        <v>0</v>
      </c>
      <c r="CO115" s="528">
        <v>0</v>
      </c>
      <c r="CP115" s="528">
        <v>11932.34</v>
      </c>
      <c r="CQ115" s="528">
        <v>0</v>
      </c>
      <c r="CR115" s="528">
        <v>-214266.53</v>
      </c>
      <c r="CS115" s="528">
        <v>1213740.45</v>
      </c>
      <c r="CT115" s="528">
        <v>0</v>
      </c>
      <c r="CU115" s="528">
        <v>0</v>
      </c>
      <c r="CV115" s="528">
        <v>0</v>
      </c>
      <c r="CW115" s="528">
        <v>0</v>
      </c>
      <c r="CX115" s="528"/>
      <c r="CY115" s="528"/>
      <c r="CZ115" s="528"/>
      <c r="DA115" s="528">
        <v>0</v>
      </c>
      <c r="DB115" s="528">
        <v>0</v>
      </c>
      <c r="DC115" s="528">
        <v>0</v>
      </c>
      <c r="DD115" s="528">
        <v>36189.93</v>
      </c>
      <c r="DE115" s="528">
        <v>0</v>
      </c>
      <c r="DF115" s="528">
        <v>0</v>
      </c>
      <c r="DG115" s="528">
        <v>0</v>
      </c>
      <c r="DH115" s="528">
        <v>-43461.17</v>
      </c>
      <c r="DI115" s="528">
        <v>0</v>
      </c>
      <c r="DJ115" s="528">
        <v>0</v>
      </c>
      <c r="DK115" s="528">
        <v>-7271.239999999998</v>
      </c>
      <c r="DL115" s="528">
        <v>0</v>
      </c>
      <c r="DM115" s="528">
        <v>0</v>
      </c>
      <c r="DN115" s="528">
        <v>0</v>
      </c>
      <c r="DO115" s="528">
        <v>0</v>
      </c>
      <c r="DP115" s="528">
        <v>0</v>
      </c>
      <c r="DQ115" s="529">
        <v>-0.14999999990686774</v>
      </c>
      <c r="DR115" s="530">
        <v>2262698.3500000015</v>
      </c>
      <c r="DS115" s="531">
        <v>1147616.8999999994</v>
      </c>
      <c r="DT115" s="530">
        <v>63598.049999999945</v>
      </c>
      <c r="DU115" s="530">
        <v>48867.919999999991</v>
      </c>
      <c r="DV115" s="530">
        <v>134616.71</v>
      </c>
      <c r="DW115" s="530">
        <v>0</v>
      </c>
    </row>
    <row r="116" spans="1:127" s="103" customFormat="1">
      <c r="A116" s="525">
        <v>2469</v>
      </c>
      <c r="B116" s="526" t="s">
        <v>721</v>
      </c>
      <c r="C116" s="525">
        <v>2469</v>
      </c>
      <c r="D116" s="527" t="s">
        <v>1284</v>
      </c>
      <c r="E116" s="527" t="s">
        <v>538</v>
      </c>
      <c r="F116" s="527" t="s">
        <v>5</v>
      </c>
      <c r="G116" s="527" t="s">
        <v>535</v>
      </c>
      <c r="H116" s="528">
        <v>1871414</v>
      </c>
      <c r="I116" s="528">
        <v>0</v>
      </c>
      <c r="J116" s="528">
        <v>140015</v>
      </c>
      <c r="K116" s="528">
        <v>0</v>
      </c>
      <c r="L116" s="528">
        <v>198390</v>
      </c>
      <c r="M116" s="528">
        <v>0</v>
      </c>
      <c r="N116" s="528">
        <v>3205</v>
      </c>
      <c r="O116" s="528">
        <v>33415</v>
      </c>
      <c r="P116" s="528">
        <v>55973</v>
      </c>
      <c r="Q116" s="528">
        <v>0</v>
      </c>
      <c r="R116" s="528">
        <v>5000</v>
      </c>
      <c r="S116" s="528">
        <v>600</v>
      </c>
      <c r="T116" s="528">
        <v>17803</v>
      </c>
      <c r="U116" s="528">
        <v>133997</v>
      </c>
      <c r="V116" s="528">
        <v>0</v>
      </c>
      <c r="W116" s="528">
        <v>3198</v>
      </c>
      <c r="X116" s="528">
        <v>54082</v>
      </c>
      <c r="Y116" s="528">
        <v>2517092</v>
      </c>
      <c r="Z116" s="528">
        <v>1245880</v>
      </c>
      <c r="AA116" s="528">
        <v>0</v>
      </c>
      <c r="AB116" s="528">
        <v>318080</v>
      </c>
      <c r="AC116" s="528">
        <v>58607</v>
      </c>
      <c r="AD116" s="528">
        <v>279208</v>
      </c>
      <c r="AE116" s="528">
        <v>51604</v>
      </c>
      <c r="AF116" s="528">
        <v>74382</v>
      </c>
      <c r="AG116" s="528">
        <v>8953</v>
      </c>
      <c r="AH116" s="528">
        <v>1949</v>
      </c>
      <c r="AI116" s="528">
        <v>12695</v>
      </c>
      <c r="AJ116" s="528">
        <v>0</v>
      </c>
      <c r="AK116" s="528">
        <v>58578</v>
      </c>
      <c r="AL116" s="528">
        <v>7116</v>
      </c>
      <c r="AM116" s="528">
        <v>19474</v>
      </c>
      <c r="AN116" s="528">
        <v>17344</v>
      </c>
      <c r="AO116" s="528">
        <v>68788</v>
      </c>
      <c r="AP116" s="528">
        <v>25052</v>
      </c>
      <c r="AQ116" s="528">
        <v>87768</v>
      </c>
      <c r="AR116" s="528">
        <v>52328</v>
      </c>
      <c r="AS116" s="528">
        <v>2753</v>
      </c>
      <c r="AT116" s="528">
        <v>0</v>
      </c>
      <c r="AU116" s="528">
        <v>42033</v>
      </c>
      <c r="AV116" s="528">
        <v>9471</v>
      </c>
      <c r="AW116" s="528">
        <v>0</v>
      </c>
      <c r="AX116" s="528">
        <v>33769</v>
      </c>
      <c r="AY116" s="528">
        <v>3793</v>
      </c>
      <c r="AZ116" s="528">
        <v>8148</v>
      </c>
      <c r="BA116" s="528">
        <v>156092</v>
      </c>
      <c r="BB116" s="528">
        <v>0</v>
      </c>
      <c r="BC116" s="528">
        <v>0</v>
      </c>
      <c r="BD116" s="528">
        <v>0</v>
      </c>
      <c r="BE116" s="528">
        <v>2643865</v>
      </c>
      <c r="BF116" s="528">
        <v>413187</v>
      </c>
      <c r="BG116" s="528">
        <v>-126773</v>
      </c>
      <c r="BH116" s="528">
        <v>286414</v>
      </c>
      <c r="BI116" s="528">
        <v>7645</v>
      </c>
      <c r="BJ116" s="528">
        <v>0</v>
      </c>
      <c r="BK116" s="528">
        <v>0</v>
      </c>
      <c r="BL116" s="528">
        <v>7645</v>
      </c>
      <c r="BM116" s="528">
        <v>0</v>
      </c>
      <c r="BN116" s="528">
        <v>0</v>
      </c>
      <c r="BO116" s="528">
        <v>0</v>
      </c>
      <c r="BP116" s="528">
        <v>0</v>
      </c>
      <c r="BQ116" s="528">
        <v>0</v>
      </c>
      <c r="BR116" s="528">
        <v>0</v>
      </c>
      <c r="BS116" s="528">
        <v>7645</v>
      </c>
      <c r="BT116" s="528">
        <v>7645</v>
      </c>
      <c r="BU116" s="528">
        <v>0</v>
      </c>
      <c r="BV116" s="528">
        <v>0</v>
      </c>
      <c r="BW116" s="528">
        <v>0</v>
      </c>
      <c r="BX116" s="528">
        <v>0</v>
      </c>
      <c r="BY116" s="528">
        <v>0</v>
      </c>
      <c r="BZ116" s="528">
        <v>0</v>
      </c>
      <c r="CA116" s="528">
        <v>0</v>
      </c>
      <c r="CB116" s="528">
        <v>0</v>
      </c>
      <c r="CC116" s="528">
        <v>0</v>
      </c>
      <c r="CD116" s="528">
        <v>286414</v>
      </c>
      <c r="CE116" s="528">
        <v>0</v>
      </c>
      <c r="CF116" s="528">
        <v>7645</v>
      </c>
      <c r="CG116" s="528">
        <v>0</v>
      </c>
      <c r="CH116" s="528">
        <v>0</v>
      </c>
      <c r="CI116" s="528">
        <f t="shared" si="1"/>
        <v>294059</v>
      </c>
      <c r="CJ116" s="528">
        <v>514454</v>
      </c>
      <c r="CK116" s="528">
        <v>0</v>
      </c>
      <c r="CL116" s="528">
        <v>953</v>
      </c>
      <c r="CM116" s="528">
        <v>515406</v>
      </c>
      <c r="CN116" s="528">
        <v>225</v>
      </c>
      <c r="CO116" s="528">
        <v>0</v>
      </c>
      <c r="CP116" s="528">
        <v>-39596</v>
      </c>
      <c r="CQ116" s="528">
        <v>0</v>
      </c>
      <c r="CR116" s="528">
        <v>-221493</v>
      </c>
      <c r="CS116" s="528">
        <v>254543</v>
      </c>
      <c r="CT116" s="528">
        <v>0</v>
      </c>
      <c r="CU116" s="528">
        <v>0</v>
      </c>
      <c r="CV116" s="528">
        <v>0</v>
      </c>
      <c r="CW116" s="528">
        <v>0</v>
      </c>
      <c r="CX116" s="528"/>
      <c r="CY116" s="528"/>
      <c r="CZ116" s="528"/>
      <c r="DA116" s="528">
        <v>0</v>
      </c>
      <c r="DB116" s="528">
        <v>0</v>
      </c>
      <c r="DC116" s="528">
        <v>32158</v>
      </c>
      <c r="DD116" s="528">
        <v>14706</v>
      </c>
      <c r="DE116" s="528">
        <v>0</v>
      </c>
      <c r="DF116" s="528">
        <v>0</v>
      </c>
      <c r="DG116" s="528">
        <v>-6725</v>
      </c>
      <c r="DH116" s="528">
        <v>0</v>
      </c>
      <c r="DI116" s="528">
        <v>0</v>
      </c>
      <c r="DJ116" s="528">
        <v>0</v>
      </c>
      <c r="DK116" s="528">
        <v>40139</v>
      </c>
      <c r="DL116" s="528">
        <v>0</v>
      </c>
      <c r="DM116" s="528">
        <v>0</v>
      </c>
      <c r="DN116" s="528">
        <v>0</v>
      </c>
      <c r="DO116" s="528">
        <v>0</v>
      </c>
      <c r="DP116" s="528">
        <v>-623</v>
      </c>
      <c r="DQ116" s="529">
        <v>-0.27</v>
      </c>
      <c r="DR116" s="530">
        <v>2036714</v>
      </c>
      <c r="DS116" s="531">
        <v>607151</v>
      </c>
      <c r="DT116" s="530">
        <v>3793</v>
      </c>
      <c r="DU116" s="530">
        <v>107191</v>
      </c>
      <c r="DV116" s="530">
        <v>139597</v>
      </c>
      <c r="DW116" s="530">
        <v>-623</v>
      </c>
    </row>
    <row r="117" spans="1:127" s="103" customFormat="1">
      <c r="A117" s="525">
        <v>3431</v>
      </c>
      <c r="B117" s="526" t="s">
        <v>905</v>
      </c>
      <c r="C117" s="525">
        <v>3431</v>
      </c>
      <c r="D117" s="527" t="s">
        <v>1284</v>
      </c>
      <c r="E117" s="527" t="s">
        <v>538</v>
      </c>
      <c r="F117" s="527" t="s">
        <v>5</v>
      </c>
      <c r="G117" s="527" t="s">
        <v>958</v>
      </c>
      <c r="H117" s="528">
        <v>3397134.28</v>
      </c>
      <c r="I117" s="528">
        <v>0</v>
      </c>
      <c r="J117" s="528">
        <v>137789.84</v>
      </c>
      <c r="K117" s="528">
        <v>0</v>
      </c>
      <c r="L117" s="528">
        <v>186620</v>
      </c>
      <c r="M117" s="528">
        <v>6106.93</v>
      </c>
      <c r="N117" s="528">
        <v>0</v>
      </c>
      <c r="O117" s="528">
        <v>0</v>
      </c>
      <c r="P117" s="528">
        <v>155478.23000000001</v>
      </c>
      <c r="Q117" s="528">
        <v>267</v>
      </c>
      <c r="R117" s="528">
        <v>0</v>
      </c>
      <c r="S117" s="528">
        <v>0</v>
      </c>
      <c r="T117" s="528">
        <v>107070.78000000003</v>
      </c>
      <c r="U117" s="528">
        <v>53496</v>
      </c>
      <c r="V117" s="528">
        <v>0</v>
      </c>
      <c r="W117" s="528">
        <v>9575</v>
      </c>
      <c r="X117" s="528">
        <v>128509</v>
      </c>
      <c r="Y117" s="528">
        <v>4182047.0599999996</v>
      </c>
      <c r="Z117" s="528">
        <v>2100958.5200000056</v>
      </c>
      <c r="AA117" s="528">
        <v>0</v>
      </c>
      <c r="AB117" s="528">
        <v>768635.06</v>
      </c>
      <c r="AC117" s="528">
        <v>42209</v>
      </c>
      <c r="AD117" s="528">
        <v>178249.81999999998</v>
      </c>
      <c r="AE117" s="528">
        <v>0</v>
      </c>
      <c r="AF117" s="528">
        <v>264357.52999999991</v>
      </c>
      <c r="AG117" s="528">
        <v>1952.9000000000074</v>
      </c>
      <c r="AH117" s="528">
        <v>2987</v>
      </c>
      <c r="AI117" s="528">
        <v>0</v>
      </c>
      <c r="AJ117" s="528">
        <v>0</v>
      </c>
      <c r="AK117" s="528">
        <v>25761</v>
      </c>
      <c r="AL117" s="528">
        <v>2169.16</v>
      </c>
      <c r="AM117" s="528">
        <v>75549.999999999985</v>
      </c>
      <c r="AN117" s="528">
        <v>19852.999999999996</v>
      </c>
      <c r="AO117" s="528">
        <v>71536</v>
      </c>
      <c r="AP117" s="528">
        <v>109798.62</v>
      </c>
      <c r="AQ117" s="528">
        <v>19849</v>
      </c>
      <c r="AR117" s="528">
        <v>163771.06000000003</v>
      </c>
      <c r="AS117" s="528">
        <v>6704</v>
      </c>
      <c r="AT117" s="528">
        <v>0</v>
      </c>
      <c r="AU117" s="528">
        <v>29586.000000000025</v>
      </c>
      <c r="AV117" s="528">
        <v>18745.650000000001</v>
      </c>
      <c r="AW117" s="528">
        <v>0</v>
      </c>
      <c r="AX117" s="528">
        <v>133291</v>
      </c>
      <c r="AY117" s="528">
        <v>72117.000000000058</v>
      </c>
      <c r="AZ117" s="528">
        <v>120147.95999999999</v>
      </c>
      <c r="BA117" s="528">
        <v>44469</v>
      </c>
      <c r="BB117" s="528">
        <v>0</v>
      </c>
      <c r="BC117" s="528">
        <v>0</v>
      </c>
      <c r="BD117" s="528">
        <v>0</v>
      </c>
      <c r="BE117" s="528">
        <v>4272698.2800000058</v>
      </c>
      <c r="BF117" s="528">
        <v>-145985.84000000134</v>
      </c>
      <c r="BG117" s="528">
        <v>-90651.220000006258</v>
      </c>
      <c r="BH117" s="528">
        <v>-236637.06000000759</v>
      </c>
      <c r="BI117" s="528">
        <v>11413.75</v>
      </c>
      <c r="BJ117" s="528">
        <v>0</v>
      </c>
      <c r="BK117" s="528">
        <v>0</v>
      </c>
      <c r="BL117" s="528">
        <v>11413.75</v>
      </c>
      <c r="BM117" s="528">
        <v>0</v>
      </c>
      <c r="BN117" s="528">
        <v>34318.879999999997</v>
      </c>
      <c r="BO117" s="528">
        <v>0</v>
      </c>
      <c r="BP117" s="528">
        <v>0</v>
      </c>
      <c r="BQ117" s="528">
        <v>34318.879999999997</v>
      </c>
      <c r="BR117" s="528">
        <v>53772.5</v>
      </c>
      <c r="BS117" s="528">
        <v>-22905.129999999997</v>
      </c>
      <c r="BT117" s="528">
        <v>30867.370000000003</v>
      </c>
      <c r="BU117" s="528">
        <v>0</v>
      </c>
      <c r="BV117" s="528">
        <v>0</v>
      </c>
      <c r="BW117" s="528">
        <v>0</v>
      </c>
      <c r="BX117" s="528">
        <v>0</v>
      </c>
      <c r="BY117" s="528">
        <v>0</v>
      </c>
      <c r="BZ117" s="528">
        <v>0</v>
      </c>
      <c r="CA117" s="528">
        <v>0</v>
      </c>
      <c r="CB117" s="528">
        <v>0</v>
      </c>
      <c r="CC117" s="528">
        <v>0</v>
      </c>
      <c r="CD117" s="528">
        <v>-236637.06</v>
      </c>
      <c r="CE117" s="528">
        <v>0</v>
      </c>
      <c r="CF117" s="528">
        <v>30867.37</v>
      </c>
      <c r="CG117" s="528">
        <v>0</v>
      </c>
      <c r="CH117" s="528">
        <v>0</v>
      </c>
      <c r="CI117" s="528">
        <f t="shared" si="1"/>
        <v>-205769.69</v>
      </c>
      <c r="CJ117" s="528">
        <v>0</v>
      </c>
      <c r="CK117" s="528">
        <v>0</v>
      </c>
      <c r="CL117" s="528">
        <v>0</v>
      </c>
      <c r="CM117" s="528">
        <v>0</v>
      </c>
      <c r="CN117" s="528">
        <v>0</v>
      </c>
      <c r="CO117" s="528">
        <v>0</v>
      </c>
      <c r="CP117" s="528">
        <v>0</v>
      </c>
      <c r="CQ117" s="528">
        <v>0</v>
      </c>
      <c r="CR117" s="528">
        <v>0</v>
      </c>
      <c r="CS117" s="528">
        <v>0</v>
      </c>
      <c r="CT117" s="528">
        <v>0</v>
      </c>
      <c r="CU117" s="528">
        <v>0</v>
      </c>
      <c r="CV117" s="528">
        <v>0</v>
      </c>
      <c r="CW117" s="528">
        <v>0</v>
      </c>
      <c r="CX117" s="528"/>
      <c r="CY117" s="528"/>
      <c r="CZ117" s="528"/>
      <c r="DA117" s="528">
        <v>-174855.5000000076</v>
      </c>
      <c r="DB117" s="528">
        <v>-174855.5000000076</v>
      </c>
      <c r="DC117" s="528">
        <v>0</v>
      </c>
      <c r="DD117" s="528">
        <v>59.23</v>
      </c>
      <c r="DE117" s="528">
        <v>0</v>
      </c>
      <c r="DF117" s="528">
        <v>0</v>
      </c>
      <c r="DG117" s="528">
        <v>-27658.52</v>
      </c>
      <c r="DH117" s="528">
        <v>-3314.9</v>
      </c>
      <c r="DI117" s="528">
        <v>0</v>
      </c>
      <c r="DJ117" s="528">
        <v>0</v>
      </c>
      <c r="DK117" s="528">
        <v>-30914.190000000002</v>
      </c>
      <c r="DL117" s="528">
        <v>0</v>
      </c>
      <c r="DM117" s="528">
        <v>0</v>
      </c>
      <c r="DN117" s="528">
        <v>0</v>
      </c>
      <c r="DO117" s="528">
        <v>0</v>
      </c>
      <c r="DP117" s="528">
        <v>0</v>
      </c>
      <c r="DQ117" s="529">
        <v>7.5960997492074966E-9</v>
      </c>
      <c r="DR117" s="530">
        <v>3356362.8300000052</v>
      </c>
      <c r="DS117" s="531">
        <v>916335.45000000065</v>
      </c>
      <c r="DT117" s="530">
        <v>72117.000000000058</v>
      </c>
      <c r="DU117" s="530">
        <v>262816.01</v>
      </c>
      <c r="DV117" s="530">
        <v>53496</v>
      </c>
      <c r="DW117" s="530">
        <v>0</v>
      </c>
    </row>
    <row r="118" spans="1:127" s="103" customFormat="1">
      <c r="A118" s="525">
        <v>1028</v>
      </c>
      <c r="B118" s="526" t="s">
        <v>907</v>
      </c>
      <c r="C118" s="525">
        <v>1028</v>
      </c>
      <c r="D118" s="527" t="s">
        <v>1284</v>
      </c>
      <c r="E118" s="527" t="s">
        <v>534</v>
      </c>
      <c r="F118" s="527" t="s">
        <v>5</v>
      </c>
      <c r="G118" s="527" t="s">
        <v>958</v>
      </c>
      <c r="H118" s="528">
        <v>604124.99517986691</v>
      </c>
      <c r="I118" s="528">
        <v>0</v>
      </c>
      <c r="J118" s="528">
        <v>7320.8033333333351</v>
      </c>
      <c r="K118" s="528">
        <v>0</v>
      </c>
      <c r="L118" s="528">
        <v>0</v>
      </c>
      <c r="M118" s="528">
        <v>200</v>
      </c>
      <c r="N118" s="528">
        <v>31628.5</v>
      </c>
      <c r="O118" s="528">
        <v>0</v>
      </c>
      <c r="P118" s="528">
        <v>0</v>
      </c>
      <c r="Q118" s="528">
        <v>0</v>
      </c>
      <c r="R118" s="528">
        <v>0</v>
      </c>
      <c r="S118" s="528">
        <v>3498.65</v>
      </c>
      <c r="T118" s="528">
        <v>3115.8</v>
      </c>
      <c r="U118" s="528">
        <v>0</v>
      </c>
      <c r="V118" s="528">
        <v>0</v>
      </c>
      <c r="W118" s="528">
        <v>0</v>
      </c>
      <c r="X118" s="528">
        <v>0</v>
      </c>
      <c r="Y118" s="528">
        <v>649888.74851320032</v>
      </c>
      <c r="Z118" s="528">
        <v>103867.86000000003</v>
      </c>
      <c r="AA118" s="528">
        <v>0</v>
      </c>
      <c r="AB118" s="528">
        <v>183057.10999999987</v>
      </c>
      <c r="AC118" s="528">
        <v>17063.8</v>
      </c>
      <c r="AD118" s="528">
        <v>146896.25</v>
      </c>
      <c r="AE118" s="528">
        <v>0</v>
      </c>
      <c r="AF118" s="528">
        <v>4678.8300000000008</v>
      </c>
      <c r="AG118" s="528">
        <v>-5421.1500000000051</v>
      </c>
      <c r="AH118" s="528">
        <v>2255.58</v>
      </c>
      <c r="AI118" s="528">
        <v>0</v>
      </c>
      <c r="AJ118" s="528">
        <v>0</v>
      </c>
      <c r="AK118" s="528">
        <v>17167.760000000006</v>
      </c>
      <c r="AL118" s="528">
        <v>2399.02</v>
      </c>
      <c r="AM118" s="528">
        <v>18464.009999999998</v>
      </c>
      <c r="AN118" s="528">
        <v>1122.5900000000001</v>
      </c>
      <c r="AO118" s="528">
        <v>10529.03</v>
      </c>
      <c r="AP118" s="528">
        <v>0</v>
      </c>
      <c r="AQ118" s="528">
        <v>16850.539999999997</v>
      </c>
      <c r="AR118" s="528">
        <v>11561.909999999998</v>
      </c>
      <c r="AS118" s="528">
        <v>1.999999999998181E-2</v>
      </c>
      <c r="AT118" s="528">
        <v>0</v>
      </c>
      <c r="AU118" s="528">
        <v>11684.77</v>
      </c>
      <c r="AV118" s="528">
        <v>3291.75</v>
      </c>
      <c r="AW118" s="528">
        <v>0</v>
      </c>
      <c r="AX118" s="528">
        <v>5628.73</v>
      </c>
      <c r="AY118" s="528">
        <v>46802.67</v>
      </c>
      <c r="AZ118" s="528">
        <v>96.16</v>
      </c>
      <c r="BA118" s="528">
        <v>76469.399999999994</v>
      </c>
      <c r="BB118" s="528">
        <v>0</v>
      </c>
      <c r="BC118" s="528">
        <v>0</v>
      </c>
      <c r="BD118" s="528">
        <v>0</v>
      </c>
      <c r="BE118" s="528">
        <v>674466.64000000013</v>
      </c>
      <c r="BF118" s="528">
        <v>-82912.920000000086</v>
      </c>
      <c r="BG118" s="528">
        <v>-24577.89148679981</v>
      </c>
      <c r="BH118" s="528">
        <v>-107490.8114867999</v>
      </c>
      <c r="BI118" s="528">
        <v>4762.75</v>
      </c>
      <c r="BJ118" s="528">
        <v>0</v>
      </c>
      <c r="BK118" s="528">
        <v>0</v>
      </c>
      <c r="BL118" s="528">
        <v>4762.75</v>
      </c>
      <c r="BM118" s="528">
        <v>4615</v>
      </c>
      <c r="BN118" s="528">
        <v>0</v>
      </c>
      <c r="BO118" s="528">
        <v>0</v>
      </c>
      <c r="BP118" s="528">
        <v>0</v>
      </c>
      <c r="BQ118" s="528">
        <v>4615</v>
      </c>
      <c r="BR118" s="528">
        <v>0</v>
      </c>
      <c r="BS118" s="528">
        <v>147.75</v>
      </c>
      <c r="BT118" s="528">
        <v>147.75</v>
      </c>
      <c r="BU118" s="528">
        <v>0</v>
      </c>
      <c r="BV118" s="528">
        <v>0</v>
      </c>
      <c r="BW118" s="528">
        <v>0</v>
      </c>
      <c r="BX118" s="528">
        <v>0</v>
      </c>
      <c r="BY118" s="528">
        <v>0</v>
      </c>
      <c r="BZ118" s="528">
        <v>0</v>
      </c>
      <c r="CA118" s="528">
        <v>0</v>
      </c>
      <c r="CB118" s="528">
        <v>0</v>
      </c>
      <c r="CC118" s="528">
        <v>0</v>
      </c>
      <c r="CD118" s="528">
        <v>-107490.8114867999</v>
      </c>
      <c r="CE118" s="528">
        <v>0</v>
      </c>
      <c r="CF118" s="528">
        <v>147.75</v>
      </c>
      <c r="CG118" s="528">
        <v>0</v>
      </c>
      <c r="CH118" s="528">
        <v>0</v>
      </c>
      <c r="CI118" s="528">
        <f t="shared" si="1"/>
        <v>-107343.0614867999</v>
      </c>
      <c r="CJ118" s="528">
        <v>0</v>
      </c>
      <c r="CK118" s="528">
        <v>0</v>
      </c>
      <c r="CL118" s="528">
        <v>0</v>
      </c>
      <c r="CM118" s="528">
        <v>0</v>
      </c>
      <c r="CN118" s="528">
        <v>0</v>
      </c>
      <c r="CO118" s="528">
        <v>0</v>
      </c>
      <c r="CP118" s="528">
        <v>0</v>
      </c>
      <c r="CQ118" s="528">
        <v>0</v>
      </c>
      <c r="CR118" s="528">
        <v>0</v>
      </c>
      <c r="CS118" s="528">
        <v>0</v>
      </c>
      <c r="CT118" s="528">
        <v>0</v>
      </c>
      <c r="CU118" s="528">
        <v>0</v>
      </c>
      <c r="CV118" s="528">
        <v>0</v>
      </c>
      <c r="CW118" s="528">
        <v>0</v>
      </c>
      <c r="CX118" s="528"/>
      <c r="CY118" s="528"/>
      <c r="CZ118" s="528"/>
      <c r="DA118" s="528">
        <v>-88260.5814867999</v>
      </c>
      <c r="DB118" s="528">
        <v>-88260.5814867999</v>
      </c>
      <c r="DC118" s="528">
        <v>0</v>
      </c>
      <c r="DD118" s="528">
        <v>0</v>
      </c>
      <c r="DE118" s="528">
        <v>0</v>
      </c>
      <c r="DF118" s="528">
        <v>0</v>
      </c>
      <c r="DG118" s="528">
        <v>-19082.48</v>
      </c>
      <c r="DH118" s="528">
        <v>0</v>
      </c>
      <c r="DI118" s="528">
        <v>0</v>
      </c>
      <c r="DJ118" s="528">
        <v>0</v>
      </c>
      <c r="DK118" s="528">
        <v>-19082.48</v>
      </c>
      <c r="DL118" s="528">
        <v>0</v>
      </c>
      <c r="DM118" s="528">
        <v>0</v>
      </c>
      <c r="DN118" s="528">
        <v>0</v>
      </c>
      <c r="DO118" s="528">
        <v>0</v>
      </c>
      <c r="DP118" s="528">
        <v>0</v>
      </c>
      <c r="DQ118" s="529">
        <v>0</v>
      </c>
      <c r="DR118" s="530">
        <v>450142.6999999999</v>
      </c>
      <c r="DS118" s="531">
        <v>224323.94000000024</v>
      </c>
      <c r="DT118" s="530">
        <v>46802.67</v>
      </c>
      <c r="DU118" s="530">
        <v>3115.8</v>
      </c>
      <c r="DV118" s="530">
        <v>3498.65</v>
      </c>
      <c r="DW118" s="530">
        <v>0</v>
      </c>
    </row>
    <row r="119" spans="1:127" s="103" customFormat="1">
      <c r="A119" s="525">
        <v>1049</v>
      </c>
      <c r="B119" s="526" t="s">
        <v>723</v>
      </c>
      <c r="C119" s="525">
        <v>1049</v>
      </c>
      <c r="D119" s="527" t="s">
        <v>1284</v>
      </c>
      <c r="E119" s="527" t="s">
        <v>534</v>
      </c>
      <c r="F119" s="527" t="s">
        <v>5</v>
      </c>
      <c r="G119" s="527" t="s">
        <v>535</v>
      </c>
      <c r="H119" s="528">
        <v>838185.16</v>
      </c>
      <c r="I119" s="528">
        <v>0</v>
      </c>
      <c r="J119" s="528">
        <v>34092.26</v>
      </c>
      <c r="K119" s="528">
        <v>0</v>
      </c>
      <c r="L119" s="528">
        <v>0</v>
      </c>
      <c r="M119" s="528">
        <v>0</v>
      </c>
      <c r="N119" s="528">
        <v>11203.35</v>
      </c>
      <c r="O119" s="528">
        <v>0</v>
      </c>
      <c r="P119" s="528">
        <v>27230.809999999998</v>
      </c>
      <c r="Q119" s="528">
        <v>0</v>
      </c>
      <c r="R119" s="528">
        <v>0</v>
      </c>
      <c r="S119" s="528">
        <v>0</v>
      </c>
      <c r="T119" s="528">
        <v>10847.370000000003</v>
      </c>
      <c r="U119" s="528">
        <v>0</v>
      </c>
      <c r="V119" s="528">
        <v>0</v>
      </c>
      <c r="W119" s="528">
        <v>0</v>
      </c>
      <c r="X119" s="528">
        <v>0</v>
      </c>
      <c r="Y119" s="528">
        <v>921558.95000000007</v>
      </c>
      <c r="Z119" s="528">
        <v>233609.11000000022</v>
      </c>
      <c r="AA119" s="528">
        <v>0</v>
      </c>
      <c r="AB119" s="528">
        <v>183725.1</v>
      </c>
      <c r="AC119" s="528">
        <v>28815.919999999824</v>
      </c>
      <c r="AD119" s="528">
        <v>124059.82</v>
      </c>
      <c r="AE119" s="528">
        <v>0</v>
      </c>
      <c r="AF119" s="528">
        <v>19638.650000000111</v>
      </c>
      <c r="AG119" s="528">
        <v>1546.9800000000014</v>
      </c>
      <c r="AH119" s="528">
        <v>145</v>
      </c>
      <c r="AI119" s="528">
        <v>0</v>
      </c>
      <c r="AJ119" s="528">
        <v>0</v>
      </c>
      <c r="AK119" s="528">
        <v>16990.200000000004</v>
      </c>
      <c r="AL119" s="528">
        <v>4698.67</v>
      </c>
      <c r="AM119" s="528">
        <v>7458.5</v>
      </c>
      <c r="AN119" s="528">
        <v>251.26</v>
      </c>
      <c r="AO119" s="528">
        <v>9030.09</v>
      </c>
      <c r="AP119" s="528">
        <v>0</v>
      </c>
      <c r="AQ119" s="528">
        <v>10060.740000000002</v>
      </c>
      <c r="AR119" s="528">
        <v>6260.1199999999944</v>
      </c>
      <c r="AS119" s="528">
        <v>6105</v>
      </c>
      <c r="AT119" s="528">
        <v>0</v>
      </c>
      <c r="AU119" s="528">
        <v>17577.699999999993</v>
      </c>
      <c r="AV119" s="528">
        <v>3291.75</v>
      </c>
      <c r="AW119" s="528">
        <v>0</v>
      </c>
      <c r="AX119" s="528">
        <v>12501.25</v>
      </c>
      <c r="AY119" s="528">
        <v>69776.930000000008</v>
      </c>
      <c r="AZ119" s="528">
        <v>502.43</v>
      </c>
      <c r="BA119" s="528">
        <v>120142.77</v>
      </c>
      <c r="BB119" s="528">
        <v>0</v>
      </c>
      <c r="BC119" s="528">
        <v>0</v>
      </c>
      <c r="BD119" s="528">
        <v>0</v>
      </c>
      <c r="BE119" s="528">
        <v>876187.99000000011</v>
      </c>
      <c r="BF119" s="528">
        <v>469472.30999999976</v>
      </c>
      <c r="BG119" s="528">
        <v>45370.959999999963</v>
      </c>
      <c r="BH119" s="528">
        <v>514843.26999999973</v>
      </c>
      <c r="BI119" s="528">
        <v>4722</v>
      </c>
      <c r="BJ119" s="528">
        <v>0</v>
      </c>
      <c r="BK119" s="528">
        <v>0</v>
      </c>
      <c r="BL119" s="528">
        <v>4722</v>
      </c>
      <c r="BM119" s="528">
        <v>0</v>
      </c>
      <c r="BN119" s="528">
        <v>1210</v>
      </c>
      <c r="BO119" s="528">
        <v>0</v>
      </c>
      <c r="BP119" s="528">
        <v>0</v>
      </c>
      <c r="BQ119" s="528">
        <v>1210</v>
      </c>
      <c r="BR119" s="528">
        <v>0</v>
      </c>
      <c r="BS119" s="528">
        <v>3512</v>
      </c>
      <c r="BT119" s="528">
        <v>3512</v>
      </c>
      <c r="BU119" s="528">
        <v>0</v>
      </c>
      <c r="BV119" s="528">
        <v>0</v>
      </c>
      <c r="BW119" s="528">
        <v>0</v>
      </c>
      <c r="BX119" s="528">
        <v>0</v>
      </c>
      <c r="BY119" s="528">
        <v>0</v>
      </c>
      <c r="BZ119" s="528">
        <v>0</v>
      </c>
      <c r="CA119" s="528">
        <v>0</v>
      </c>
      <c r="CB119" s="528">
        <v>0</v>
      </c>
      <c r="CC119" s="528">
        <v>0</v>
      </c>
      <c r="CD119" s="528">
        <v>514843.26999999973</v>
      </c>
      <c r="CE119" s="528">
        <v>0</v>
      </c>
      <c r="CF119" s="528">
        <v>3512</v>
      </c>
      <c r="CG119" s="528">
        <v>0</v>
      </c>
      <c r="CH119" s="528">
        <v>0</v>
      </c>
      <c r="CI119" s="528">
        <f t="shared" si="1"/>
        <v>518355.26999999973</v>
      </c>
      <c r="CJ119" s="528">
        <v>146420.09</v>
      </c>
      <c r="CK119" s="528">
        <v>147430.37</v>
      </c>
      <c r="CL119" s="528">
        <v>0</v>
      </c>
      <c r="CM119" s="528">
        <v>-1010.2799999999988</v>
      </c>
      <c r="CN119" s="528">
        <v>0</v>
      </c>
      <c r="CO119" s="528">
        <v>0</v>
      </c>
      <c r="CP119" s="528">
        <v>4057.68</v>
      </c>
      <c r="CQ119" s="528">
        <v>0</v>
      </c>
      <c r="CR119" s="528">
        <v>0</v>
      </c>
      <c r="CS119" s="528">
        <v>3047.400000000001</v>
      </c>
      <c r="CT119" s="528">
        <v>400090.41</v>
      </c>
      <c r="CU119" s="528">
        <v>0</v>
      </c>
      <c r="CV119" s="528">
        <v>0</v>
      </c>
      <c r="CW119" s="528">
        <v>400090.41</v>
      </c>
      <c r="CX119" s="528"/>
      <c r="CY119" s="528"/>
      <c r="CZ119" s="528"/>
      <c r="DA119" s="528">
        <v>0</v>
      </c>
      <c r="DB119" s="528">
        <v>400090.41</v>
      </c>
      <c r="DC119" s="528">
        <v>0</v>
      </c>
      <c r="DD119" s="528">
        <v>13688.74</v>
      </c>
      <c r="DE119" s="528">
        <v>0</v>
      </c>
      <c r="DF119" s="528">
        <v>0</v>
      </c>
      <c r="DG119" s="528">
        <v>0</v>
      </c>
      <c r="DH119" s="528">
        <v>-578.4</v>
      </c>
      <c r="DI119" s="528">
        <v>0</v>
      </c>
      <c r="DJ119" s="528">
        <v>0</v>
      </c>
      <c r="DK119" s="528">
        <v>13110.34</v>
      </c>
      <c r="DL119" s="528">
        <v>102107</v>
      </c>
      <c r="DM119" s="528">
        <v>0</v>
      </c>
      <c r="DN119" s="528">
        <v>0</v>
      </c>
      <c r="DO119" s="528">
        <v>0</v>
      </c>
      <c r="DP119" s="528">
        <v>0</v>
      </c>
      <c r="DQ119" s="529">
        <v>0.11999999999534339</v>
      </c>
      <c r="DR119" s="530">
        <v>591395.58000000007</v>
      </c>
      <c r="DS119" s="531">
        <v>284792.41000000003</v>
      </c>
      <c r="DT119" s="530">
        <v>69776.930000000008</v>
      </c>
      <c r="DU119" s="530">
        <v>38078.18</v>
      </c>
      <c r="DV119" s="530">
        <v>0</v>
      </c>
      <c r="DW119" s="530">
        <v>102107</v>
      </c>
    </row>
    <row r="120" spans="1:127" s="103" customFormat="1">
      <c r="A120" s="525">
        <v>7053</v>
      </c>
      <c r="B120" s="526" t="s">
        <v>725</v>
      </c>
      <c r="C120" s="525">
        <v>7053</v>
      </c>
      <c r="D120" s="527" t="s">
        <v>1284</v>
      </c>
      <c r="E120" s="527" t="s">
        <v>553</v>
      </c>
      <c r="F120" s="527" t="s">
        <v>5</v>
      </c>
      <c r="G120" s="527" t="s">
        <v>535</v>
      </c>
      <c r="H120" s="528">
        <v>2125886</v>
      </c>
      <c r="I120" s="528">
        <v>0</v>
      </c>
      <c r="J120" s="528">
        <v>2635810</v>
      </c>
      <c r="K120" s="528">
        <v>0</v>
      </c>
      <c r="L120" s="528">
        <v>91350</v>
      </c>
      <c r="M120" s="528">
        <v>3086</v>
      </c>
      <c r="N120" s="528">
        <v>0</v>
      </c>
      <c r="O120" s="528">
        <v>0</v>
      </c>
      <c r="P120" s="528">
        <v>133812</v>
      </c>
      <c r="Q120" s="528">
        <v>1668</v>
      </c>
      <c r="R120" s="528">
        <v>0</v>
      </c>
      <c r="S120" s="528">
        <v>0</v>
      </c>
      <c r="T120" s="528">
        <v>0</v>
      </c>
      <c r="U120" s="528">
        <v>98785</v>
      </c>
      <c r="V120" s="528">
        <v>0</v>
      </c>
      <c r="W120" s="528">
        <v>36106</v>
      </c>
      <c r="X120" s="528">
        <v>0</v>
      </c>
      <c r="Y120" s="528">
        <v>5126503</v>
      </c>
      <c r="Z120" s="528">
        <v>1553078</v>
      </c>
      <c r="AA120" s="528">
        <v>0</v>
      </c>
      <c r="AB120" s="528">
        <v>1238683</v>
      </c>
      <c r="AC120" s="528">
        <v>80226</v>
      </c>
      <c r="AD120" s="528">
        <v>368347</v>
      </c>
      <c r="AE120" s="528">
        <v>0</v>
      </c>
      <c r="AF120" s="528">
        <v>173519</v>
      </c>
      <c r="AG120" s="528">
        <v>20255</v>
      </c>
      <c r="AH120" s="528">
        <v>28048</v>
      </c>
      <c r="AI120" s="528">
        <v>0</v>
      </c>
      <c r="AJ120" s="528">
        <v>0</v>
      </c>
      <c r="AK120" s="528">
        <v>12173</v>
      </c>
      <c r="AL120" s="528">
        <v>6054</v>
      </c>
      <c r="AM120" s="528">
        <v>35413</v>
      </c>
      <c r="AN120" s="528">
        <v>530</v>
      </c>
      <c r="AO120" s="528">
        <v>4642</v>
      </c>
      <c r="AP120" s="528">
        <v>0</v>
      </c>
      <c r="AQ120" s="528">
        <v>40253</v>
      </c>
      <c r="AR120" s="528">
        <v>602604</v>
      </c>
      <c r="AS120" s="528">
        <v>1753</v>
      </c>
      <c r="AT120" s="528">
        <v>21968</v>
      </c>
      <c r="AU120" s="528">
        <v>64022</v>
      </c>
      <c r="AV120" s="528">
        <v>5140</v>
      </c>
      <c r="AW120" s="528">
        <v>0</v>
      </c>
      <c r="AX120" s="528">
        <v>157800.94</v>
      </c>
      <c r="AY120" s="528">
        <v>649683</v>
      </c>
      <c r="AZ120" s="528">
        <v>36940</v>
      </c>
      <c r="BA120" s="528">
        <v>235346</v>
      </c>
      <c r="BB120" s="528">
        <v>0</v>
      </c>
      <c r="BC120" s="528">
        <v>0</v>
      </c>
      <c r="BD120" s="528">
        <v>0</v>
      </c>
      <c r="BE120" s="528">
        <v>5336480.9400000004</v>
      </c>
      <c r="BF120" s="528">
        <v>635678</v>
      </c>
      <c r="BG120" s="528">
        <v>-209977.94000000041</v>
      </c>
      <c r="BH120" s="528">
        <v>425700.05999999959</v>
      </c>
      <c r="BI120" s="528">
        <v>12961</v>
      </c>
      <c r="BJ120" s="528">
        <v>0</v>
      </c>
      <c r="BK120" s="528">
        <v>0</v>
      </c>
      <c r="BL120" s="528">
        <v>12961</v>
      </c>
      <c r="BM120" s="528">
        <v>0</v>
      </c>
      <c r="BN120" s="528">
        <v>0</v>
      </c>
      <c r="BO120" s="528">
        <v>0</v>
      </c>
      <c r="BP120" s="528">
        <v>0</v>
      </c>
      <c r="BQ120" s="528">
        <v>0</v>
      </c>
      <c r="BR120" s="528">
        <v>37204</v>
      </c>
      <c r="BS120" s="528">
        <v>12961</v>
      </c>
      <c r="BT120" s="528">
        <v>50165</v>
      </c>
      <c r="BU120" s="528">
        <v>0</v>
      </c>
      <c r="BV120" s="528">
        <v>0</v>
      </c>
      <c r="BW120" s="528">
        <v>0</v>
      </c>
      <c r="BX120" s="528">
        <v>0</v>
      </c>
      <c r="BY120" s="528">
        <v>0</v>
      </c>
      <c r="BZ120" s="528">
        <v>0</v>
      </c>
      <c r="CA120" s="528">
        <v>0</v>
      </c>
      <c r="CB120" s="528">
        <v>0</v>
      </c>
      <c r="CC120" s="528">
        <v>0</v>
      </c>
      <c r="CD120" s="528">
        <v>425700.05999999959</v>
      </c>
      <c r="CE120" s="528">
        <v>0</v>
      </c>
      <c r="CF120" s="528">
        <v>50165</v>
      </c>
      <c r="CG120" s="528">
        <v>0</v>
      </c>
      <c r="CH120" s="528">
        <v>0</v>
      </c>
      <c r="CI120" s="528">
        <f t="shared" si="1"/>
        <v>475865.05999999959</v>
      </c>
      <c r="CJ120" s="528">
        <v>996693</v>
      </c>
      <c r="CK120" s="528">
        <v>359580</v>
      </c>
      <c r="CL120" s="528">
        <v>16536</v>
      </c>
      <c r="CM120" s="528">
        <v>653649</v>
      </c>
      <c r="CN120" s="528">
        <v>0</v>
      </c>
      <c r="CO120" s="528">
        <v>0</v>
      </c>
      <c r="CP120" s="528">
        <v>10109</v>
      </c>
      <c r="CQ120" s="528">
        <v>1849</v>
      </c>
      <c r="CR120" s="528">
        <v>0</v>
      </c>
      <c r="CS120" s="528">
        <v>665606</v>
      </c>
      <c r="CT120" s="528">
        <v>0</v>
      </c>
      <c r="CU120" s="528">
        <v>0</v>
      </c>
      <c r="CV120" s="528">
        <v>0</v>
      </c>
      <c r="CW120" s="528">
        <v>0</v>
      </c>
      <c r="CX120" s="528"/>
      <c r="CY120" s="528"/>
      <c r="CZ120" s="528"/>
      <c r="DA120" s="528">
        <v>0</v>
      </c>
      <c r="DB120" s="528">
        <v>0</v>
      </c>
      <c r="DC120" s="528">
        <v>130412</v>
      </c>
      <c r="DD120" s="528">
        <v>3333</v>
      </c>
      <c r="DE120" s="528">
        <v>0</v>
      </c>
      <c r="DF120" s="528">
        <v>0</v>
      </c>
      <c r="DG120" s="528">
        <v>0</v>
      </c>
      <c r="DH120" s="528">
        <v>-24638.94</v>
      </c>
      <c r="DI120" s="528">
        <v>0</v>
      </c>
      <c r="DJ120" s="528">
        <v>0</v>
      </c>
      <c r="DK120" s="528">
        <v>109106.06</v>
      </c>
      <c r="DL120" s="528">
        <v>0</v>
      </c>
      <c r="DM120" s="528">
        <v>2089</v>
      </c>
      <c r="DN120" s="528">
        <v>-1946</v>
      </c>
      <c r="DO120" s="528">
        <v>-298829</v>
      </c>
      <c r="DP120" s="528">
        <v>-159</v>
      </c>
      <c r="DQ120" s="529">
        <v>0</v>
      </c>
      <c r="DR120" s="530">
        <v>3434108</v>
      </c>
      <c r="DS120" s="531">
        <v>1902372.9400000004</v>
      </c>
      <c r="DT120" s="530">
        <v>649683</v>
      </c>
      <c r="DU120" s="530">
        <v>135480</v>
      </c>
      <c r="DV120" s="530">
        <v>98785</v>
      </c>
      <c r="DW120" s="530">
        <v>-298845</v>
      </c>
    </row>
    <row r="121" spans="1:127" s="103" customFormat="1">
      <c r="A121" s="525">
        <v>3351</v>
      </c>
      <c r="B121" s="526" t="s">
        <v>727</v>
      </c>
      <c r="C121" s="525">
        <v>3351</v>
      </c>
      <c r="D121" s="527" t="s">
        <v>1284</v>
      </c>
      <c r="E121" s="527" t="s">
        <v>538</v>
      </c>
      <c r="F121" s="527" t="s">
        <v>5</v>
      </c>
      <c r="G121" s="527" t="s">
        <v>535</v>
      </c>
      <c r="H121" s="528">
        <v>1415598.07</v>
      </c>
      <c r="I121" s="528">
        <v>0</v>
      </c>
      <c r="J121" s="528">
        <v>60501.279999999999</v>
      </c>
      <c r="K121" s="528">
        <v>0</v>
      </c>
      <c r="L121" s="528">
        <v>168620</v>
      </c>
      <c r="M121" s="528">
        <v>2971.29</v>
      </c>
      <c r="N121" s="528">
        <v>0</v>
      </c>
      <c r="O121" s="528">
        <v>0</v>
      </c>
      <c r="P121" s="528">
        <v>29252.479999999996</v>
      </c>
      <c r="Q121" s="528">
        <v>2413.0699999999997</v>
      </c>
      <c r="R121" s="528">
        <v>0</v>
      </c>
      <c r="S121" s="528">
        <v>0</v>
      </c>
      <c r="T121" s="528">
        <v>24367.08</v>
      </c>
      <c r="U121" s="528">
        <v>260</v>
      </c>
      <c r="V121" s="528">
        <v>0</v>
      </c>
      <c r="W121" s="528">
        <v>2897.5</v>
      </c>
      <c r="X121" s="528">
        <v>29543</v>
      </c>
      <c r="Y121" s="528">
        <v>1736423.7700000003</v>
      </c>
      <c r="Z121" s="528">
        <v>669196.47000000032</v>
      </c>
      <c r="AA121" s="528">
        <v>0</v>
      </c>
      <c r="AB121" s="528">
        <v>340497.89</v>
      </c>
      <c r="AC121" s="528">
        <v>13917.770000000251</v>
      </c>
      <c r="AD121" s="528">
        <v>168902.2</v>
      </c>
      <c r="AE121" s="528">
        <v>3467.97</v>
      </c>
      <c r="AF121" s="528">
        <v>26084.099999999977</v>
      </c>
      <c r="AG121" s="528">
        <v>4599.8500000000058</v>
      </c>
      <c r="AH121" s="528">
        <v>1075.2</v>
      </c>
      <c r="AI121" s="528">
        <v>0</v>
      </c>
      <c r="AJ121" s="528">
        <v>0</v>
      </c>
      <c r="AK121" s="528">
        <v>51707.68</v>
      </c>
      <c r="AL121" s="528">
        <v>0</v>
      </c>
      <c r="AM121" s="528">
        <v>2059.5</v>
      </c>
      <c r="AN121" s="528">
        <v>9352.2999999999993</v>
      </c>
      <c r="AO121" s="528">
        <v>23962.460000000003</v>
      </c>
      <c r="AP121" s="528">
        <v>21610.93</v>
      </c>
      <c r="AQ121" s="528">
        <v>18140.43</v>
      </c>
      <c r="AR121" s="528">
        <v>131665.69999999998</v>
      </c>
      <c r="AS121" s="528">
        <v>18371.849999999991</v>
      </c>
      <c r="AT121" s="528">
        <v>0</v>
      </c>
      <c r="AU121" s="528">
        <v>2136.31</v>
      </c>
      <c r="AV121" s="528">
        <v>8309.76</v>
      </c>
      <c r="AW121" s="528">
        <v>9240</v>
      </c>
      <c r="AX121" s="528">
        <v>97046.299999999988</v>
      </c>
      <c r="AY121" s="528">
        <v>37171.629999999997</v>
      </c>
      <c r="AZ121" s="528">
        <v>13339.01</v>
      </c>
      <c r="BA121" s="528">
        <v>108775.76</v>
      </c>
      <c r="BB121" s="528">
        <v>0</v>
      </c>
      <c r="BC121" s="528">
        <v>0</v>
      </c>
      <c r="BD121" s="528">
        <v>0</v>
      </c>
      <c r="BE121" s="528">
        <v>1780631.0700000003</v>
      </c>
      <c r="BF121" s="528">
        <v>308327.60999999975</v>
      </c>
      <c r="BG121" s="528">
        <v>-44207.300000000047</v>
      </c>
      <c r="BH121" s="528">
        <v>264120.30999999971</v>
      </c>
      <c r="BI121" s="528">
        <v>0</v>
      </c>
      <c r="BJ121" s="528">
        <v>0</v>
      </c>
      <c r="BK121" s="528">
        <v>0</v>
      </c>
      <c r="BL121" s="528">
        <v>0</v>
      </c>
      <c r="BM121" s="528">
        <v>0</v>
      </c>
      <c r="BN121" s="528">
        <v>0</v>
      </c>
      <c r="BO121" s="528">
        <v>0</v>
      </c>
      <c r="BP121" s="528">
        <v>0</v>
      </c>
      <c r="BQ121" s="528">
        <v>0</v>
      </c>
      <c r="BR121" s="528">
        <v>0</v>
      </c>
      <c r="BS121" s="528">
        <v>0</v>
      </c>
      <c r="BT121" s="528">
        <v>0</v>
      </c>
      <c r="BU121" s="528">
        <v>0</v>
      </c>
      <c r="BV121" s="528">
        <v>0</v>
      </c>
      <c r="BW121" s="528">
        <v>0</v>
      </c>
      <c r="BX121" s="528">
        <v>0</v>
      </c>
      <c r="BY121" s="528">
        <v>0</v>
      </c>
      <c r="BZ121" s="528">
        <v>0</v>
      </c>
      <c r="CA121" s="528">
        <v>0</v>
      </c>
      <c r="CB121" s="528">
        <v>0</v>
      </c>
      <c r="CC121" s="528">
        <v>0</v>
      </c>
      <c r="CD121" s="528">
        <v>264120.30999999971</v>
      </c>
      <c r="CE121" s="528">
        <v>0</v>
      </c>
      <c r="CF121" s="528">
        <v>0</v>
      </c>
      <c r="CG121" s="528">
        <v>0</v>
      </c>
      <c r="CH121" s="528">
        <v>0</v>
      </c>
      <c r="CI121" s="528">
        <f t="shared" si="1"/>
        <v>264120.30999999971</v>
      </c>
      <c r="CJ121" s="528">
        <v>519227.55</v>
      </c>
      <c r="CK121" s="528">
        <v>143979.59</v>
      </c>
      <c r="CL121" s="528">
        <v>0</v>
      </c>
      <c r="CM121" s="528">
        <v>375247.95999999996</v>
      </c>
      <c r="CN121" s="528">
        <v>0</v>
      </c>
      <c r="CO121" s="528">
        <v>0</v>
      </c>
      <c r="CP121" s="528">
        <v>10234.620000000001</v>
      </c>
      <c r="CQ121" s="528">
        <v>9813.49</v>
      </c>
      <c r="CR121" s="528">
        <v>-118132.67</v>
      </c>
      <c r="CS121" s="528">
        <v>277163.39999999997</v>
      </c>
      <c r="CT121" s="528">
        <v>0</v>
      </c>
      <c r="CU121" s="528">
        <v>0</v>
      </c>
      <c r="CV121" s="528">
        <v>0</v>
      </c>
      <c r="CW121" s="528">
        <v>0</v>
      </c>
      <c r="CX121" s="528"/>
      <c r="CY121" s="528"/>
      <c r="CZ121" s="528"/>
      <c r="DA121" s="528">
        <v>0</v>
      </c>
      <c r="DB121" s="528">
        <v>0</v>
      </c>
      <c r="DC121" s="528">
        <v>0</v>
      </c>
      <c r="DD121" s="528">
        <v>8788.86</v>
      </c>
      <c r="DE121" s="528">
        <v>0</v>
      </c>
      <c r="DF121" s="528">
        <v>0</v>
      </c>
      <c r="DG121" s="528">
        <v>0</v>
      </c>
      <c r="DH121" s="528">
        <v>-21832.16</v>
      </c>
      <c r="DI121" s="528">
        <v>0</v>
      </c>
      <c r="DJ121" s="528">
        <v>0</v>
      </c>
      <c r="DK121" s="528">
        <v>-13043.3</v>
      </c>
      <c r="DL121" s="528">
        <v>0</v>
      </c>
      <c r="DM121" s="528">
        <v>0</v>
      </c>
      <c r="DN121" s="528">
        <v>0</v>
      </c>
      <c r="DO121" s="528">
        <v>0</v>
      </c>
      <c r="DP121" s="528">
        <v>0</v>
      </c>
      <c r="DQ121" s="529">
        <v>0.21000000002095476</v>
      </c>
      <c r="DR121" s="530">
        <v>1226666.2500000005</v>
      </c>
      <c r="DS121" s="531">
        <v>553964.81999999983</v>
      </c>
      <c r="DT121" s="530">
        <v>37171.629999999997</v>
      </c>
      <c r="DU121" s="530">
        <v>56032.63</v>
      </c>
      <c r="DV121" s="530">
        <v>260</v>
      </c>
      <c r="DW121" s="530">
        <v>0</v>
      </c>
    </row>
    <row r="122" spans="1:127" s="103" customFormat="1">
      <c r="A122" s="525">
        <v>3328</v>
      </c>
      <c r="B122" s="526" t="s">
        <v>729</v>
      </c>
      <c r="C122" s="525">
        <v>3328</v>
      </c>
      <c r="D122" s="527" t="s">
        <v>1284</v>
      </c>
      <c r="E122" s="527" t="s">
        <v>538</v>
      </c>
      <c r="F122" s="527" t="s">
        <v>5</v>
      </c>
      <c r="G122" s="527" t="s">
        <v>535</v>
      </c>
      <c r="H122" s="528">
        <v>1230568</v>
      </c>
      <c r="I122" s="528">
        <v>0</v>
      </c>
      <c r="J122" s="528">
        <v>67968</v>
      </c>
      <c r="K122" s="528">
        <v>0</v>
      </c>
      <c r="L122" s="528">
        <v>63250</v>
      </c>
      <c r="M122" s="528">
        <v>400</v>
      </c>
      <c r="N122" s="528">
        <v>0</v>
      </c>
      <c r="O122" s="528">
        <v>0</v>
      </c>
      <c r="P122" s="528">
        <v>92264</v>
      </c>
      <c r="Q122" s="528">
        <v>25003</v>
      </c>
      <c r="R122" s="528">
        <v>0</v>
      </c>
      <c r="S122" s="528">
        <v>0</v>
      </c>
      <c r="T122" s="528">
        <v>8158</v>
      </c>
      <c r="U122" s="528">
        <v>0</v>
      </c>
      <c r="V122" s="528">
        <v>0</v>
      </c>
      <c r="W122" s="528">
        <v>4306</v>
      </c>
      <c r="X122" s="528">
        <v>50258</v>
      </c>
      <c r="Y122" s="528">
        <v>1542175</v>
      </c>
      <c r="Z122" s="528">
        <v>637487</v>
      </c>
      <c r="AA122" s="528">
        <v>1090</v>
      </c>
      <c r="AB122" s="528">
        <v>875</v>
      </c>
      <c r="AC122" s="528">
        <v>245069</v>
      </c>
      <c r="AD122" s="528">
        <v>490</v>
      </c>
      <c r="AE122" s="528">
        <v>0</v>
      </c>
      <c r="AF122" s="528">
        <v>175827</v>
      </c>
      <c r="AG122" s="528">
        <v>8166</v>
      </c>
      <c r="AH122" s="528">
        <v>31</v>
      </c>
      <c r="AI122" s="528">
        <v>0</v>
      </c>
      <c r="AJ122" s="528">
        <v>0</v>
      </c>
      <c r="AK122" s="528">
        <v>1523</v>
      </c>
      <c r="AL122" s="528">
        <v>0</v>
      </c>
      <c r="AM122" s="528">
        <v>752</v>
      </c>
      <c r="AN122" s="528">
        <v>0</v>
      </c>
      <c r="AO122" s="528">
        <v>2057</v>
      </c>
      <c r="AP122" s="528">
        <v>3471</v>
      </c>
      <c r="AQ122" s="528">
        <v>4344</v>
      </c>
      <c r="AR122" s="528">
        <v>196465</v>
      </c>
      <c r="AS122" s="528">
        <v>581</v>
      </c>
      <c r="AT122" s="528">
        <v>96</v>
      </c>
      <c r="AU122" s="528">
        <v>20955</v>
      </c>
      <c r="AV122" s="528">
        <v>5140</v>
      </c>
      <c r="AW122" s="528">
        <v>436</v>
      </c>
      <c r="AX122" s="528">
        <v>91251.98</v>
      </c>
      <c r="AY122" s="528">
        <v>225</v>
      </c>
      <c r="AZ122" s="528">
        <v>5215</v>
      </c>
      <c r="BA122" s="528">
        <v>67099</v>
      </c>
      <c r="BB122" s="528">
        <v>0</v>
      </c>
      <c r="BC122" s="528">
        <v>0</v>
      </c>
      <c r="BD122" s="528">
        <v>0</v>
      </c>
      <c r="BE122" s="528">
        <v>1468642.98</v>
      </c>
      <c r="BF122" s="528">
        <v>240251</v>
      </c>
      <c r="BG122" s="528">
        <v>73532.020000000019</v>
      </c>
      <c r="BH122" s="528">
        <v>313783.02</v>
      </c>
      <c r="BI122" s="528">
        <v>0</v>
      </c>
      <c r="BJ122" s="528">
        <v>0</v>
      </c>
      <c r="BK122" s="528">
        <v>0</v>
      </c>
      <c r="BL122" s="528">
        <v>0</v>
      </c>
      <c r="BM122" s="528">
        <v>0</v>
      </c>
      <c r="BN122" s="528">
        <v>0</v>
      </c>
      <c r="BO122" s="528">
        <v>0</v>
      </c>
      <c r="BP122" s="528">
        <v>0</v>
      </c>
      <c r="BQ122" s="528">
        <v>0</v>
      </c>
      <c r="BR122" s="528">
        <v>0</v>
      </c>
      <c r="BS122" s="528">
        <v>0</v>
      </c>
      <c r="BT122" s="528">
        <v>0</v>
      </c>
      <c r="BU122" s="528">
        <v>0</v>
      </c>
      <c r="BV122" s="528">
        <v>0</v>
      </c>
      <c r="BW122" s="528">
        <v>0</v>
      </c>
      <c r="BX122" s="528">
        <v>0</v>
      </c>
      <c r="BY122" s="528">
        <v>0</v>
      </c>
      <c r="BZ122" s="528">
        <v>0</v>
      </c>
      <c r="CA122" s="528">
        <v>0</v>
      </c>
      <c r="CB122" s="528">
        <v>0</v>
      </c>
      <c r="CC122" s="528">
        <v>0</v>
      </c>
      <c r="CD122" s="528">
        <v>313783.02</v>
      </c>
      <c r="CE122" s="528">
        <v>0</v>
      </c>
      <c r="CF122" s="528">
        <v>0</v>
      </c>
      <c r="CG122" s="528">
        <v>0</v>
      </c>
      <c r="CH122" s="528">
        <v>0</v>
      </c>
      <c r="CI122" s="528">
        <f t="shared" si="1"/>
        <v>313783.02</v>
      </c>
      <c r="CJ122" s="528">
        <v>94342</v>
      </c>
      <c r="CK122" s="528">
        <v>0</v>
      </c>
      <c r="CL122" s="528">
        <v>0</v>
      </c>
      <c r="CM122" s="528">
        <v>94342</v>
      </c>
      <c r="CN122" s="528">
        <v>0</v>
      </c>
      <c r="CO122" s="528">
        <v>0</v>
      </c>
      <c r="CP122" s="528">
        <v>5569</v>
      </c>
      <c r="CQ122" s="528">
        <v>0</v>
      </c>
      <c r="CR122" s="528">
        <v>228766</v>
      </c>
      <c r="CS122" s="528">
        <v>328678</v>
      </c>
      <c r="CT122" s="528">
        <v>0</v>
      </c>
      <c r="CU122" s="528">
        <v>0</v>
      </c>
      <c r="CV122" s="528">
        <v>0</v>
      </c>
      <c r="CW122" s="528">
        <v>0</v>
      </c>
      <c r="CX122" s="528"/>
      <c r="CY122" s="528"/>
      <c r="CZ122" s="528"/>
      <c r="DA122" s="528">
        <v>0</v>
      </c>
      <c r="DB122" s="528">
        <v>0</v>
      </c>
      <c r="DC122" s="528">
        <v>0</v>
      </c>
      <c r="DD122" s="528">
        <v>8330</v>
      </c>
      <c r="DE122" s="528">
        <v>0</v>
      </c>
      <c r="DF122" s="528">
        <v>0</v>
      </c>
      <c r="DG122" s="528">
        <v>0</v>
      </c>
      <c r="DH122" s="528">
        <v>-23226.98</v>
      </c>
      <c r="DI122" s="528">
        <v>0</v>
      </c>
      <c r="DJ122" s="528">
        <v>0</v>
      </c>
      <c r="DK122" s="528">
        <v>-14896.98</v>
      </c>
      <c r="DL122" s="528">
        <v>0</v>
      </c>
      <c r="DM122" s="528">
        <v>0</v>
      </c>
      <c r="DN122" s="528">
        <v>0</v>
      </c>
      <c r="DO122" s="528">
        <v>0</v>
      </c>
      <c r="DP122" s="528">
        <v>0</v>
      </c>
      <c r="DQ122" s="529">
        <v>0</v>
      </c>
      <c r="DR122" s="530">
        <v>1069004</v>
      </c>
      <c r="DS122" s="531">
        <v>399638.98</v>
      </c>
      <c r="DT122" s="530">
        <v>225</v>
      </c>
      <c r="DU122" s="530">
        <v>125425</v>
      </c>
      <c r="DV122" s="530">
        <v>0</v>
      </c>
      <c r="DW122" s="530">
        <v>0</v>
      </c>
    </row>
    <row r="123" spans="1:127" s="103" customFormat="1">
      <c r="A123" s="525">
        <v>2150</v>
      </c>
      <c r="B123" s="526" t="s">
        <v>909</v>
      </c>
      <c r="C123" s="525">
        <v>2150</v>
      </c>
      <c r="D123" s="527" t="s">
        <v>1284</v>
      </c>
      <c r="E123" s="527" t="s">
        <v>538</v>
      </c>
      <c r="F123" s="527" t="s">
        <v>5</v>
      </c>
      <c r="G123" s="527" t="s">
        <v>958</v>
      </c>
      <c r="H123" s="528">
        <v>1689698.01</v>
      </c>
      <c r="I123" s="528">
        <v>0</v>
      </c>
      <c r="J123" s="528">
        <v>110337.96</v>
      </c>
      <c r="K123" s="528">
        <v>0</v>
      </c>
      <c r="L123" s="528">
        <v>186090</v>
      </c>
      <c r="M123" s="528">
        <v>0</v>
      </c>
      <c r="N123" s="528">
        <v>0</v>
      </c>
      <c r="O123" s="528">
        <v>0</v>
      </c>
      <c r="P123" s="528">
        <v>22496.319999999996</v>
      </c>
      <c r="Q123" s="528">
        <v>0</v>
      </c>
      <c r="R123" s="528">
        <v>0</v>
      </c>
      <c r="S123" s="528">
        <v>0</v>
      </c>
      <c r="T123" s="528">
        <v>4047.82</v>
      </c>
      <c r="U123" s="528">
        <v>0</v>
      </c>
      <c r="V123" s="528">
        <v>0</v>
      </c>
      <c r="W123" s="528">
        <v>3952.58</v>
      </c>
      <c r="X123" s="528">
        <v>37681</v>
      </c>
      <c r="Y123" s="528">
        <v>2054303.6900000002</v>
      </c>
      <c r="Z123" s="528">
        <v>1017944.6799999998</v>
      </c>
      <c r="AA123" s="528">
        <v>5243.0599999999995</v>
      </c>
      <c r="AB123" s="528">
        <v>428872.83</v>
      </c>
      <c r="AC123" s="528">
        <v>76047.390000000596</v>
      </c>
      <c r="AD123" s="528">
        <v>81995.679999999993</v>
      </c>
      <c r="AE123" s="528">
        <v>0</v>
      </c>
      <c r="AF123" s="528">
        <v>58365.029999999737</v>
      </c>
      <c r="AG123" s="528">
        <v>17011.970000000034</v>
      </c>
      <c r="AH123" s="528">
        <v>880</v>
      </c>
      <c r="AI123" s="528">
        <v>0</v>
      </c>
      <c r="AJ123" s="528">
        <v>895</v>
      </c>
      <c r="AK123" s="528">
        <v>39957.679999999993</v>
      </c>
      <c r="AL123" s="528">
        <v>8.15</v>
      </c>
      <c r="AM123" s="528">
        <v>3195.2100000000005</v>
      </c>
      <c r="AN123" s="528">
        <v>14393.48</v>
      </c>
      <c r="AO123" s="528">
        <v>66114.310000000012</v>
      </c>
      <c r="AP123" s="528">
        <v>35244.79</v>
      </c>
      <c r="AQ123" s="528">
        <v>19211.019999999997</v>
      </c>
      <c r="AR123" s="528">
        <v>30850.860000000011</v>
      </c>
      <c r="AS123" s="528">
        <v>0</v>
      </c>
      <c r="AT123" s="528">
        <v>335</v>
      </c>
      <c r="AU123" s="528">
        <v>32303.839999999997</v>
      </c>
      <c r="AV123" s="528">
        <v>5139.75</v>
      </c>
      <c r="AW123" s="528">
        <v>0</v>
      </c>
      <c r="AX123" s="528">
        <v>125779.22</v>
      </c>
      <c r="AY123" s="528">
        <v>59181.739999999976</v>
      </c>
      <c r="AZ123" s="528">
        <v>6819.04</v>
      </c>
      <c r="BA123" s="528">
        <v>118727.03</v>
      </c>
      <c r="BB123" s="528">
        <v>0</v>
      </c>
      <c r="BC123" s="528">
        <v>0</v>
      </c>
      <c r="BD123" s="528">
        <v>0</v>
      </c>
      <c r="BE123" s="528">
        <v>2244516.7599999998</v>
      </c>
      <c r="BF123" s="528">
        <v>-401594.16</v>
      </c>
      <c r="BG123" s="528">
        <v>-190213.0699999996</v>
      </c>
      <c r="BH123" s="528">
        <v>-591807.22999999952</v>
      </c>
      <c r="BI123" s="528">
        <v>7727.13</v>
      </c>
      <c r="BJ123" s="528">
        <v>0</v>
      </c>
      <c r="BK123" s="528">
        <v>0</v>
      </c>
      <c r="BL123" s="528">
        <v>7727.13</v>
      </c>
      <c r="BM123" s="528">
        <v>0</v>
      </c>
      <c r="BN123" s="528">
        <v>2887.2</v>
      </c>
      <c r="BO123" s="528">
        <v>0</v>
      </c>
      <c r="BP123" s="528">
        <v>0</v>
      </c>
      <c r="BQ123" s="528">
        <v>2887.2</v>
      </c>
      <c r="BR123" s="528">
        <v>41751.179999999993</v>
      </c>
      <c r="BS123" s="528">
        <v>4839.93</v>
      </c>
      <c r="BT123" s="528">
        <v>46591.109999999993</v>
      </c>
      <c r="BU123" s="528">
        <v>0</v>
      </c>
      <c r="BV123" s="528">
        <v>0</v>
      </c>
      <c r="BW123" s="528">
        <v>0</v>
      </c>
      <c r="BX123" s="528">
        <v>0</v>
      </c>
      <c r="BY123" s="528">
        <v>0</v>
      </c>
      <c r="BZ123" s="528">
        <v>0</v>
      </c>
      <c r="CA123" s="528">
        <v>0</v>
      </c>
      <c r="CB123" s="528">
        <v>0</v>
      </c>
      <c r="CC123" s="528">
        <v>0</v>
      </c>
      <c r="CD123" s="528">
        <v>-591807.22999999952</v>
      </c>
      <c r="CE123" s="528">
        <v>0</v>
      </c>
      <c r="CF123" s="528">
        <v>46591.109999999993</v>
      </c>
      <c r="CG123" s="528">
        <v>0</v>
      </c>
      <c r="CH123" s="528">
        <v>0</v>
      </c>
      <c r="CI123" s="528">
        <f t="shared" si="1"/>
        <v>-545216.11999999953</v>
      </c>
      <c r="CJ123" s="528">
        <v>0</v>
      </c>
      <c r="CK123" s="528">
        <v>0</v>
      </c>
      <c r="CL123" s="528">
        <v>0</v>
      </c>
      <c r="CM123" s="528">
        <v>0</v>
      </c>
      <c r="CN123" s="528">
        <v>0</v>
      </c>
      <c r="CO123" s="528">
        <v>0</v>
      </c>
      <c r="CP123" s="528">
        <v>0</v>
      </c>
      <c r="CQ123" s="528">
        <v>0</v>
      </c>
      <c r="CR123" s="528">
        <v>0</v>
      </c>
      <c r="CS123" s="528">
        <v>0</v>
      </c>
      <c r="CT123" s="528">
        <v>0</v>
      </c>
      <c r="CU123" s="528">
        <v>0</v>
      </c>
      <c r="CV123" s="528">
        <v>0</v>
      </c>
      <c r="CW123" s="528">
        <v>0</v>
      </c>
      <c r="CX123" s="528"/>
      <c r="CY123" s="528"/>
      <c r="CZ123" s="528"/>
      <c r="DA123" s="528">
        <v>-481692.24999999977</v>
      </c>
      <c r="DB123" s="528">
        <v>-481692.24999999977</v>
      </c>
      <c r="DC123" s="528">
        <v>0</v>
      </c>
      <c r="DD123" s="528">
        <v>0</v>
      </c>
      <c r="DE123" s="528">
        <v>0</v>
      </c>
      <c r="DF123" s="528">
        <v>0</v>
      </c>
      <c r="DG123" s="528">
        <v>-8870.65</v>
      </c>
      <c r="DH123" s="528">
        <v>-54653.22</v>
      </c>
      <c r="DI123" s="528">
        <v>0</v>
      </c>
      <c r="DJ123" s="528">
        <v>0</v>
      </c>
      <c r="DK123" s="528">
        <v>-63523.87</v>
      </c>
      <c r="DL123" s="528">
        <v>0</v>
      </c>
      <c r="DM123" s="528">
        <v>0</v>
      </c>
      <c r="DN123" s="528">
        <v>0</v>
      </c>
      <c r="DO123" s="528">
        <v>0</v>
      </c>
      <c r="DP123" s="528">
        <v>0</v>
      </c>
      <c r="DQ123" s="529">
        <v>0</v>
      </c>
      <c r="DR123" s="530">
        <v>1685480.6400000001</v>
      </c>
      <c r="DS123" s="531">
        <v>559036.11999999965</v>
      </c>
      <c r="DT123" s="530">
        <v>59181.739999999976</v>
      </c>
      <c r="DU123" s="530">
        <v>26544.139999999996</v>
      </c>
      <c r="DV123" s="530">
        <v>0</v>
      </c>
      <c r="DW123" s="530">
        <v>0</v>
      </c>
    </row>
    <row r="124" spans="1:127" s="103" customFormat="1">
      <c r="A124" s="525">
        <v>2425</v>
      </c>
      <c r="B124" s="526" t="s">
        <v>911</v>
      </c>
      <c r="C124" s="525">
        <v>2425</v>
      </c>
      <c r="D124" s="527" t="s">
        <v>1284</v>
      </c>
      <c r="E124" s="527" t="s">
        <v>538</v>
      </c>
      <c r="F124" s="527" t="s">
        <v>5</v>
      </c>
      <c r="G124" s="527" t="s">
        <v>958</v>
      </c>
      <c r="H124" s="528">
        <v>1104313.07</v>
      </c>
      <c r="I124" s="528">
        <v>0</v>
      </c>
      <c r="J124" s="528">
        <v>67988.09</v>
      </c>
      <c r="K124" s="528">
        <v>0</v>
      </c>
      <c r="L124" s="528">
        <v>51060</v>
      </c>
      <c r="M124" s="528">
        <v>1200</v>
      </c>
      <c r="N124" s="528">
        <v>0</v>
      </c>
      <c r="O124" s="528">
        <v>3780</v>
      </c>
      <c r="P124" s="528">
        <v>34854.75</v>
      </c>
      <c r="Q124" s="528">
        <v>33781.75</v>
      </c>
      <c r="R124" s="528">
        <v>0</v>
      </c>
      <c r="S124" s="528">
        <v>0</v>
      </c>
      <c r="T124" s="528">
        <v>63879.000000000007</v>
      </c>
      <c r="U124" s="528">
        <v>0</v>
      </c>
      <c r="V124" s="528">
        <v>0</v>
      </c>
      <c r="W124" s="528">
        <v>761.05</v>
      </c>
      <c r="X124" s="528">
        <v>54477</v>
      </c>
      <c r="Y124" s="528">
        <v>1416094.7100000002</v>
      </c>
      <c r="Z124" s="528">
        <v>641052.15999999887</v>
      </c>
      <c r="AA124" s="528">
        <v>-395.09000000000003</v>
      </c>
      <c r="AB124" s="528">
        <v>5474.88</v>
      </c>
      <c r="AC124" s="528">
        <v>238694.42999999982</v>
      </c>
      <c r="AD124" s="528">
        <v>1281.28</v>
      </c>
      <c r="AE124" s="528">
        <v>0</v>
      </c>
      <c r="AF124" s="528">
        <v>222635.12999999992</v>
      </c>
      <c r="AG124" s="528">
        <v>15025.320000000018</v>
      </c>
      <c r="AH124" s="528">
        <v>3014</v>
      </c>
      <c r="AI124" s="528">
        <v>0</v>
      </c>
      <c r="AJ124" s="528">
        <v>3914.44</v>
      </c>
      <c r="AK124" s="528">
        <v>57245.22</v>
      </c>
      <c r="AL124" s="528">
        <v>7422.0400000000009</v>
      </c>
      <c r="AM124" s="528">
        <v>32909.69</v>
      </c>
      <c r="AN124" s="528">
        <v>7953.3600000000006</v>
      </c>
      <c r="AO124" s="528">
        <v>22914.160000000003</v>
      </c>
      <c r="AP124" s="528">
        <v>15625.33</v>
      </c>
      <c r="AQ124" s="528">
        <v>16808.160000000007</v>
      </c>
      <c r="AR124" s="528">
        <v>58283.539999999994</v>
      </c>
      <c r="AS124" s="528">
        <v>0</v>
      </c>
      <c r="AT124" s="528">
        <v>32256.480000000003</v>
      </c>
      <c r="AU124" s="528">
        <v>11614.81</v>
      </c>
      <c r="AV124" s="528">
        <v>5139.75</v>
      </c>
      <c r="AW124" s="528">
        <v>0</v>
      </c>
      <c r="AX124" s="528">
        <v>78001.100000000006</v>
      </c>
      <c r="AY124" s="528">
        <v>3529</v>
      </c>
      <c r="AZ124" s="528">
        <v>5289.77</v>
      </c>
      <c r="BA124" s="528">
        <v>91627.29</v>
      </c>
      <c r="BB124" s="528">
        <v>0</v>
      </c>
      <c r="BC124" s="528">
        <v>0</v>
      </c>
      <c r="BD124" s="528">
        <v>0</v>
      </c>
      <c r="BE124" s="528">
        <v>1577316.1199999987</v>
      </c>
      <c r="BF124" s="528">
        <v>-61775.100000000151</v>
      </c>
      <c r="BG124" s="528">
        <v>-161221.40999999852</v>
      </c>
      <c r="BH124" s="528">
        <v>-222996.50999999867</v>
      </c>
      <c r="BI124" s="528">
        <v>6373.75</v>
      </c>
      <c r="BJ124" s="528">
        <v>0</v>
      </c>
      <c r="BK124" s="528">
        <v>0</v>
      </c>
      <c r="BL124" s="528">
        <v>6373.75</v>
      </c>
      <c r="BM124" s="528">
        <v>0</v>
      </c>
      <c r="BN124" s="528">
        <v>0</v>
      </c>
      <c r="BO124" s="528">
        <v>0</v>
      </c>
      <c r="BP124" s="528">
        <v>0</v>
      </c>
      <c r="BQ124" s="528">
        <v>0</v>
      </c>
      <c r="BR124" s="528">
        <v>15932.41</v>
      </c>
      <c r="BS124" s="528">
        <v>6373.75</v>
      </c>
      <c r="BT124" s="528">
        <v>22306.16</v>
      </c>
      <c r="BU124" s="528">
        <v>0</v>
      </c>
      <c r="BV124" s="528">
        <v>0</v>
      </c>
      <c r="BW124" s="528">
        <v>0</v>
      </c>
      <c r="BX124" s="528">
        <v>0</v>
      </c>
      <c r="BY124" s="528">
        <v>0</v>
      </c>
      <c r="BZ124" s="528">
        <v>0</v>
      </c>
      <c r="CA124" s="528">
        <v>0</v>
      </c>
      <c r="CB124" s="528">
        <v>0</v>
      </c>
      <c r="CC124" s="528">
        <v>0</v>
      </c>
      <c r="CD124" s="528">
        <v>-222996.51</v>
      </c>
      <c r="CE124" s="528">
        <v>0</v>
      </c>
      <c r="CF124" s="528">
        <v>22306.16</v>
      </c>
      <c r="CG124" s="528">
        <v>0</v>
      </c>
      <c r="CH124" s="528">
        <v>0</v>
      </c>
      <c r="CI124" s="528">
        <f t="shared" si="1"/>
        <v>-200690.35</v>
      </c>
      <c r="CJ124" s="528">
        <v>0</v>
      </c>
      <c r="CK124" s="528">
        <v>0</v>
      </c>
      <c r="CL124" s="528">
        <v>0</v>
      </c>
      <c r="CM124" s="528">
        <v>0</v>
      </c>
      <c r="CN124" s="528">
        <v>0</v>
      </c>
      <c r="CO124" s="528">
        <v>0</v>
      </c>
      <c r="CP124" s="528">
        <v>0</v>
      </c>
      <c r="CQ124" s="528">
        <v>0</v>
      </c>
      <c r="CR124" s="528">
        <v>0</v>
      </c>
      <c r="CS124" s="528">
        <v>0</v>
      </c>
      <c r="CT124" s="528">
        <v>0</v>
      </c>
      <c r="CU124" s="528">
        <v>0</v>
      </c>
      <c r="CV124" s="528">
        <v>0</v>
      </c>
      <c r="CW124" s="528">
        <v>0</v>
      </c>
      <c r="CX124" s="528"/>
      <c r="CY124" s="528"/>
      <c r="CZ124" s="528"/>
      <c r="DA124" s="528">
        <v>-235249.24999999866</v>
      </c>
      <c r="DB124" s="528">
        <v>-235249.24999999866</v>
      </c>
      <c r="DC124" s="528">
        <v>0</v>
      </c>
      <c r="DD124" s="528">
        <v>44673.96</v>
      </c>
      <c r="DE124" s="528">
        <v>0</v>
      </c>
      <c r="DF124" s="528">
        <v>0</v>
      </c>
      <c r="DG124" s="528">
        <v>-10115.06</v>
      </c>
      <c r="DH124" s="528">
        <v>-22447.1</v>
      </c>
      <c r="DI124" s="528">
        <v>0</v>
      </c>
      <c r="DJ124" s="528">
        <v>0</v>
      </c>
      <c r="DK124" s="528">
        <v>12111.800000000003</v>
      </c>
      <c r="DL124" s="528">
        <v>0</v>
      </c>
      <c r="DM124" s="528">
        <v>0</v>
      </c>
      <c r="DN124" s="528">
        <v>0</v>
      </c>
      <c r="DO124" s="528">
        <v>0</v>
      </c>
      <c r="DP124" s="528">
        <v>0</v>
      </c>
      <c r="DQ124" s="529">
        <v>-1.3387762010097504E-9</v>
      </c>
      <c r="DR124" s="530">
        <v>1123768.1099999987</v>
      </c>
      <c r="DS124" s="531">
        <v>453548.01</v>
      </c>
      <c r="DT124" s="530">
        <v>3529</v>
      </c>
      <c r="DU124" s="530">
        <v>136295.5</v>
      </c>
      <c r="DV124" s="530">
        <v>0</v>
      </c>
      <c r="DW124" s="530">
        <v>0</v>
      </c>
    </row>
    <row r="125" spans="1:127" s="103" customFormat="1">
      <c r="A125" s="525">
        <v>1008</v>
      </c>
      <c r="B125" s="526" t="s">
        <v>731</v>
      </c>
      <c r="C125" s="525">
        <v>1008</v>
      </c>
      <c r="D125" s="527" t="s">
        <v>1284</v>
      </c>
      <c r="E125" s="527" t="s">
        <v>534</v>
      </c>
      <c r="F125" s="527" t="s">
        <v>5</v>
      </c>
      <c r="G125" s="527" t="s">
        <v>535</v>
      </c>
      <c r="H125" s="528">
        <v>513883.79</v>
      </c>
      <c r="I125" s="528">
        <v>0</v>
      </c>
      <c r="J125" s="528">
        <v>6072.41</v>
      </c>
      <c r="K125" s="528">
        <v>0</v>
      </c>
      <c r="L125" s="528">
        <v>0</v>
      </c>
      <c r="M125" s="528">
        <v>0</v>
      </c>
      <c r="N125" s="528">
        <v>0</v>
      </c>
      <c r="O125" s="528">
        <v>0</v>
      </c>
      <c r="P125" s="528">
        <v>25780.2</v>
      </c>
      <c r="Q125" s="528">
        <v>0</v>
      </c>
      <c r="R125" s="528">
        <v>0</v>
      </c>
      <c r="S125" s="528">
        <v>0</v>
      </c>
      <c r="T125" s="528">
        <v>139</v>
      </c>
      <c r="U125" s="528">
        <v>18000</v>
      </c>
      <c r="V125" s="528">
        <v>0</v>
      </c>
      <c r="W125" s="528">
        <v>0</v>
      </c>
      <c r="X125" s="528">
        <v>0</v>
      </c>
      <c r="Y125" s="528">
        <v>563875.39999999991</v>
      </c>
      <c r="Z125" s="528">
        <v>230511.2900000001</v>
      </c>
      <c r="AA125" s="528">
        <v>0</v>
      </c>
      <c r="AB125" s="528">
        <v>104358.42</v>
      </c>
      <c r="AC125" s="528">
        <v>0</v>
      </c>
      <c r="AD125" s="528">
        <v>14733.529999999999</v>
      </c>
      <c r="AE125" s="528">
        <v>0</v>
      </c>
      <c r="AF125" s="528">
        <v>32508.189999999988</v>
      </c>
      <c r="AG125" s="528">
        <v>3400.7599999999989</v>
      </c>
      <c r="AH125" s="528">
        <v>210</v>
      </c>
      <c r="AI125" s="528">
        <v>0</v>
      </c>
      <c r="AJ125" s="528">
        <v>0</v>
      </c>
      <c r="AK125" s="528">
        <v>1107.9100000000035</v>
      </c>
      <c r="AL125" s="528">
        <v>0</v>
      </c>
      <c r="AM125" s="528">
        <v>0</v>
      </c>
      <c r="AN125" s="528">
        <v>712.12</v>
      </c>
      <c r="AO125" s="528">
        <v>8088.12</v>
      </c>
      <c r="AP125" s="528">
        <v>0</v>
      </c>
      <c r="AQ125" s="528">
        <v>866.58</v>
      </c>
      <c r="AR125" s="528">
        <v>45672.239999999976</v>
      </c>
      <c r="AS125" s="528">
        <v>0</v>
      </c>
      <c r="AT125" s="528">
        <v>1000</v>
      </c>
      <c r="AU125" s="528">
        <v>4833.51</v>
      </c>
      <c r="AV125" s="528">
        <v>3291.75</v>
      </c>
      <c r="AW125" s="528">
        <v>0</v>
      </c>
      <c r="AX125" s="528">
        <v>0</v>
      </c>
      <c r="AY125" s="528">
        <v>23743.879999999994</v>
      </c>
      <c r="AZ125" s="528">
        <v>0</v>
      </c>
      <c r="BA125" s="528">
        <v>27520.75</v>
      </c>
      <c r="BB125" s="528">
        <v>39126.85</v>
      </c>
      <c r="BC125" s="528">
        <v>0</v>
      </c>
      <c r="BD125" s="528">
        <v>0</v>
      </c>
      <c r="BE125" s="528">
        <v>541685.90000000014</v>
      </c>
      <c r="BF125" s="528">
        <v>63510.530000000028</v>
      </c>
      <c r="BG125" s="528">
        <v>22189.499999999767</v>
      </c>
      <c r="BH125" s="528">
        <v>85700.029999999795</v>
      </c>
      <c r="BI125" s="528">
        <v>4708.75</v>
      </c>
      <c r="BJ125" s="528">
        <v>0</v>
      </c>
      <c r="BK125" s="528">
        <v>0</v>
      </c>
      <c r="BL125" s="528">
        <v>4708.75</v>
      </c>
      <c r="BM125" s="528">
        <v>0</v>
      </c>
      <c r="BN125" s="528">
        <v>0</v>
      </c>
      <c r="BO125" s="528">
        <v>0</v>
      </c>
      <c r="BP125" s="528">
        <v>0</v>
      </c>
      <c r="BQ125" s="528">
        <v>0</v>
      </c>
      <c r="BR125" s="528">
        <v>11718.1</v>
      </c>
      <c r="BS125" s="528">
        <v>4708.75</v>
      </c>
      <c r="BT125" s="528">
        <v>16426.849999999999</v>
      </c>
      <c r="BU125" s="528">
        <v>0</v>
      </c>
      <c r="BV125" s="528">
        <v>0</v>
      </c>
      <c r="BW125" s="528">
        <v>0</v>
      </c>
      <c r="BX125" s="528">
        <v>0</v>
      </c>
      <c r="BY125" s="528">
        <v>0</v>
      </c>
      <c r="BZ125" s="528">
        <v>0</v>
      </c>
      <c r="CA125" s="528">
        <v>0</v>
      </c>
      <c r="CB125" s="528">
        <v>0</v>
      </c>
      <c r="CC125" s="528">
        <v>0</v>
      </c>
      <c r="CD125" s="528">
        <v>85700.029999999795</v>
      </c>
      <c r="CE125" s="528">
        <v>0</v>
      </c>
      <c r="CF125" s="528">
        <v>16426.849999999999</v>
      </c>
      <c r="CG125" s="528">
        <v>0</v>
      </c>
      <c r="CH125" s="528">
        <v>0</v>
      </c>
      <c r="CI125" s="528">
        <f t="shared" si="1"/>
        <v>102126.8799999998</v>
      </c>
      <c r="CJ125" s="528">
        <v>15531.56</v>
      </c>
      <c r="CK125" s="528">
        <v>0</v>
      </c>
      <c r="CL125" s="528">
        <v>0</v>
      </c>
      <c r="CM125" s="528">
        <v>15531.56</v>
      </c>
      <c r="CN125" s="528">
        <v>0</v>
      </c>
      <c r="CO125" s="528">
        <v>0</v>
      </c>
      <c r="CP125" s="528">
        <v>4034.99</v>
      </c>
      <c r="CQ125" s="528">
        <v>0</v>
      </c>
      <c r="CR125" s="528">
        <v>82890.12</v>
      </c>
      <c r="CS125" s="528">
        <v>102456.67</v>
      </c>
      <c r="CT125" s="528">
        <v>0</v>
      </c>
      <c r="CU125" s="528">
        <v>0</v>
      </c>
      <c r="CV125" s="528">
        <v>0</v>
      </c>
      <c r="CW125" s="528">
        <v>0</v>
      </c>
      <c r="CX125" s="528"/>
      <c r="CY125" s="528"/>
      <c r="CZ125" s="528"/>
      <c r="DA125" s="528">
        <v>0</v>
      </c>
      <c r="DB125" s="528">
        <v>0</v>
      </c>
      <c r="DC125" s="528">
        <v>0</v>
      </c>
      <c r="DD125" s="528">
        <v>2542.6999999999998</v>
      </c>
      <c r="DE125" s="528">
        <v>0</v>
      </c>
      <c r="DF125" s="528">
        <v>0</v>
      </c>
      <c r="DG125" s="528">
        <v>-2746.48</v>
      </c>
      <c r="DH125" s="528">
        <v>-126</v>
      </c>
      <c r="DI125" s="528">
        <v>0</v>
      </c>
      <c r="DJ125" s="528">
        <v>0</v>
      </c>
      <c r="DK125" s="528">
        <v>-329.7800000000002</v>
      </c>
      <c r="DL125" s="528">
        <v>0</v>
      </c>
      <c r="DM125" s="528">
        <v>0</v>
      </c>
      <c r="DN125" s="528">
        <v>0</v>
      </c>
      <c r="DO125" s="528">
        <v>0</v>
      </c>
      <c r="DP125" s="528">
        <v>0</v>
      </c>
      <c r="DQ125" s="529">
        <v>-9.9999999947613105E-3</v>
      </c>
      <c r="DR125" s="530">
        <v>385512.19000000012</v>
      </c>
      <c r="DS125" s="531">
        <v>156173.71000000002</v>
      </c>
      <c r="DT125" s="530">
        <v>23743.879999999994</v>
      </c>
      <c r="DU125" s="530">
        <v>25919.200000000001</v>
      </c>
      <c r="DV125" s="530">
        <v>18000</v>
      </c>
      <c r="DW125" s="530">
        <v>0</v>
      </c>
    </row>
    <row r="126" spans="1:127" s="103" customFormat="1">
      <c r="A126" s="525">
        <v>7034</v>
      </c>
      <c r="B126" s="526" t="s">
        <v>913</v>
      </c>
      <c r="C126" s="525">
        <v>7034</v>
      </c>
      <c r="D126" s="527" t="s">
        <v>1284</v>
      </c>
      <c r="E126" s="527" t="s">
        <v>553</v>
      </c>
      <c r="F126" s="527" t="s">
        <v>5</v>
      </c>
      <c r="G126" s="527" t="s">
        <v>958</v>
      </c>
      <c r="H126" s="528">
        <v>905682.89</v>
      </c>
      <c r="I126" s="528">
        <v>181757</v>
      </c>
      <c r="J126" s="528">
        <v>1828717.85</v>
      </c>
      <c r="K126" s="528">
        <v>0</v>
      </c>
      <c r="L126" s="528">
        <v>42120</v>
      </c>
      <c r="M126" s="528">
        <v>2400</v>
      </c>
      <c r="N126" s="528">
        <v>0</v>
      </c>
      <c r="O126" s="528">
        <v>0</v>
      </c>
      <c r="P126" s="528">
        <v>301944.37</v>
      </c>
      <c r="Q126" s="528">
        <v>0</v>
      </c>
      <c r="R126" s="528">
        <v>0</v>
      </c>
      <c r="S126" s="528">
        <v>0</v>
      </c>
      <c r="T126" s="528">
        <v>8268.4</v>
      </c>
      <c r="U126" s="528">
        <v>62690.65</v>
      </c>
      <c r="V126" s="528">
        <v>0</v>
      </c>
      <c r="W126" s="528">
        <v>14142.58</v>
      </c>
      <c r="X126" s="528">
        <v>18784</v>
      </c>
      <c r="Y126" s="528">
        <v>3366507.74</v>
      </c>
      <c r="Z126" s="528">
        <v>1215200.5900000001</v>
      </c>
      <c r="AA126" s="528">
        <v>0</v>
      </c>
      <c r="AB126" s="528">
        <v>645964.32999999996</v>
      </c>
      <c r="AC126" s="528">
        <v>0</v>
      </c>
      <c r="AD126" s="528">
        <v>364176.61</v>
      </c>
      <c r="AE126" s="528">
        <v>0</v>
      </c>
      <c r="AF126" s="528">
        <v>37580.119999999995</v>
      </c>
      <c r="AG126" s="528">
        <v>12335.55</v>
      </c>
      <c r="AH126" s="528">
        <v>2341.5800000000004</v>
      </c>
      <c r="AI126" s="528">
        <v>0</v>
      </c>
      <c r="AJ126" s="528">
        <v>0</v>
      </c>
      <c r="AK126" s="528">
        <v>9707.4599999999991</v>
      </c>
      <c r="AL126" s="528">
        <v>0</v>
      </c>
      <c r="AM126" s="528">
        <v>0</v>
      </c>
      <c r="AN126" s="528">
        <v>9876.06</v>
      </c>
      <c r="AO126" s="528">
        <v>131439.04999999999</v>
      </c>
      <c r="AP126" s="528">
        <v>0</v>
      </c>
      <c r="AQ126" s="528">
        <v>7010.5699999999924</v>
      </c>
      <c r="AR126" s="528">
        <v>85804.89</v>
      </c>
      <c r="AS126" s="528">
        <v>3005.16</v>
      </c>
      <c r="AT126" s="528">
        <v>3971.42</v>
      </c>
      <c r="AU126" s="528">
        <v>19480.12</v>
      </c>
      <c r="AV126" s="528">
        <v>3291.75</v>
      </c>
      <c r="AW126" s="528">
        <v>2137.5</v>
      </c>
      <c r="AX126" s="528">
        <v>24308.42</v>
      </c>
      <c r="AY126" s="528">
        <v>22378.68</v>
      </c>
      <c r="AZ126" s="528">
        <v>13093.52</v>
      </c>
      <c r="BA126" s="528">
        <v>310016.01</v>
      </c>
      <c r="BB126" s="528">
        <v>405258</v>
      </c>
      <c r="BC126" s="528">
        <v>0</v>
      </c>
      <c r="BD126" s="528">
        <v>0</v>
      </c>
      <c r="BE126" s="528">
        <v>3328377.3899999997</v>
      </c>
      <c r="BF126" s="528">
        <v>402349.30000000028</v>
      </c>
      <c r="BG126" s="528">
        <v>38130.350000000559</v>
      </c>
      <c r="BH126" s="528">
        <v>440479.65000000084</v>
      </c>
      <c r="BI126" s="528">
        <v>8313.25</v>
      </c>
      <c r="BJ126" s="528">
        <v>0</v>
      </c>
      <c r="BK126" s="528">
        <v>0</v>
      </c>
      <c r="BL126" s="528">
        <v>8313.25</v>
      </c>
      <c r="BM126" s="528">
        <v>0</v>
      </c>
      <c r="BN126" s="528">
        <v>3245</v>
      </c>
      <c r="BO126" s="528">
        <v>0</v>
      </c>
      <c r="BP126" s="528">
        <v>25130.639999999999</v>
      </c>
      <c r="BQ126" s="528">
        <v>28375.64</v>
      </c>
      <c r="BR126" s="528">
        <v>32439.129999999997</v>
      </c>
      <c r="BS126" s="528">
        <v>-20062.39</v>
      </c>
      <c r="BT126" s="528">
        <v>12376.739999999998</v>
      </c>
      <c r="BU126" s="528">
        <v>0</v>
      </c>
      <c r="BV126" s="528">
        <v>0</v>
      </c>
      <c r="BW126" s="528">
        <v>0</v>
      </c>
      <c r="BX126" s="528">
        <v>0</v>
      </c>
      <c r="BY126" s="528">
        <v>0</v>
      </c>
      <c r="BZ126" s="528">
        <v>0</v>
      </c>
      <c r="CA126" s="528">
        <v>0</v>
      </c>
      <c r="CB126" s="528">
        <v>0</v>
      </c>
      <c r="CC126" s="528">
        <v>0</v>
      </c>
      <c r="CD126" s="528">
        <v>440479.65000000084</v>
      </c>
      <c r="CE126" s="528">
        <v>0</v>
      </c>
      <c r="CF126" s="528">
        <v>12376.739999999998</v>
      </c>
      <c r="CG126" s="528">
        <v>0</v>
      </c>
      <c r="CH126" s="528">
        <v>0</v>
      </c>
      <c r="CI126" s="528">
        <f t="shared" si="1"/>
        <v>452856.39000000083</v>
      </c>
      <c r="CJ126" s="528">
        <v>0</v>
      </c>
      <c r="CK126" s="528">
        <v>0</v>
      </c>
      <c r="CL126" s="528">
        <v>0</v>
      </c>
      <c r="CM126" s="528">
        <v>0</v>
      </c>
      <c r="CN126" s="528">
        <v>0</v>
      </c>
      <c r="CO126" s="528">
        <v>0</v>
      </c>
      <c r="CP126" s="528">
        <v>0</v>
      </c>
      <c r="CQ126" s="528">
        <v>0</v>
      </c>
      <c r="CR126" s="528">
        <v>0</v>
      </c>
      <c r="CS126" s="528">
        <v>0</v>
      </c>
      <c r="CT126" s="528">
        <v>0</v>
      </c>
      <c r="CU126" s="528">
        <v>0</v>
      </c>
      <c r="CV126" s="528">
        <v>0</v>
      </c>
      <c r="CW126" s="528">
        <v>0</v>
      </c>
      <c r="CX126" s="528"/>
      <c r="CY126" s="528"/>
      <c r="CZ126" s="528"/>
      <c r="DA126" s="528">
        <v>468937.53000000084</v>
      </c>
      <c r="DB126" s="528">
        <v>468937.53000000084</v>
      </c>
      <c r="DC126" s="528">
        <v>0</v>
      </c>
      <c r="DD126" s="528">
        <v>25752.37</v>
      </c>
      <c r="DE126" s="528">
        <v>0</v>
      </c>
      <c r="DF126" s="528">
        <v>0</v>
      </c>
      <c r="DG126" s="528">
        <v>-11311.15</v>
      </c>
      <c r="DH126" s="528">
        <v>-30522.36</v>
      </c>
      <c r="DI126" s="528">
        <v>0</v>
      </c>
      <c r="DJ126" s="528">
        <v>0</v>
      </c>
      <c r="DK126" s="528">
        <v>-16081.140000000001</v>
      </c>
      <c r="DL126" s="528">
        <v>0</v>
      </c>
      <c r="DM126" s="528">
        <v>0</v>
      </c>
      <c r="DN126" s="528">
        <v>0</v>
      </c>
      <c r="DO126" s="528">
        <v>0</v>
      </c>
      <c r="DP126" s="528">
        <v>0</v>
      </c>
      <c r="DQ126" s="529">
        <v>-8.149072527885437E-10</v>
      </c>
      <c r="DR126" s="530">
        <v>2275257.1999999997</v>
      </c>
      <c r="DS126" s="531">
        <v>1053120.19</v>
      </c>
      <c r="DT126" s="530">
        <v>22378.68</v>
      </c>
      <c r="DU126" s="530">
        <v>310212.77</v>
      </c>
      <c r="DV126" s="530">
        <v>62690.65</v>
      </c>
      <c r="DW126" s="530">
        <v>0</v>
      </c>
    </row>
    <row r="127" spans="1:127" s="103" customFormat="1">
      <c r="A127" s="525">
        <v>4173</v>
      </c>
      <c r="B127" s="526" t="s">
        <v>733</v>
      </c>
      <c r="C127" s="525">
        <v>4173</v>
      </c>
      <c r="D127" s="527" t="s">
        <v>1284</v>
      </c>
      <c r="E127" s="527" t="s">
        <v>564</v>
      </c>
      <c r="F127" s="527" t="s">
        <v>5</v>
      </c>
      <c r="G127" s="527" t="s">
        <v>535</v>
      </c>
      <c r="H127" s="528">
        <v>6845052.0700000003</v>
      </c>
      <c r="I127" s="528">
        <v>0</v>
      </c>
      <c r="J127" s="528">
        <v>176355.83</v>
      </c>
      <c r="K127" s="528">
        <v>0</v>
      </c>
      <c r="L127" s="528">
        <v>342920</v>
      </c>
      <c r="M127" s="528">
        <v>13884.65</v>
      </c>
      <c r="N127" s="528">
        <v>0</v>
      </c>
      <c r="O127" s="528">
        <v>0</v>
      </c>
      <c r="P127" s="528">
        <v>316792.59999999998</v>
      </c>
      <c r="Q127" s="528">
        <v>0</v>
      </c>
      <c r="R127" s="528">
        <v>0</v>
      </c>
      <c r="S127" s="528">
        <v>0</v>
      </c>
      <c r="T127" s="528">
        <v>56529.15</v>
      </c>
      <c r="U127" s="528">
        <v>0</v>
      </c>
      <c r="V127" s="528">
        <v>0</v>
      </c>
      <c r="W127" s="528">
        <v>10535</v>
      </c>
      <c r="X127" s="528">
        <v>0</v>
      </c>
      <c r="Y127" s="528">
        <v>7762069.3000000007</v>
      </c>
      <c r="Z127" s="528">
        <v>5912201.4945</v>
      </c>
      <c r="AA127" s="528">
        <v>0</v>
      </c>
      <c r="AB127" s="528">
        <v>621128.84400000004</v>
      </c>
      <c r="AC127" s="528">
        <v>108574.1265</v>
      </c>
      <c r="AD127" s="528">
        <v>286362.76199999999</v>
      </c>
      <c r="AE127" s="528">
        <v>0</v>
      </c>
      <c r="AF127" s="528">
        <v>12391.259999999998</v>
      </c>
      <c r="AG127" s="528">
        <v>11169.3235</v>
      </c>
      <c r="AH127" s="528">
        <v>5921.9054999999998</v>
      </c>
      <c r="AI127" s="528">
        <v>0</v>
      </c>
      <c r="AJ127" s="528">
        <v>0</v>
      </c>
      <c r="AK127" s="528">
        <v>145499.30849999998</v>
      </c>
      <c r="AL127" s="528">
        <v>9224.7434999999987</v>
      </c>
      <c r="AM127" s="528">
        <v>68409.0435</v>
      </c>
      <c r="AN127" s="528">
        <v>5246.2094999999999</v>
      </c>
      <c r="AO127" s="528">
        <v>53524.716000000008</v>
      </c>
      <c r="AP127" s="528">
        <v>148245.59</v>
      </c>
      <c r="AQ127" s="528">
        <v>29008.948499999999</v>
      </c>
      <c r="AR127" s="528">
        <v>100249.4745</v>
      </c>
      <c r="AS127" s="528">
        <v>151665.1605</v>
      </c>
      <c r="AT127" s="528">
        <v>10698.397500000001</v>
      </c>
      <c r="AU127" s="528">
        <v>96016.393579862633</v>
      </c>
      <c r="AV127" s="528">
        <v>48327.520499999999</v>
      </c>
      <c r="AW127" s="528">
        <v>0</v>
      </c>
      <c r="AX127" s="528">
        <v>67344.332999999999</v>
      </c>
      <c r="AY127" s="528">
        <v>0</v>
      </c>
      <c r="AZ127" s="528">
        <v>23691.568499999998</v>
      </c>
      <c r="BA127" s="528">
        <v>0</v>
      </c>
      <c r="BB127" s="528">
        <v>0</v>
      </c>
      <c r="BC127" s="528">
        <v>0</v>
      </c>
      <c r="BD127" s="528">
        <v>0</v>
      </c>
      <c r="BE127" s="528">
        <v>7914901.1235798625</v>
      </c>
      <c r="BF127" s="528">
        <v>998507.71000000043</v>
      </c>
      <c r="BG127" s="528">
        <v>-152831.82357986178</v>
      </c>
      <c r="BH127" s="528">
        <v>845675.88642013865</v>
      </c>
      <c r="BI127" s="528">
        <v>19212.810000000001</v>
      </c>
      <c r="BJ127" s="528">
        <v>0</v>
      </c>
      <c r="BK127" s="528">
        <v>0</v>
      </c>
      <c r="BL127" s="528">
        <v>19212.810000000001</v>
      </c>
      <c r="BM127" s="528">
        <v>0</v>
      </c>
      <c r="BN127" s="528">
        <v>0</v>
      </c>
      <c r="BO127" s="528">
        <v>0</v>
      </c>
      <c r="BP127" s="528">
        <v>0</v>
      </c>
      <c r="BQ127" s="528">
        <v>0</v>
      </c>
      <c r="BR127" s="528">
        <v>74163.23000000001</v>
      </c>
      <c r="BS127" s="528">
        <v>19212.810000000001</v>
      </c>
      <c r="BT127" s="528">
        <v>93376.040000000008</v>
      </c>
      <c r="BU127" s="528">
        <v>0</v>
      </c>
      <c r="BV127" s="528">
        <v>0</v>
      </c>
      <c r="BW127" s="528">
        <v>0</v>
      </c>
      <c r="BX127" s="528">
        <v>0</v>
      </c>
      <c r="BY127" s="528">
        <v>0</v>
      </c>
      <c r="BZ127" s="528">
        <v>0</v>
      </c>
      <c r="CA127" s="528">
        <v>0</v>
      </c>
      <c r="CB127" s="528">
        <v>0</v>
      </c>
      <c r="CC127" s="528">
        <v>0</v>
      </c>
      <c r="CD127" s="528">
        <v>845675.88642013865</v>
      </c>
      <c r="CE127" s="528">
        <v>0</v>
      </c>
      <c r="CF127" s="528">
        <v>93376.040000000008</v>
      </c>
      <c r="CG127" s="528">
        <v>0</v>
      </c>
      <c r="CH127" s="528">
        <v>0</v>
      </c>
      <c r="CI127" s="528">
        <f t="shared" si="1"/>
        <v>939051.92642013868</v>
      </c>
      <c r="CJ127" s="528">
        <v>951708.97</v>
      </c>
      <c r="CK127" s="528">
        <v>58756</v>
      </c>
      <c r="CL127" s="528">
        <v>1647.72</v>
      </c>
      <c r="CM127" s="528">
        <v>894600.69</v>
      </c>
      <c r="CN127" s="528">
        <v>0</v>
      </c>
      <c r="CO127" s="528">
        <v>0</v>
      </c>
      <c r="CP127" s="528">
        <v>44715.89</v>
      </c>
      <c r="CQ127" s="528">
        <v>0</v>
      </c>
      <c r="CR127" s="528">
        <v>0</v>
      </c>
      <c r="CS127" s="528">
        <v>939316.58</v>
      </c>
      <c r="CT127" s="528">
        <v>0</v>
      </c>
      <c r="CU127" s="528">
        <v>0</v>
      </c>
      <c r="CV127" s="528">
        <v>0</v>
      </c>
      <c r="CW127" s="528">
        <v>0</v>
      </c>
      <c r="CX127" s="528"/>
      <c r="CY127" s="528"/>
      <c r="CZ127" s="528"/>
      <c r="DA127" s="528">
        <v>0</v>
      </c>
      <c r="DB127" s="528">
        <v>0</v>
      </c>
      <c r="DC127" s="528">
        <v>0</v>
      </c>
      <c r="DD127" s="528">
        <v>0</v>
      </c>
      <c r="DE127" s="528">
        <v>0</v>
      </c>
      <c r="DF127" s="528">
        <v>0</v>
      </c>
      <c r="DG127" s="528">
        <v>0</v>
      </c>
      <c r="DH127" s="528">
        <v>-265</v>
      </c>
      <c r="DI127" s="528">
        <v>0</v>
      </c>
      <c r="DJ127" s="528">
        <v>0</v>
      </c>
      <c r="DK127" s="528">
        <v>-265</v>
      </c>
      <c r="DL127" s="528">
        <v>0</v>
      </c>
      <c r="DM127" s="528">
        <v>0</v>
      </c>
      <c r="DN127" s="528">
        <v>0</v>
      </c>
      <c r="DO127" s="528">
        <v>0</v>
      </c>
      <c r="DP127" s="528">
        <v>0</v>
      </c>
      <c r="DQ127" s="529">
        <v>0.35000000009313226</v>
      </c>
      <c r="DR127" s="530">
        <v>6951827.8105000006</v>
      </c>
      <c r="DS127" s="531">
        <v>963073.31307986192</v>
      </c>
      <c r="DT127" s="530">
        <v>0</v>
      </c>
      <c r="DU127" s="530">
        <v>373321.75</v>
      </c>
      <c r="DV127" s="530">
        <v>0</v>
      </c>
      <c r="DW127" s="530">
        <v>0</v>
      </c>
    </row>
    <row r="128" spans="1:127" s="103" customFormat="1">
      <c r="A128" s="525">
        <v>2157</v>
      </c>
      <c r="B128" s="526" t="s">
        <v>915</v>
      </c>
      <c r="C128" s="525">
        <v>2157</v>
      </c>
      <c r="D128" s="527" t="s">
        <v>1284</v>
      </c>
      <c r="E128" s="527" t="s">
        <v>538</v>
      </c>
      <c r="F128" s="527" t="s">
        <v>5</v>
      </c>
      <c r="G128" s="527" t="s">
        <v>958</v>
      </c>
      <c r="H128" s="528">
        <v>2051600.28</v>
      </c>
      <c r="I128" s="528">
        <v>0</v>
      </c>
      <c r="J128" s="528">
        <v>41238.75</v>
      </c>
      <c r="K128" s="528">
        <v>0</v>
      </c>
      <c r="L128" s="528">
        <v>134630</v>
      </c>
      <c r="M128" s="528">
        <v>0</v>
      </c>
      <c r="N128" s="528">
        <v>0</v>
      </c>
      <c r="O128" s="528">
        <v>0</v>
      </c>
      <c r="P128" s="528">
        <v>60463.649999999994</v>
      </c>
      <c r="Q128" s="528">
        <v>0</v>
      </c>
      <c r="R128" s="528">
        <v>0</v>
      </c>
      <c r="S128" s="528">
        <v>0</v>
      </c>
      <c r="T128" s="528">
        <v>0</v>
      </c>
      <c r="U128" s="528">
        <v>0</v>
      </c>
      <c r="V128" s="528">
        <v>0</v>
      </c>
      <c r="W128" s="528">
        <v>2465.13</v>
      </c>
      <c r="X128" s="528">
        <v>72334</v>
      </c>
      <c r="Y128" s="528">
        <v>2362731.81</v>
      </c>
      <c r="Z128" s="528">
        <v>1126496.8600000008</v>
      </c>
      <c r="AA128" s="528">
        <v>13626.51</v>
      </c>
      <c r="AB128" s="528">
        <v>-5805.5599999999995</v>
      </c>
      <c r="AC128" s="528">
        <v>496474.02999999851</v>
      </c>
      <c r="AD128" s="528">
        <v>233.99999999999994</v>
      </c>
      <c r="AE128" s="528">
        <v>0</v>
      </c>
      <c r="AF128" s="528">
        <v>293056.56000000011</v>
      </c>
      <c r="AG128" s="528">
        <v>7496.6099999999988</v>
      </c>
      <c r="AH128" s="528">
        <v>14919.2</v>
      </c>
      <c r="AI128" s="528">
        <v>0</v>
      </c>
      <c r="AJ128" s="528">
        <v>1239.2</v>
      </c>
      <c r="AK128" s="528">
        <v>18928.759999999998</v>
      </c>
      <c r="AL128" s="528">
        <v>181.8</v>
      </c>
      <c r="AM128" s="528">
        <v>2516.56</v>
      </c>
      <c r="AN128" s="528">
        <v>4898.0399999999991</v>
      </c>
      <c r="AO128" s="528">
        <v>82946.069999999978</v>
      </c>
      <c r="AP128" s="528">
        <v>27559.83</v>
      </c>
      <c r="AQ128" s="528">
        <v>8059.16</v>
      </c>
      <c r="AR128" s="528">
        <v>56251.009999999966</v>
      </c>
      <c r="AS128" s="528">
        <v>40029.910000000003</v>
      </c>
      <c r="AT128" s="528">
        <v>3220.39</v>
      </c>
      <c r="AU128" s="528">
        <v>8427.44</v>
      </c>
      <c r="AV128" s="528">
        <v>10443.48</v>
      </c>
      <c r="AW128" s="528">
        <v>0</v>
      </c>
      <c r="AX128" s="528">
        <v>93719.8</v>
      </c>
      <c r="AY128" s="528">
        <v>51445.120000000003</v>
      </c>
      <c r="AZ128" s="528">
        <v>9426.32</v>
      </c>
      <c r="BA128" s="528">
        <v>272547.89000000007</v>
      </c>
      <c r="BB128" s="528">
        <v>0</v>
      </c>
      <c r="BC128" s="528">
        <v>0</v>
      </c>
      <c r="BD128" s="528">
        <v>0</v>
      </c>
      <c r="BE128" s="528">
        <v>2638338.9899999998</v>
      </c>
      <c r="BF128" s="528">
        <v>-128949.25000000049</v>
      </c>
      <c r="BG128" s="528">
        <v>-275607.1799999997</v>
      </c>
      <c r="BH128" s="528">
        <v>-404556.43000000017</v>
      </c>
      <c r="BI128" s="528">
        <v>8713.75</v>
      </c>
      <c r="BJ128" s="528">
        <v>0</v>
      </c>
      <c r="BK128" s="528">
        <v>0</v>
      </c>
      <c r="BL128" s="528">
        <v>8713.75</v>
      </c>
      <c r="BM128" s="528">
        <v>0</v>
      </c>
      <c r="BN128" s="528">
        <v>0</v>
      </c>
      <c r="BO128" s="528">
        <v>0</v>
      </c>
      <c r="BP128" s="528">
        <v>0</v>
      </c>
      <c r="BQ128" s="528">
        <v>0</v>
      </c>
      <c r="BR128" s="528">
        <v>0</v>
      </c>
      <c r="BS128" s="528">
        <v>8713.75</v>
      </c>
      <c r="BT128" s="528">
        <v>8713.75</v>
      </c>
      <c r="BU128" s="528">
        <v>0</v>
      </c>
      <c r="BV128" s="528">
        <v>0</v>
      </c>
      <c r="BW128" s="528">
        <v>0</v>
      </c>
      <c r="BX128" s="528">
        <v>0</v>
      </c>
      <c r="BY128" s="528">
        <v>0</v>
      </c>
      <c r="BZ128" s="528">
        <v>0</v>
      </c>
      <c r="CA128" s="528">
        <v>0</v>
      </c>
      <c r="CB128" s="528">
        <v>0</v>
      </c>
      <c r="CC128" s="528">
        <v>0</v>
      </c>
      <c r="CD128" s="528">
        <v>-404556.43000000017</v>
      </c>
      <c r="CE128" s="528">
        <v>0</v>
      </c>
      <c r="CF128" s="528">
        <v>8713.75</v>
      </c>
      <c r="CG128" s="528">
        <v>0</v>
      </c>
      <c r="CH128" s="528">
        <v>0</v>
      </c>
      <c r="CI128" s="528">
        <f t="shared" si="1"/>
        <v>-395842.68000000017</v>
      </c>
      <c r="CJ128" s="528">
        <v>0</v>
      </c>
      <c r="CK128" s="528">
        <v>0</v>
      </c>
      <c r="CL128" s="528">
        <v>0</v>
      </c>
      <c r="CM128" s="528">
        <v>0</v>
      </c>
      <c r="CN128" s="528">
        <v>0</v>
      </c>
      <c r="CO128" s="528">
        <v>0</v>
      </c>
      <c r="CP128" s="528">
        <v>0</v>
      </c>
      <c r="CQ128" s="528">
        <v>0</v>
      </c>
      <c r="CR128" s="528">
        <v>0</v>
      </c>
      <c r="CS128" s="528">
        <v>0</v>
      </c>
      <c r="CT128" s="528">
        <v>0</v>
      </c>
      <c r="CU128" s="528">
        <v>0</v>
      </c>
      <c r="CV128" s="528">
        <v>0</v>
      </c>
      <c r="CW128" s="528">
        <v>0</v>
      </c>
      <c r="CX128" s="528"/>
      <c r="CY128" s="528"/>
      <c r="CZ128" s="528"/>
      <c r="DA128" s="528">
        <v>-395842.68000000017</v>
      </c>
      <c r="DB128" s="528">
        <v>-395842.68000000017</v>
      </c>
      <c r="DC128" s="528">
        <v>0</v>
      </c>
      <c r="DD128" s="528">
        <v>0</v>
      </c>
      <c r="DE128" s="528">
        <v>0</v>
      </c>
      <c r="DF128" s="528">
        <v>0</v>
      </c>
      <c r="DG128" s="528">
        <v>0</v>
      </c>
      <c r="DH128" s="528">
        <v>0</v>
      </c>
      <c r="DI128" s="528">
        <v>0</v>
      </c>
      <c r="DJ128" s="528">
        <v>0</v>
      </c>
      <c r="DK128" s="528">
        <v>0</v>
      </c>
      <c r="DL128" s="528">
        <v>0</v>
      </c>
      <c r="DM128" s="528">
        <v>0</v>
      </c>
      <c r="DN128" s="528">
        <v>0</v>
      </c>
      <c r="DO128" s="528">
        <v>0</v>
      </c>
      <c r="DP128" s="528">
        <v>0</v>
      </c>
      <c r="DQ128" s="529">
        <v>0</v>
      </c>
      <c r="DR128" s="530">
        <v>1931579.0099999995</v>
      </c>
      <c r="DS128" s="531">
        <v>706759.98000000021</v>
      </c>
      <c r="DT128" s="530">
        <v>51445.120000000003</v>
      </c>
      <c r="DU128" s="530">
        <v>60463.649999999994</v>
      </c>
      <c r="DV128" s="530">
        <v>0</v>
      </c>
      <c r="DW128" s="530">
        <v>0</v>
      </c>
    </row>
    <row r="129" spans="1:127" s="103" customFormat="1">
      <c r="A129" s="525">
        <v>2159</v>
      </c>
      <c r="B129" s="526" t="s">
        <v>735</v>
      </c>
      <c r="C129" s="525">
        <v>2159</v>
      </c>
      <c r="D129" s="527" t="s">
        <v>1284</v>
      </c>
      <c r="E129" s="527" t="s">
        <v>538</v>
      </c>
      <c r="F129" s="527" t="s">
        <v>5</v>
      </c>
      <c r="G129" s="527" t="s">
        <v>535</v>
      </c>
      <c r="H129" s="528">
        <v>1290791.95</v>
      </c>
      <c r="I129" s="528">
        <v>0</v>
      </c>
      <c r="J129" s="528">
        <v>71861.070000000007</v>
      </c>
      <c r="K129" s="528">
        <v>0</v>
      </c>
      <c r="L129" s="528">
        <v>137640</v>
      </c>
      <c r="M129" s="528">
        <v>3256.93</v>
      </c>
      <c r="N129" s="528">
        <v>0</v>
      </c>
      <c r="O129" s="528">
        <v>0</v>
      </c>
      <c r="P129" s="528">
        <v>9957.7199999999993</v>
      </c>
      <c r="Q129" s="528">
        <v>0</v>
      </c>
      <c r="R129" s="528">
        <v>0</v>
      </c>
      <c r="S129" s="528">
        <v>0</v>
      </c>
      <c r="T129" s="528">
        <v>877</v>
      </c>
      <c r="U129" s="528">
        <v>6450.24</v>
      </c>
      <c r="V129" s="528">
        <v>0</v>
      </c>
      <c r="W129" s="528">
        <v>6121.67</v>
      </c>
      <c r="X129" s="528">
        <v>41470</v>
      </c>
      <c r="Y129" s="528">
        <v>1568426.5799999998</v>
      </c>
      <c r="Z129" s="528">
        <v>704159.43000000028</v>
      </c>
      <c r="AA129" s="528">
        <v>0</v>
      </c>
      <c r="AB129" s="528">
        <v>267471.06</v>
      </c>
      <c r="AC129" s="528">
        <v>37817.319999999832</v>
      </c>
      <c r="AD129" s="528">
        <v>98422.96</v>
      </c>
      <c r="AE129" s="528">
        <v>0</v>
      </c>
      <c r="AF129" s="528">
        <v>42626.769999999873</v>
      </c>
      <c r="AG129" s="528">
        <v>4554.9400000000296</v>
      </c>
      <c r="AH129" s="528">
        <v>925</v>
      </c>
      <c r="AI129" s="528">
        <v>0</v>
      </c>
      <c r="AJ129" s="528">
        <v>0</v>
      </c>
      <c r="AK129" s="528">
        <v>8316.32</v>
      </c>
      <c r="AL129" s="528">
        <v>521.48</v>
      </c>
      <c r="AM129" s="528">
        <v>24804.240000000005</v>
      </c>
      <c r="AN129" s="528">
        <v>4073.29</v>
      </c>
      <c r="AO129" s="528">
        <v>32090.579999999998</v>
      </c>
      <c r="AP129" s="528">
        <v>16658.41</v>
      </c>
      <c r="AQ129" s="528">
        <v>1860.7800000000004</v>
      </c>
      <c r="AR129" s="528">
        <v>26055.629999999979</v>
      </c>
      <c r="AS129" s="528">
        <v>23024.170000000002</v>
      </c>
      <c r="AT129" s="528">
        <v>0</v>
      </c>
      <c r="AU129" s="528">
        <v>4741.829999999999</v>
      </c>
      <c r="AV129" s="528">
        <v>5889.66</v>
      </c>
      <c r="AW129" s="528">
        <v>4600</v>
      </c>
      <c r="AX129" s="528">
        <v>94580.96</v>
      </c>
      <c r="AY129" s="528">
        <v>85773.28</v>
      </c>
      <c r="AZ129" s="528">
        <v>5064.1400000000003</v>
      </c>
      <c r="BA129" s="528">
        <v>72037.640000000014</v>
      </c>
      <c r="BB129" s="528">
        <v>0</v>
      </c>
      <c r="BC129" s="528">
        <v>0</v>
      </c>
      <c r="BD129" s="528">
        <v>0</v>
      </c>
      <c r="BE129" s="528">
        <v>1566069.8899999997</v>
      </c>
      <c r="BF129" s="528">
        <v>6013.8600000000188</v>
      </c>
      <c r="BG129" s="528">
        <v>2356.690000000177</v>
      </c>
      <c r="BH129" s="528">
        <v>8370.5500000001957</v>
      </c>
      <c r="BI129" s="528">
        <v>6295</v>
      </c>
      <c r="BJ129" s="528">
        <v>0</v>
      </c>
      <c r="BK129" s="528">
        <v>0</v>
      </c>
      <c r="BL129" s="528">
        <v>6295</v>
      </c>
      <c r="BM129" s="528">
        <v>0</v>
      </c>
      <c r="BN129" s="528">
        <v>8842.24</v>
      </c>
      <c r="BO129" s="528">
        <v>0</v>
      </c>
      <c r="BP129" s="528">
        <v>0</v>
      </c>
      <c r="BQ129" s="528">
        <v>8842.24</v>
      </c>
      <c r="BR129" s="528">
        <v>2909.0400000000009</v>
      </c>
      <c r="BS129" s="528">
        <v>-2547.2399999999998</v>
      </c>
      <c r="BT129" s="528">
        <v>361.80000000000109</v>
      </c>
      <c r="BU129" s="528">
        <v>0</v>
      </c>
      <c r="BV129" s="528">
        <v>0</v>
      </c>
      <c r="BW129" s="528">
        <v>0</v>
      </c>
      <c r="BX129" s="528">
        <v>0</v>
      </c>
      <c r="BY129" s="528">
        <v>0</v>
      </c>
      <c r="BZ129" s="528">
        <v>0</v>
      </c>
      <c r="CA129" s="528">
        <v>0</v>
      </c>
      <c r="CB129" s="528">
        <v>0</v>
      </c>
      <c r="CC129" s="528">
        <v>0</v>
      </c>
      <c r="CD129" s="528">
        <v>8370.5500000001957</v>
      </c>
      <c r="CE129" s="528">
        <v>0</v>
      </c>
      <c r="CF129" s="528">
        <v>361.80000000000109</v>
      </c>
      <c r="CG129" s="528">
        <v>0</v>
      </c>
      <c r="CH129" s="528">
        <v>0</v>
      </c>
      <c r="CI129" s="528">
        <f t="shared" si="1"/>
        <v>8732.3500000001968</v>
      </c>
      <c r="CJ129" s="528">
        <v>115056.02</v>
      </c>
      <c r="CK129" s="528">
        <v>3392.08</v>
      </c>
      <c r="CL129" s="528">
        <v>0</v>
      </c>
      <c r="CM129" s="528">
        <v>111663.94</v>
      </c>
      <c r="CN129" s="528">
        <v>0</v>
      </c>
      <c r="CO129" s="528">
        <v>0</v>
      </c>
      <c r="CP129" s="528">
        <v>2779.85</v>
      </c>
      <c r="CQ129" s="528">
        <v>0</v>
      </c>
      <c r="CR129" s="528">
        <v>-94501.15</v>
      </c>
      <c r="CS129" s="528">
        <v>19942.640000000014</v>
      </c>
      <c r="CT129" s="528">
        <v>0</v>
      </c>
      <c r="CU129" s="528">
        <v>0</v>
      </c>
      <c r="CV129" s="528">
        <v>0</v>
      </c>
      <c r="CW129" s="528">
        <v>0</v>
      </c>
      <c r="CX129" s="528"/>
      <c r="CY129" s="528"/>
      <c r="CZ129" s="528"/>
      <c r="DA129" s="528">
        <v>0</v>
      </c>
      <c r="DB129" s="528">
        <v>0</v>
      </c>
      <c r="DC129" s="528">
        <v>0</v>
      </c>
      <c r="DD129" s="528">
        <v>139.52000000000001</v>
      </c>
      <c r="DE129" s="528">
        <v>0</v>
      </c>
      <c r="DF129" s="528">
        <v>0</v>
      </c>
      <c r="DG129" s="528">
        <v>-11349.8</v>
      </c>
      <c r="DH129" s="528">
        <v>0</v>
      </c>
      <c r="DI129" s="528">
        <v>0</v>
      </c>
      <c r="DJ129" s="528">
        <v>0</v>
      </c>
      <c r="DK129" s="528">
        <v>-11210.279999999999</v>
      </c>
      <c r="DL129" s="528">
        <v>0</v>
      </c>
      <c r="DM129" s="528">
        <v>0</v>
      </c>
      <c r="DN129" s="528">
        <v>0</v>
      </c>
      <c r="DO129" s="528">
        <v>0</v>
      </c>
      <c r="DP129" s="528">
        <v>0</v>
      </c>
      <c r="DQ129" s="529">
        <v>-0.33000000001629815</v>
      </c>
      <c r="DR129" s="530">
        <v>1155052.4799999997</v>
      </c>
      <c r="DS129" s="531">
        <v>411017.40999999992</v>
      </c>
      <c r="DT129" s="530">
        <v>85773.28</v>
      </c>
      <c r="DU129" s="530">
        <v>10834.72</v>
      </c>
      <c r="DV129" s="530">
        <v>6450.24</v>
      </c>
      <c r="DW129" s="530">
        <v>0</v>
      </c>
    </row>
    <row r="130" spans="1:127" s="103" customFormat="1">
      <c r="A130" s="525">
        <v>2161</v>
      </c>
      <c r="B130" s="526" t="s">
        <v>737</v>
      </c>
      <c r="C130" s="525">
        <v>2161</v>
      </c>
      <c r="D130" s="527" t="s">
        <v>1284</v>
      </c>
      <c r="E130" s="527" t="s">
        <v>538</v>
      </c>
      <c r="F130" s="527" t="s">
        <v>5</v>
      </c>
      <c r="G130" s="527" t="s">
        <v>535</v>
      </c>
      <c r="H130" s="528">
        <v>1685502.7</v>
      </c>
      <c r="I130" s="528">
        <v>0</v>
      </c>
      <c r="J130" s="528">
        <v>118070.72</v>
      </c>
      <c r="K130" s="528">
        <v>0</v>
      </c>
      <c r="L130" s="528">
        <v>172940</v>
      </c>
      <c r="M130" s="528">
        <v>571.29</v>
      </c>
      <c r="N130" s="528">
        <v>0</v>
      </c>
      <c r="O130" s="528">
        <v>0</v>
      </c>
      <c r="P130" s="528">
        <v>37647.539999999994</v>
      </c>
      <c r="Q130" s="528">
        <v>0</v>
      </c>
      <c r="R130" s="528">
        <v>0</v>
      </c>
      <c r="S130" s="528">
        <v>0</v>
      </c>
      <c r="T130" s="528">
        <v>0</v>
      </c>
      <c r="U130" s="528">
        <v>0</v>
      </c>
      <c r="V130" s="528">
        <v>0</v>
      </c>
      <c r="W130" s="528">
        <v>3622.08</v>
      </c>
      <c r="X130" s="528">
        <v>89389</v>
      </c>
      <c r="Y130" s="528">
        <v>2107743.33</v>
      </c>
      <c r="Z130" s="528">
        <v>895967.51000000013</v>
      </c>
      <c r="AA130" s="528">
        <v>0</v>
      </c>
      <c r="AB130" s="528">
        <v>316178.46999999997</v>
      </c>
      <c r="AC130" s="528">
        <v>35051.790000000619</v>
      </c>
      <c r="AD130" s="528">
        <v>151996.34</v>
      </c>
      <c r="AE130" s="528">
        <v>0</v>
      </c>
      <c r="AF130" s="528">
        <v>162200.72000000029</v>
      </c>
      <c r="AG130" s="528">
        <v>6904.85</v>
      </c>
      <c r="AH130" s="528">
        <v>3597.8</v>
      </c>
      <c r="AI130" s="528">
        <v>0</v>
      </c>
      <c r="AJ130" s="528">
        <v>252</v>
      </c>
      <c r="AK130" s="528">
        <v>7895.3200000000006</v>
      </c>
      <c r="AL130" s="528">
        <v>2354.1599999999994</v>
      </c>
      <c r="AM130" s="528">
        <v>4905.5600000000004</v>
      </c>
      <c r="AN130" s="528">
        <v>4397.4799999999996</v>
      </c>
      <c r="AO130" s="528">
        <v>26143.22</v>
      </c>
      <c r="AP130" s="528">
        <v>14190.66</v>
      </c>
      <c r="AQ130" s="528">
        <v>14468.969999999998</v>
      </c>
      <c r="AR130" s="528">
        <v>44127.050000000025</v>
      </c>
      <c r="AS130" s="528">
        <v>4634.08</v>
      </c>
      <c r="AT130" s="528">
        <v>0</v>
      </c>
      <c r="AU130" s="528">
        <v>16178.019999999997</v>
      </c>
      <c r="AV130" s="528">
        <v>5139.75</v>
      </c>
      <c r="AW130" s="528">
        <v>9442.3300000000163</v>
      </c>
      <c r="AX130" s="528">
        <v>104931.47</v>
      </c>
      <c r="AY130" s="528">
        <v>174627.91</v>
      </c>
      <c r="AZ130" s="528">
        <v>6392.85</v>
      </c>
      <c r="BA130" s="528">
        <v>61763.510000000017</v>
      </c>
      <c r="BB130" s="528">
        <v>0</v>
      </c>
      <c r="BC130" s="528">
        <v>0</v>
      </c>
      <c r="BD130" s="528">
        <v>0</v>
      </c>
      <c r="BE130" s="528">
        <v>2073741.820000001</v>
      </c>
      <c r="BF130" s="528">
        <v>296676.60000000044</v>
      </c>
      <c r="BG130" s="528">
        <v>34001.509999999078</v>
      </c>
      <c r="BH130" s="528">
        <v>330678.10999999952</v>
      </c>
      <c r="BI130" s="528">
        <v>7197.25</v>
      </c>
      <c r="BJ130" s="528">
        <v>0</v>
      </c>
      <c r="BK130" s="528">
        <v>0</v>
      </c>
      <c r="BL130" s="528">
        <v>7197.25</v>
      </c>
      <c r="BM130" s="528">
        <v>0</v>
      </c>
      <c r="BN130" s="528">
        <v>10573.099999999999</v>
      </c>
      <c r="BO130" s="528">
        <v>0</v>
      </c>
      <c r="BP130" s="528">
        <v>0</v>
      </c>
      <c r="BQ130" s="528">
        <v>10573.099999999999</v>
      </c>
      <c r="BR130" s="528">
        <v>15412.759999999998</v>
      </c>
      <c r="BS130" s="528">
        <v>-3375.8499999999985</v>
      </c>
      <c r="BT130" s="528">
        <v>12036.91</v>
      </c>
      <c r="BU130" s="528">
        <v>0</v>
      </c>
      <c r="BV130" s="528">
        <v>0</v>
      </c>
      <c r="BW130" s="528">
        <v>0</v>
      </c>
      <c r="BX130" s="528">
        <v>0</v>
      </c>
      <c r="BY130" s="528">
        <v>0</v>
      </c>
      <c r="BZ130" s="528">
        <v>0</v>
      </c>
      <c r="CA130" s="528">
        <v>0</v>
      </c>
      <c r="CB130" s="528">
        <v>0</v>
      </c>
      <c r="CC130" s="528">
        <v>0</v>
      </c>
      <c r="CD130" s="528">
        <v>330678.10999999952</v>
      </c>
      <c r="CE130" s="528">
        <v>0</v>
      </c>
      <c r="CF130" s="528">
        <v>12036.91</v>
      </c>
      <c r="CG130" s="528">
        <v>0</v>
      </c>
      <c r="CH130" s="528">
        <v>0</v>
      </c>
      <c r="CI130" s="528">
        <f t="shared" si="1"/>
        <v>342715.01999999949</v>
      </c>
      <c r="CJ130" s="528">
        <v>455027.21</v>
      </c>
      <c r="CK130" s="528">
        <v>0</v>
      </c>
      <c r="CL130" s="528">
        <v>0</v>
      </c>
      <c r="CM130" s="528">
        <v>455027.21</v>
      </c>
      <c r="CN130" s="528">
        <v>0</v>
      </c>
      <c r="CO130" s="528">
        <v>0</v>
      </c>
      <c r="CP130" s="528">
        <v>11824.03</v>
      </c>
      <c r="CQ130" s="528">
        <v>0</v>
      </c>
      <c r="CR130" s="528">
        <v>-133522.28</v>
      </c>
      <c r="CS130" s="528">
        <v>333328.96000000008</v>
      </c>
      <c r="CT130" s="528">
        <v>0</v>
      </c>
      <c r="CU130" s="528">
        <v>0</v>
      </c>
      <c r="CV130" s="528">
        <v>0</v>
      </c>
      <c r="CW130" s="528">
        <v>0</v>
      </c>
      <c r="CX130" s="528"/>
      <c r="CY130" s="528"/>
      <c r="CZ130" s="528"/>
      <c r="DA130" s="528">
        <v>0</v>
      </c>
      <c r="DB130" s="528">
        <v>0</v>
      </c>
      <c r="DC130" s="528">
        <v>0</v>
      </c>
      <c r="DD130" s="528">
        <v>9386.0499999999993</v>
      </c>
      <c r="DE130" s="528">
        <v>0</v>
      </c>
      <c r="DF130" s="528">
        <v>0</v>
      </c>
      <c r="DG130" s="528">
        <v>0</v>
      </c>
      <c r="DH130" s="528">
        <v>0</v>
      </c>
      <c r="DI130" s="528">
        <v>0</v>
      </c>
      <c r="DJ130" s="528">
        <v>0</v>
      </c>
      <c r="DK130" s="528">
        <v>9386.0499999999993</v>
      </c>
      <c r="DL130" s="528">
        <v>0</v>
      </c>
      <c r="DM130" s="528">
        <v>0</v>
      </c>
      <c r="DN130" s="528">
        <v>0</v>
      </c>
      <c r="DO130" s="528">
        <v>0</v>
      </c>
      <c r="DP130" s="528">
        <v>0</v>
      </c>
      <c r="DQ130" s="529"/>
      <c r="DR130" s="530">
        <v>1568299.6800000009</v>
      </c>
      <c r="DS130" s="531">
        <v>505442.14000000013</v>
      </c>
      <c r="DT130" s="530">
        <v>174627.91</v>
      </c>
      <c r="DU130" s="530">
        <v>37647.539999999994</v>
      </c>
      <c r="DV130" s="530">
        <v>0</v>
      </c>
      <c r="DW130" s="530">
        <v>0</v>
      </c>
    </row>
    <row r="131" spans="1:127" s="103" customFormat="1">
      <c r="A131" s="525">
        <v>2160</v>
      </c>
      <c r="B131" s="526" t="s">
        <v>739</v>
      </c>
      <c r="C131" s="525">
        <v>2160</v>
      </c>
      <c r="D131" s="527" t="s">
        <v>1284</v>
      </c>
      <c r="E131" s="527" t="s">
        <v>538</v>
      </c>
      <c r="F131" s="527" t="s">
        <v>5</v>
      </c>
      <c r="G131" s="527" t="s">
        <v>535</v>
      </c>
      <c r="H131" s="528">
        <v>1999457.1</v>
      </c>
      <c r="I131" s="528">
        <v>0</v>
      </c>
      <c r="J131" s="528">
        <v>65404.89</v>
      </c>
      <c r="K131" s="528">
        <v>0</v>
      </c>
      <c r="L131" s="528">
        <v>289080</v>
      </c>
      <c r="M131" s="528">
        <v>8628.2199999999993</v>
      </c>
      <c r="N131" s="528">
        <v>0</v>
      </c>
      <c r="O131" s="528">
        <v>0</v>
      </c>
      <c r="P131" s="528">
        <v>117099.69</v>
      </c>
      <c r="Q131" s="528">
        <v>25595.16</v>
      </c>
      <c r="R131" s="528">
        <v>0</v>
      </c>
      <c r="S131" s="528">
        <v>0</v>
      </c>
      <c r="T131" s="528">
        <v>15348.929999999993</v>
      </c>
      <c r="U131" s="528">
        <v>2650</v>
      </c>
      <c r="V131" s="528">
        <v>0</v>
      </c>
      <c r="W131" s="528">
        <v>18049.8</v>
      </c>
      <c r="X131" s="528">
        <v>19452</v>
      </c>
      <c r="Y131" s="528">
        <v>2560765.7900000005</v>
      </c>
      <c r="Z131" s="528">
        <v>1226885</v>
      </c>
      <c r="AA131" s="528">
        <v>0</v>
      </c>
      <c r="AB131" s="528">
        <v>441601.99</v>
      </c>
      <c r="AC131" s="528">
        <v>43166.000000000466</v>
      </c>
      <c r="AD131" s="528">
        <v>135706</v>
      </c>
      <c r="AE131" s="528">
        <v>0</v>
      </c>
      <c r="AF131" s="528">
        <v>152549.99999999919</v>
      </c>
      <c r="AG131" s="528">
        <v>8011.0000000000182</v>
      </c>
      <c r="AH131" s="528">
        <v>11590</v>
      </c>
      <c r="AI131" s="528">
        <v>0</v>
      </c>
      <c r="AJ131" s="528">
        <v>0</v>
      </c>
      <c r="AK131" s="528">
        <v>44196.85</v>
      </c>
      <c r="AL131" s="528">
        <v>3867.49</v>
      </c>
      <c r="AM131" s="528">
        <v>45908</v>
      </c>
      <c r="AN131" s="528">
        <v>5411</v>
      </c>
      <c r="AO131" s="528">
        <v>36651.829999999994</v>
      </c>
      <c r="AP131" s="528">
        <v>26354.1</v>
      </c>
      <c r="AQ131" s="528">
        <v>5525</v>
      </c>
      <c r="AR131" s="528">
        <v>108765.63999999977</v>
      </c>
      <c r="AS131" s="528">
        <v>39844</v>
      </c>
      <c r="AT131" s="528">
        <v>48.08</v>
      </c>
      <c r="AU131" s="528">
        <v>117012.65</v>
      </c>
      <c r="AV131" s="528">
        <v>10771</v>
      </c>
      <c r="AW131" s="528">
        <v>9430</v>
      </c>
      <c r="AX131" s="528">
        <v>88696</v>
      </c>
      <c r="AY131" s="528">
        <v>96658.709999999992</v>
      </c>
      <c r="AZ131" s="528">
        <v>12422.68</v>
      </c>
      <c r="BA131" s="528">
        <v>78714</v>
      </c>
      <c r="BB131" s="528">
        <v>-3114.38</v>
      </c>
      <c r="BC131" s="528">
        <v>0</v>
      </c>
      <c r="BD131" s="528">
        <v>0</v>
      </c>
      <c r="BE131" s="528">
        <v>2746672.64</v>
      </c>
      <c r="BF131" s="528">
        <v>392473.2</v>
      </c>
      <c r="BG131" s="528">
        <v>-185906.84999999963</v>
      </c>
      <c r="BH131" s="528">
        <v>206566.35000000038</v>
      </c>
      <c r="BI131" s="528">
        <v>7870</v>
      </c>
      <c r="BJ131" s="528">
        <v>0</v>
      </c>
      <c r="BK131" s="528">
        <v>0</v>
      </c>
      <c r="BL131" s="528">
        <v>7870</v>
      </c>
      <c r="BM131" s="528">
        <v>0</v>
      </c>
      <c r="BN131" s="528">
        <v>3699.2</v>
      </c>
      <c r="BO131" s="528">
        <v>0</v>
      </c>
      <c r="BP131" s="528">
        <v>0</v>
      </c>
      <c r="BQ131" s="528">
        <v>3699.2</v>
      </c>
      <c r="BR131" s="528">
        <v>0</v>
      </c>
      <c r="BS131" s="528">
        <v>4170.8</v>
      </c>
      <c r="BT131" s="528">
        <v>4170.8</v>
      </c>
      <c r="BU131" s="528">
        <v>0</v>
      </c>
      <c r="BV131" s="528">
        <v>0</v>
      </c>
      <c r="BW131" s="528">
        <v>0</v>
      </c>
      <c r="BX131" s="528">
        <v>0</v>
      </c>
      <c r="BY131" s="528">
        <v>0</v>
      </c>
      <c r="BZ131" s="528">
        <v>0</v>
      </c>
      <c r="CA131" s="528">
        <v>0</v>
      </c>
      <c r="CB131" s="528">
        <v>0</v>
      </c>
      <c r="CC131" s="528">
        <v>0</v>
      </c>
      <c r="CD131" s="528">
        <v>206566.35000000038</v>
      </c>
      <c r="CE131" s="528">
        <v>0</v>
      </c>
      <c r="CF131" s="528">
        <v>4170.8</v>
      </c>
      <c r="CG131" s="528">
        <v>0</v>
      </c>
      <c r="CH131" s="528">
        <v>0</v>
      </c>
      <c r="CI131" s="528">
        <f t="shared" si="1"/>
        <v>210737.15000000037</v>
      </c>
      <c r="CJ131" s="528">
        <v>408349.24</v>
      </c>
      <c r="CK131" s="528">
        <v>231.2</v>
      </c>
      <c r="CL131" s="528">
        <v>0</v>
      </c>
      <c r="CM131" s="528">
        <v>408118.04</v>
      </c>
      <c r="CN131" s="528">
        <v>0</v>
      </c>
      <c r="CO131" s="528">
        <v>0</v>
      </c>
      <c r="CP131" s="528">
        <v>5363.81</v>
      </c>
      <c r="CQ131" s="528">
        <v>0</v>
      </c>
      <c r="CR131" s="528">
        <v>-162900</v>
      </c>
      <c r="CS131" s="528">
        <v>250581.84999999998</v>
      </c>
      <c r="CT131" s="528">
        <v>0</v>
      </c>
      <c r="CU131" s="528">
        <v>0</v>
      </c>
      <c r="CV131" s="528">
        <v>0</v>
      </c>
      <c r="CW131" s="528">
        <v>0</v>
      </c>
      <c r="CX131" s="528"/>
      <c r="CY131" s="528"/>
      <c r="CZ131" s="528"/>
      <c r="DA131" s="528">
        <v>0</v>
      </c>
      <c r="DB131" s="528">
        <v>0</v>
      </c>
      <c r="DC131" s="528">
        <v>0</v>
      </c>
      <c r="DD131" s="528">
        <v>11737.59</v>
      </c>
      <c r="DE131" s="528">
        <v>0</v>
      </c>
      <c r="DF131" s="528">
        <v>0</v>
      </c>
      <c r="DG131" s="528">
        <v>-51337.32</v>
      </c>
      <c r="DH131" s="528">
        <v>-245</v>
      </c>
      <c r="DI131" s="528">
        <v>0</v>
      </c>
      <c r="DJ131" s="528">
        <v>0</v>
      </c>
      <c r="DK131" s="528">
        <v>-39844.729999999996</v>
      </c>
      <c r="DL131" s="528">
        <v>0</v>
      </c>
      <c r="DM131" s="528">
        <v>0</v>
      </c>
      <c r="DN131" s="528">
        <v>0</v>
      </c>
      <c r="DO131" s="528">
        <v>0</v>
      </c>
      <c r="DP131" s="528">
        <v>0</v>
      </c>
      <c r="DQ131" s="529">
        <v>2.9999999998835847E-2</v>
      </c>
      <c r="DR131" s="530">
        <v>2007919.9899999998</v>
      </c>
      <c r="DS131" s="531">
        <v>738752.65000000037</v>
      </c>
      <c r="DT131" s="530">
        <v>96658.709999999992</v>
      </c>
      <c r="DU131" s="530">
        <v>158043.78</v>
      </c>
      <c r="DV131" s="530">
        <v>2650</v>
      </c>
      <c r="DW131" s="530">
        <v>0</v>
      </c>
    </row>
    <row r="132" spans="1:127" s="103" customFormat="1">
      <c r="A132" s="525">
        <v>2063</v>
      </c>
      <c r="B132" s="526" t="s">
        <v>741</v>
      </c>
      <c r="C132" s="525">
        <v>2063</v>
      </c>
      <c r="D132" s="527" t="s">
        <v>1284</v>
      </c>
      <c r="E132" s="527" t="s">
        <v>538</v>
      </c>
      <c r="F132" s="527" t="s">
        <v>5</v>
      </c>
      <c r="G132" s="527" t="s">
        <v>535</v>
      </c>
      <c r="H132" s="528">
        <v>2786446.09</v>
      </c>
      <c r="I132" s="528">
        <v>0</v>
      </c>
      <c r="J132" s="528">
        <v>97753.47</v>
      </c>
      <c r="K132" s="528">
        <v>0</v>
      </c>
      <c r="L132" s="528">
        <v>355200</v>
      </c>
      <c r="M132" s="528">
        <v>400</v>
      </c>
      <c r="N132" s="528">
        <v>0</v>
      </c>
      <c r="O132" s="528">
        <v>0</v>
      </c>
      <c r="P132" s="528">
        <v>98630.43</v>
      </c>
      <c r="Q132" s="528">
        <v>12184.92</v>
      </c>
      <c r="R132" s="528">
        <v>0</v>
      </c>
      <c r="S132" s="528">
        <v>4189.17</v>
      </c>
      <c r="T132" s="528">
        <v>8416.35</v>
      </c>
      <c r="U132" s="528">
        <v>13902.32</v>
      </c>
      <c r="V132" s="528">
        <v>0</v>
      </c>
      <c r="W132" s="528">
        <v>21368.13</v>
      </c>
      <c r="X132" s="528">
        <v>49435</v>
      </c>
      <c r="Y132" s="528">
        <v>3447925.88</v>
      </c>
      <c r="Z132" s="528">
        <v>1720954.31</v>
      </c>
      <c r="AA132" s="528">
        <v>0</v>
      </c>
      <c r="AB132" s="528">
        <v>395950.69</v>
      </c>
      <c r="AC132" s="528">
        <v>140094.14999999723</v>
      </c>
      <c r="AD132" s="528">
        <v>212776.8</v>
      </c>
      <c r="AE132" s="528">
        <v>107741.93</v>
      </c>
      <c r="AF132" s="528">
        <v>118557.04999999964</v>
      </c>
      <c r="AG132" s="528">
        <v>16857.12000000005</v>
      </c>
      <c r="AH132" s="528">
        <v>4802.33</v>
      </c>
      <c r="AI132" s="528">
        <v>0</v>
      </c>
      <c r="AJ132" s="528">
        <v>0</v>
      </c>
      <c r="AK132" s="528">
        <v>43290.17</v>
      </c>
      <c r="AL132" s="528">
        <v>0</v>
      </c>
      <c r="AM132" s="528">
        <v>4746.6400000000003</v>
      </c>
      <c r="AN132" s="528">
        <v>25262.27</v>
      </c>
      <c r="AO132" s="528">
        <v>61168.280000000006</v>
      </c>
      <c r="AP132" s="528">
        <v>56709.66</v>
      </c>
      <c r="AQ132" s="528">
        <v>9569.4</v>
      </c>
      <c r="AR132" s="528">
        <v>192268.52000000008</v>
      </c>
      <c r="AS132" s="528">
        <v>41223.42</v>
      </c>
      <c r="AT132" s="528">
        <v>0</v>
      </c>
      <c r="AU132" s="528">
        <v>21498.41</v>
      </c>
      <c r="AV132" s="528">
        <v>24501.010000000002</v>
      </c>
      <c r="AW132" s="528">
        <v>0</v>
      </c>
      <c r="AX132" s="528">
        <v>61409.24</v>
      </c>
      <c r="AY132" s="528">
        <v>14478.81</v>
      </c>
      <c r="AZ132" s="528">
        <v>105798.63</v>
      </c>
      <c r="BA132" s="528">
        <v>22953.299999999996</v>
      </c>
      <c r="BB132" s="528">
        <v>0</v>
      </c>
      <c r="BC132" s="528">
        <v>0</v>
      </c>
      <c r="BD132" s="528">
        <v>0</v>
      </c>
      <c r="BE132" s="528">
        <v>3402612.1399999969</v>
      </c>
      <c r="BF132" s="528">
        <v>103101.9899999995</v>
      </c>
      <c r="BG132" s="528">
        <v>45313.740000003017</v>
      </c>
      <c r="BH132" s="528">
        <v>148415.73000000251</v>
      </c>
      <c r="BI132" s="528">
        <v>9045.6299999999992</v>
      </c>
      <c r="BJ132" s="528">
        <v>0</v>
      </c>
      <c r="BK132" s="528">
        <v>0</v>
      </c>
      <c r="BL132" s="528">
        <v>9045.6299999999992</v>
      </c>
      <c r="BM132" s="528">
        <v>0</v>
      </c>
      <c r="BN132" s="528">
        <v>15521</v>
      </c>
      <c r="BO132" s="528">
        <v>0</v>
      </c>
      <c r="BP132" s="528">
        <v>0</v>
      </c>
      <c r="BQ132" s="528">
        <v>15521</v>
      </c>
      <c r="BR132" s="528">
        <v>60531.95</v>
      </c>
      <c r="BS132" s="528">
        <v>-6475.3700000000008</v>
      </c>
      <c r="BT132" s="528">
        <v>54056.579999999994</v>
      </c>
      <c r="BU132" s="528">
        <v>0</v>
      </c>
      <c r="BV132" s="528">
        <v>0</v>
      </c>
      <c r="BW132" s="528">
        <v>0</v>
      </c>
      <c r="BX132" s="528">
        <v>0</v>
      </c>
      <c r="BY132" s="528">
        <v>0</v>
      </c>
      <c r="BZ132" s="528">
        <v>0</v>
      </c>
      <c r="CA132" s="528">
        <v>0</v>
      </c>
      <c r="CB132" s="528">
        <v>0</v>
      </c>
      <c r="CC132" s="528">
        <v>0</v>
      </c>
      <c r="CD132" s="528">
        <v>148415.73000000251</v>
      </c>
      <c r="CE132" s="528">
        <v>0</v>
      </c>
      <c r="CF132" s="528">
        <v>54056.579999999994</v>
      </c>
      <c r="CG132" s="528">
        <v>0</v>
      </c>
      <c r="CH132" s="528">
        <v>0</v>
      </c>
      <c r="CI132" s="528">
        <f t="shared" si="1"/>
        <v>202472.3100000025</v>
      </c>
      <c r="CJ132" s="528">
        <v>414892.5</v>
      </c>
      <c r="CK132" s="528">
        <v>0</v>
      </c>
      <c r="CL132" s="528">
        <v>0</v>
      </c>
      <c r="CM132" s="528">
        <v>414892.5</v>
      </c>
      <c r="CN132" s="528">
        <v>0</v>
      </c>
      <c r="CO132" s="528">
        <v>0</v>
      </c>
      <c r="CP132" s="528">
        <v>11425.3</v>
      </c>
      <c r="CQ132" s="528">
        <v>0</v>
      </c>
      <c r="CR132" s="528">
        <v>-227783.04499999984</v>
      </c>
      <c r="CS132" s="528">
        <v>198534.75500000015</v>
      </c>
      <c r="CT132" s="528">
        <v>0</v>
      </c>
      <c r="CU132" s="528">
        <v>0</v>
      </c>
      <c r="CV132" s="528">
        <v>0</v>
      </c>
      <c r="CW132" s="528">
        <v>0</v>
      </c>
      <c r="CX132" s="528"/>
      <c r="CY132" s="528"/>
      <c r="CZ132" s="528"/>
      <c r="DA132" s="528">
        <v>0</v>
      </c>
      <c r="DB132" s="528">
        <v>0</v>
      </c>
      <c r="DC132" s="528">
        <v>0</v>
      </c>
      <c r="DD132" s="528">
        <v>3937.55</v>
      </c>
      <c r="DE132" s="528">
        <v>0</v>
      </c>
      <c r="DF132" s="528">
        <v>0</v>
      </c>
      <c r="DG132" s="528">
        <v>0</v>
      </c>
      <c r="DH132" s="528">
        <v>0</v>
      </c>
      <c r="DI132" s="528">
        <v>0</v>
      </c>
      <c r="DJ132" s="528">
        <v>0</v>
      </c>
      <c r="DK132" s="528">
        <v>3937.55</v>
      </c>
      <c r="DL132" s="528">
        <v>0</v>
      </c>
      <c r="DM132" s="528">
        <v>0</v>
      </c>
      <c r="DN132" s="528">
        <v>0</v>
      </c>
      <c r="DO132" s="528">
        <v>0</v>
      </c>
      <c r="DP132" s="528">
        <v>0</v>
      </c>
      <c r="DQ132" s="529">
        <v>4.9999998591374606E-3</v>
      </c>
      <c r="DR132" s="530">
        <v>2712932.049999997</v>
      </c>
      <c r="DS132" s="531">
        <v>689680.08999999985</v>
      </c>
      <c r="DT132" s="530">
        <v>14478.81</v>
      </c>
      <c r="DU132" s="530">
        <v>119231.7</v>
      </c>
      <c r="DV132" s="530">
        <v>18091.489999999998</v>
      </c>
      <c r="DW132" s="530">
        <v>0</v>
      </c>
    </row>
    <row r="133" spans="1:127" s="103" customFormat="1">
      <c r="A133" s="525">
        <v>1018</v>
      </c>
      <c r="B133" s="526" t="s">
        <v>743</v>
      </c>
      <c r="C133" s="525">
        <v>1018</v>
      </c>
      <c r="D133" s="527" t="s">
        <v>1284</v>
      </c>
      <c r="E133" s="527" t="s">
        <v>534</v>
      </c>
      <c r="F133" s="527" t="s">
        <v>5</v>
      </c>
      <c r="G133" s="527" t="s">
        <v>535</v>
      </c>
      <c r="H133" s="528">
        <v>1034145.99</v>
      </c>
      <c r="I133" s="528">
        <v>0</v>
      </c>
      <c r="J133" s="528">
        <v>40298.93</v>
      </c>
      <c r="K133" s="528">
        <v>0</v>
      </c>
      <c r="L133" s="528">
        <v>0</v>
      </c>
      <c r="M133" s="528">
        <v>0</v>
      </c>
      <c r="N133" s="528">
        <v>0</v>
      </c>
      <c r="O133" s="528">
        <v>0</v>
      </c>
      <c r="P133" s="528">
        <v>29483.1</v>
      </c>
      <c r="Q133" s="528">
        <v>0</v>
      </c>
      <c r="R133" s="528">
        <v>0</v>
      </c>
      <c r="S133" s="528">
        <v>0</v>
      </c>
      <c r="T133" s="528">
        <v>0</v>
      </c>
      <c r="U133" s="528">
        <v>60000</v>
      </c>
      <c r="V133" s="528">
        <v>0</v>
      </c>
      <c r="W133" s="528">
        <v>0</v>
      </c>
      <c r="X133" s="528">
        <v>0</v>
      </c>
      <c r="Y133" s="528">
        <v>1163928.02</v>
      </c>
      <c r="Z133" s="528">
        <v>154319.78000000006</v>
      </c>
      <c r="AA133" s="528">
        <v>294235.77999999997</v>
      </c>
      <c r="AB133" s="528">
        <v>0</v>
      </c>
      <c r="AC133" s="528">
        <v>26690.809999999867</v>
      </c>
      <c r="AD133" s="528">
        <v>35753.79</v>
      </c>
      <c r="AE133" s="528">
        <v>0</v>
      </c>
      <c r="AF133" s="528">
        <v>59347.590000000317</v>
      </c>
      <c r="AG133" s="528">
        <v>2249.1099999999806</v>
      </c>
      <c r="AH133" s="528">
        <v>2522.33</v>
      </c>
      <c r="AI133" s="528">
        <v>0</v>
      </c>
      <c r="AJ133" s="528">
        <v>0</v>
      </c>
      <c r="AK133" s="528">
        <v>3056.2599999999993</v>
      </c>
      <c r="AL133" s="528">
        <v>111</v>
      </c>
      <c r="AM133" s="528">
        <v>26260.720000000005</v>
      </c>
      <c r="AN133" s="528">
        <v>0</v>
      </c>
      <c r="AO133" s="528">
        <v>28834.730000000007</v>
      </c>
      <c r="AP133" s="528">
        <v>0</v>
      </c>
      <c r="AQ133" s="528">
        <v>7522.0399999999991</v>
      </c>
      <c r="AR133" s="528">
        <v>15092.889999999998</v>
      </c>
      <c r="AS133" s="528">
        <v>0</v>
      </c>
      <c r="AT133" s="528">
        <v>0</v>
      </c>
      <c r="AU133" s="528">
        <v>20945.230000000018</v>
      </c>
      <c r="AV133" s="528">
        <v>3291.75</v>
      </c>
      <c r="AW133" s="528">
        <v>0</v>
      </c>
      <c r="AX133" s="528">
        <v>13663.439999999999</v>
      </c>
      <c r="AY133" s="528">
        <v>38552.130000000012</v>
      </c>
      <c r="AZ133" s="528">
        <v>24.04</v>
      </c>
      <c r="BA133" s="528">
        <v>171684.02999999994</v>
      </c>
      <c r="BB133" s="528">
        <v>0</v>
      </c>
      <c r="BC133" s="528">
        <v>0</v>
      </c>
      <c r="BD133" s="528">
        <v>0</v>
      </c>
      <c r="BE133" s="528">
        <v>904157.45000000007</v>
      </c>
      <c r="BF133" s="528">
        <v>33813.389999999934</v>
      </c>
      <c r="BG133" s="528">
        <v>259770.56999999995</v>
      </c>
      <c r="BH133" s="528">
        <v>293583.9599999999</v>
      </c>
      <c r="BI133" s="528">
        <v>5127.25</v>
      </c>
      <c r="BJ133" s="528">
        <v>0</v>
      </c>
      <c r="BK133" s="528">
        <v>0</v>
      </c>
      <c r="BL133" s="528">
        <v>5127.25</v>
      </c>
      <c r="BM133" s="528">
        <v>0</v>
      </c>
      <c r="BN133" s="528">
        <v>0</v>
      </c>
      <c r="BO133" s="528">
        <v>0</v>
      </c>
      <c r="BP133" s="528">
        <v>0</v>
      </c>
      <c r="BQ133" s="528">
        <v>0</v>
      </c>
      <c r="BR133" s="528">
        <v>27780.32</v>
      </c>
      <c r="BS133" s="528">
        <v>5127.25</v>
      </c>
      <c r="BT133" s="528">
        <v>32907.57</v>
      </c>
      <c r="BU133" s="528">
        <v>0</v>
      </c>
      <c r="BV133" s="528">
        <v>0</v>
      </c>
      <c r="BW133" s="528">
        <v>0</v>
      </c>
      <c r="BX133" s="528">
        <v>0</v>
      </c>
      <c r="BY133" s="528">
        <v>0</v>
      </c>
      <c r="BZ133" s="528">
        <v>0</v>
      </c>
      <c r="CA133" s="528">
        <v>0</v>
      </c>
      <c r="CB133" s="528">
        <v>0</v>
      </c>
      <c r="CC133" s="528">
        <v>0</v>
      </c>
      <c r="CD133" s="528">
        <v>293583.9599999999</v>
      </c>
      <c r="CE133" s="528">
        <v>0</v>
      </c>
      <c r="CF133" s="528">
        <v>32907.57</v>
      </c>
      <c r="CG133" s="528">
        <v>0</v>
      </c>
      <c r="CH133" s="528">
        <v>0</v>
      </c>
      <c r="CI133" s="528">
        <f t="shared" si="1"/>
        <v>326491.52999999991</v>
      </c>
      <c r="CJ133" s="528">
        <v>32571.1</v>
      </c>
      <c r="CK133" s="528">
        <v>0</v>
      </c>
      <c r="CL133" s="528">
        <v>0</v>
      </c>
      <c r="CM133" s="528">
        <v>32571.1</v>
      </c>
      <c r="CN133" s="528">
        <v>0</v>
      </c>
      <c r="CO133" s="528">
        <v>0</v>
      </c>
      <c r="CP133" s="528">
        <v>0</v>
      </c>
      <c r="CQ133" s="528">
        <v>0</v>
      </c>
      <c r="CR133" s="528">
        <v>293135.96999999997</v>
      </c>
      <c r="CS133" s="528">
        <v>325707.06999999995</v>
      </c>
      <c r="CT133" s="528">
        <v>0</v>
      </c>
      <c r="CU133" s="528">
        <v>0</v>
      </c>
      <c r="CV133" s="528">
        <v>0</v>
      </c>
      <c r="CW133" s="528">
        <v>0</v>
      </c>
      <c r="CX133" s="528"/>
      <c r="CY133" s="528"/>
      <c r="CZ133" s="528"/>
      <c r="DA133" s="528">
        <v>0</v>
      </c>
      <c r="DB133" s="528">
        <v>0</v>
      </c>
      <c r="DC133" s="528">
        <v>0</v>
      </c>
      <c r="DD133" s="528">
        <v>784.47</v>
      </c>
      <c r="DE133" s="528">
        <v>0</v>
      </c>
      <c r="DF133" s="528">
        <v>0</v>
      </c>
      <c r="DG133" s="528">
        <v>0</v>
      </c>
      <c r="DH133" s="528">
        <v>0</v>
      </c>
      <c r="DI133" s="528">
        <v>0</v>
      </c>
      <c r="DJ133" s="528">
        <v>0</v>
      </c>
      <c r="DK133" s="528">
        <v>784.47</v>
      </c>
      <c r="DL133" s="528">
        <v>0</v>
      </c>
      <c r="DM133" s="528">
        <v>0</v>
      </c>
      <c r="DN133" s="528">
        <v>0</v>
      </c>
      <c r="DO133" s="528">
        <v>0</v>
      </c>
      <c r="DP133" s="528">
        <v>0</v>
      </c>
      <c r="DQ133" s="529">
        <v>-9.9999998928979039E-3</v>
      </c>
      <c r="DR133" s="530">
        <v>572596.86000000022</v>
      </c>
      <c r="DS133" s="531">
        <v>331560.58999999985</v>
      </c>
      <c r="DT133" s="530">
        <v>38552.130000000012</v>
      </c>
      <c r="DU133" s="530">
        <v>29483.1</v>
      </c>
      <c r="DV133" s="530">
        <v>60000</v>
      </c>
      <c r="DW133" s="530">
        <v>0</v>
      </c>
    </row>
    <row r="134" spans="1:127" s="103" customFormat="1">
      <c r="A134" s="525">
        <v>1000</v>
      </c>
      <c r="B134" s="526" t="s">
        <v>917</v>
      </c>
      <c r="C134" s="525">
        <v>1000</v>
      </c>
      <c r="D134" s="527" t="s">
        <v>1284</v>
      </c>
      <c r="E134" s="527" t="s">
        <v>534</v>
      </c>
      <c r="F134" s="527" t="s">
        <v>5</v>
      </c>
      <c r="G134" s="527" t="s">
        <v>958</v>
      </c>
      <c r="H134" s="528">
        <v>536701.67000000004</v>
      </c>
      <c r="I134" s="528">
        <v>0</v>
      </c>
      <c r="J134" s="528">
        <v>16440.759999999998</v>
      </c>
      <c r="K134" s="528">
        <v>0</v>
      </c>
      <c r="L134" s="528">
        <v>0</v>
      </c>
      <c r="M134" s="528">
        <v>0</v>
      </c>
      <c r="N134" s="528">
        <v>0</v>
      </c>
      <c r="O134" s="528">
        <v>0</v>
      </c>
      <c r="P134" s="528">
        <v>31189.240000000005</v>
      </c>
      <c r="Q134" s="528">
        <v>0</v>
      </c>
      <c r="R134" s="528">
        <v>0</v>
      </c>
      <c r="S134" s="528">
        <v>0</v>
      </c>
      <c r="T134" s="528">
        <v>73432.459999999992</v>
      </c>
      <c r="U134" s="528">
        <v>109794.18</v>
      </c>
      <c r="V134" s="528">
        <v>0</v>
      </c>
      <c r="W134" s="528">
        <v>0</v>
      </c>
      <c r="X134" s="528">
        <v>0</v>
      </c>
      <c r="Y134" s="528">
        <v>767558.31</v>
      </c>
      <c r="Z134" s="528">
        <v>193268.38000000015</v>
      </c>
      <c r="AA134" s="528">
        <v>0</v>
      </c>
      <c r="AB134" s="528">
        <v>169149.8</v>
      </c>
      <c r="AC134" s="528">
        <v>277.0999999998312</v>
      </c>
      <c r="AD134" s="528">
        <v>102422.28</v>
      </c>
      <c r="AE134" s="528">
        <v>0</v>
      </c>
      <c r="AF134" s="528">
        <v>7121.3999999999069</v>
      </c>
      <c r="AG134" s="528">
        <v>1445.3899999999931</v>
      </c>
      <c r="AH134" s="528">
        <v>3857</v>
      </c>
      <c r="AI134" s="528">
        <v>0</v>
      </c>
      <c r="AJ134" s="528">
        <v>0</v>
      </c>
      <c r="AK134" s="528">
        <v>39179.399999999994</v>
      </c>
      <c r="AL134" s="528">
        <v>0</v>
      </c>
      <c r="AM134" s="528">
        <v>2478.1799999999994</v>
      </c>
      <c r="AN134" s="528">
        <v>1932.8899999999999</v>
      </c>
      <c r="AO134" s="528">
        <v>8135.93</v>
      </c>
      <c r="AP134" s="528">
        <v>0</v>
      </c>
      <c r="AQ134" s="528">
        <v>2161.35</v>
      </c>
      <c r="AR134" s="528">
        <v>4581.7499999999982</v>
      </c>
      <c r="AS134" s="528">
        <v>375</v>
      </c>
      <c r="AT134" s="528">
        <v>0</v>
      </c>
      <c r="AU134" s="528">
        <v>10579.250000000004</v>
      </c>
      <c r="AV134" s="528">
        <v>3291.75</v>
      </c>
      <c r="AW134" s="528">
        <v>0</v>
      </c>
      <c r="AX134" s="528">
        <v>2670</v>
      </c>
      <c r="AY134" s="528">
        <v>7345.4999999999991</v>
      </c>
      <c r="AZ134" s="528">
        <v>0</v>
      </c>
      <c r="BA134" s="528">
        <v>62026.670000000013</v>
      </c>
      <c r="BB134" s="528">
        <v>0</v>
      </c>
      <c r="BC134" s="528">
        <v>0</v>
      </c>
      <c r="BD134" s="528">
        <v>0</v>
      </c>
      <c r="BE134" s="528">
        <v>622299.02</v>
      </c>
      <c r="BF134" s="528">
        <v>-98052.180000000226</v>
      </c>
      <c r="BG134" s="528">
        <v>145259.29000000004</v>
      </c>
      <c r="BH134" s="528">
        <v>47207.109999999811</v>
      </c>
      <c r="BI134" s="528">
        <v>4650.3599999999997</v>
      </c>
      <c r="BJ134" s="528">
        <v>0</v>
      </c>
      <c r="BK134" s="528">
        <v>0</v>
      </c>
      <c r="BL134" s="528">
        <v>4650.3599999999997</v>
      </c>
      <c r="BM134" s="528">
        <v>0</v>
      </c>
      <c r="BN134" s="528">
        <v>0</v>
      </c>
      <c r="BO134" s="528">
        <v>31282</v>
      </c>
      <c r="BP134" s="528">
        <v>0</v>
      </c>
      <c r="BQ134" s="528">
        <v>31282</v>
      </c>
      <c r="BR134" s="528">
        <v>36772.39</v>
      </c>
      <c r="BS134" s="528">
        <v>-26631.64</v>
      </c>
      <c r="BT134" s="528">
        <v>10140.75</v>
      </c>
      <c r="BU134" s="528">
        <v>0</v>
      </c>
      <c r="BV134" s="528">
        <v>0</v>
      </c>
      <c r="BW134" s="528">
        <v>0</v>
      </c>
      <c r="BX134" s="528">
        <v>0</v>
      </c>
      <c r="BY134" s="528">
        <v>0</v>
      </c>
      <c r="BZ134" s="528">
        <v>0</v>
      </c>
      <c r="CA134" s="528">
        <v>0</v>
      </c>
      <c r="CB134" s="528">
        <v>0</v>
      </c>
      <c r="CC134" s="528">
        <v>0</v>
      </c>
      <c r="CD134" s="528">
        <v>47207.11</v>
      </c>
      <c r="CE134" s="528">
        <v>0</v>
      </c>
      <c r="CF134" s="528">
        <v>10140.75</v>
      </c>
      <c r="CG134" s="528">
        <v>0</v>
      </c>
      <c r="CH134" s="528">
        <v>0</v>
      </c>
      <c r="CI134" s="528">
        <f t="shared" si="1"/>
        <v>57347.86</v>
      </c>
      <c r="CJ134" s="528">
        <v>0</v>
      </c>
      <c r="CK134" s="528">
        <v>0</v>
      </c>
      <c r="CL134" s="528">
        <v>0</v>
      </c>
      <c r="CM134" s="528">
        <v>0</v>
      </c>
      <c r="CN134" s="528">
        <v>0</v>
      </c>
      <c r="CO134" s="528">
        <v>0</v>
      </c>
      <c r="CP134" s="528">
        <v>0</v>
      </c>
      <c r="CQ134" s="528">
        <v>0</v>
      </c>
      <c r="CR134" s="528">
        <v>0</v>
      </c>
      <c r="CS134" s="528">
        <v>0</v>
      </c>
      <c r="CT134" s="528">
        <v>0</v>
      </c>
      <c r="CU134" s="528">
        <v>0</v>
      </c>
      <c r="CV134" s="528">
        <v>0</v>
      </c>
      <c r="CW134" s="528">
        <v>0</v>
      </c>
      <c r="CX134" s="528"/>
      <c r="CY134" s="528"/>
      <c r="CZ134" s="528"/>
      <c r="DA134" s="528">
        <v>-38045.140000000189</v>
      </c>
      <c r="DB134" s="528">
        <v>-38045.140000000189</v>
      </c>
      <c r="DC134" s="528">
        <v>95372.25</v>
      </c>
      <c r="DD134" s="528">
        <v>20.75</v>
      </c>
      <c r="DE134" s="528">
        <v>0</v>
      </c>
      <c r="DF134" s="528">
        <v>0</v>
      </c>
      <c r="DG134" s="528">
        <v>0</v>
      </c>
      <c r="DH134" s="528">
        <v>0</v>
      </c>
      <c r="DI134" s="528">
        <v>0</v>
      </c>
      <c r="DJ134" s="528">
        <v>0</v>
      </c>
      <c r="DK134" s="528">
        <v>95393</v>
      </c>
      <c r="DL134" s="528">
        <v>0</v>
      </c>
      <c r="DM134" s="528">
        <v>0</v>
      </c>
      <c r="DN134" s="528">
        <v>0</v>
      </c>
      <c r="DO134" s="528">
        <v>0</v>
      </c>
      <c r="DP134" s="528">
        <v>0</v>
      </c>
      <c r="DQ134" s="529">
        <v>1.8917489796876907E-10</v>
      </c>
      <c r="DR134" s="530">
        <v>473684.35</v>
      </c>
      <c r="DS134" s="531">
        <v>148614.67000000004</v>
      </c>
      <c r="DT134" s="530">
        <v>7345.4999999999991</v>
      </c>
      <c r="DU134" s="530">
        <v>104621.7</v>
      </c>
      <c r="DV134" s="530">
        <v>109794.18</v>
      </c>
      <c r="DW134" s="530">
        <v>0</v>
      </c>
    </row>
    <row r="135" spans="1:127" s="103" customFormat="1">
      <c r="A135" s="525">
        <v>7033</v>
      </c>
      <c r="B135" s="526" t="s">
        <v>745</v>
      </c>
      <c r="C135" s="525">
        <v>7033</v>
      </c>
      <c r="D135" s="527" t="s">
        <v>1284</v>
      </c>
      <c r="E135" s="527" t="s">
        <v>553</v>
      </c>
      <c r="F135" s="527" t="s">
        <v>5</v>
      </c>
      <c r="G135" s="527" t="s">
        <v>535</v>
      </c>
      <c r="H135" s="528">
        <v>4665140</v>
      </c>
      <c r="I135" s="528">
        <v>0</v>
      </c>
      <c r="J135" s="528">
        <v>3178114</v>
      </c>
      <c r="K135" s="528">
        <v>0</v>
      </c>
      <c r="L135" s="528">
        <v>190990</v>
      </c>
      <c r="M135" s="528">
        <v>5114</v>
      </c>
      <c r="N135" s="528">
        <v>0</v>
      </c>
      <c r="O135" s="528">
        <v>0</v>
      </c>
      <c r="P135" s="528">
        <v>0</v>
      </c>
      <c r="Q135" s="528">
        <v>0</v>
      </c>
      <c r="R135" s="528">
        <v>0</v>
      </c>
      <c r="S135" s="528">
        <v>0</v>
      </c>
      <c r="T135" s="528">
        <v>0</v>
      </c>
      <c r="U135" s="528">
        <v>0</v>
      </c>
      <c r="V135" s="528">
        <v>0</v>
      </c>
      <c r="W135" s="528">
        <v>35152</v>
      </c>
      <c r="X135" s="528">
        <v>0</v>
      </c>
      <c r="Y135" s="528">
        <v>8074510</v>
      </c>
      <c r="Z135" s="528">
        <v>6277525</v>
      </c>
      <c r="AA135" s="528">
        <v>20891</v>
      </c>
      <c r="AB135" s="528">
        <v>221569</v>
      </c>
      <c r="AC135" s="528">
        <v>63923</v>
      </c>
      <c r="AD135" s="528">
        <v>208003</v>
      </c>
      <c r="AE135" s="528">
        <v>58629</v>
      </c>
      <c r="AF135" s="528">
        <v>3929</v>
      </c>
      <c r="AG135" s="528">
        <v>6553</v>
      </c>
      <c r="AH135" s="528">
        <v>0</v>
      </c>
      <c r="AI135" s="528">
        <v>0</v>
      </c>
      <c r="AJ135" s="528">
        <v>0</v>
      </c>
      <c r="AK135" s="528">
        <v>180632</v>
      </c>
      <c r="AL135" s="528">
        <v>1048</v>
      </c>
      <c r="AM135" s="528">
        <v>94655</v>
      </c>
      <c r="AN135" s="528">
        <v>136</v>
      </c>
      <c r="AO135" s="528">
        <v>142843</v>
      </c>
      <c r="AP135" s="528">
        <v>0</v>
      </c>
      <c r="AQ135" s="528">
        <v>7997</v>
      </c>
      <c r="AR135" s="528">
        <v>147647</v>
      </c>
      <c r="AS135" s="528">
        <v>14196</v>
      </c>
      <c r="AT135" s="528">
        <v>28827</v>
      </c>
      <c r="AU135" s="528">
        <v>149230</v>
      </c>
      <c r="AV135" s="528">
        <v>14611</v>
      </c>
      <c r="AW135" s="528">
        <v>0</v>
      </c>
      <c r="AX135" s="528">
        <v>100304</v>
      </c>
      <c r="AY135" s="528">
        <v>365881</v>
      </c>
      <c r="AZ135" s="528">
        <v>0</v>
      </c>
      <c r="BA135" s="528">
        <v>239479</v>
      </c>
      <c r="BB135" s="528">
        <v>0</v>
      </c>
      <c r="BC135" s="528">
        <v>0</v>
      </c>
      <c r="BD135" s="528">
        <v>0</v>
      </c>
      <c r="BE135" s="528">
        <v>8348507</v>
      </c>
      <c r="BF135" s="528">
        <v>429976</v>
      </c>
      <c r="BG135" s="528">
        <v>-273997</v>
      </c>
      <c r="BH135" s="528">
        <v>155979</v>
      </c>
      <c r="BI135" s="528">
        <v>23592</v>
      </c>
      <c r="BJ135" s="528">
        <v>0</v>
      </c>
      <c r="BK135" s="528">
        <v>0</v>
      </c>
      <c r="BL135" s="528">
        <v>23592</v>
      </c>
      <c r="BM135" s="528">
        <v>0</v>
      </c>
      <c r="BN135" s="528">
        <v>0</v>
      </c>
      <c r="BO135" s="528">
        <v>0</v>
      </c>
      <c r="BP135" s="528">
        <v>0</v>
      </c>
      <c r="BQ135" s="528">
        <v>0</v>
      </c>
      <c r="BR135" s="528">
        <v>76859</v>
      </c>
      <c r="BS135" s="528">
        <v>23592</v>
      </c>
      <c r="BT135" s="528">
        <v>100451</v>
      </c>
      <c r="BU135" s="528">
        <v>0</v>
      </c>
      <c r="BV135" s="528">
        <v>0</v>
      </c>
      <c r="BW135" s="528">
        <v>0</v>
      </c>
      <c r="BX135" s="528">
        <v>0</v>
      </c>
      <c r="BY135" s="528">
        <v>0</v>
      </c>
      <c r="BZ135" s="528">
        <v>0</v>
      </c>
      <c r="CA135" s="528">
        <v>0</v>
      </c>
      <c r="CB135" s="528">
        <v>0</v>
      </c>
      <c r="CC135" s="528">
        <v>0</v>
      </c>
      <c r="CD135" s="528">
        <v>155979</v>
      </c>
      <c r="CE135" s="528">
        <v>0</v>
      </c>
      <c r="CF135" s="528">
        <v>100451</v>
      </c>
      <c r="CG135" s="528">
        <v>0</v>
      </c>
      <c r="CH135" s="528">
        <v>0</v>
      </c>
      <c r="CI135" s="528">
        <f t="shared" si="1"/>
        <v>256430</v>
      </c>
      <c r="CJ135" s="528">
        <v>227151</v>
      </c>
      <c r="CK135" s="528">
        <v>0</v>
      </c>
      <c r="CL135" s="528">
        <v>0</v>
      </c>
      <c r="CM135" s="528">
        <v>227151</v>
      </c>
      <c r="CN135" s="528">
        <v>0</v>
      </c>
      <c r="CO135" s="528">
        <v>0</v>
      </c>
      <c r="CP135" s="528">
        <v>0</v>
      </c>
      <c r="CQ135" s="528">
        <v>29548</v>
      </c>
      <c r="CR135" s="528">
        <v>0</v>
      </c>
      <c r="CS135" s="528">
        <v>256699</v>
      </c>
      <c r="CT135" s="528">
        <v>0</v>
      </c>
      <c r="CU135" s="528">
        <v>0</v>
      </c>
      <c r="CV135" s="528">
        <v>0</v>
      </c>
      <c r="CW135" s="528">
        <v>0</v>
      </c>
      <c r="CX135" s="528"/>
      <c r="CY135" s="528"/>
      <c r="CZ135" s="528"/>
      <c r="DA135" s="528">
        <v>0</v>
      </c>
      <c r="DB135" s="528">
        <v>0</v>
      </c>
      <c r="DC135" s="528">
        <v>0</v>
      </c>
      <c r="DD135" s="528">
        <v>0</v>
      </c>
      <c r="DE135" s="528">
        <v>0</v>
      </c>
      <c r="DF135" s="528">
        <v>0</v>
      </c>
      <c r="DG135" s="528">
        <v>0</v>
      </c>
      <c r="DH135" s="528">
        <v>-270</v>
      </c>
      <c r="DI135" s="528">
        <v>0</v>
      </c>
      <c r="DJ135" s="528">
        <v>0</v>
      </c>
      <c r="DK135" s="528">
        <v>-270</v>
      </c>
      <c r="DL135" s="528">
        <v>0</v>
      </c>
      <c r="DM135" s="528">
        <v>0</v>
      </c>
      <c r="DN135" s="528">
        <v>0</v>
      </c>
      <c r="DO135" s="528">
        <v>0</v>
      </c>
      <c r="DP135" s="528">
        <v>0</v>
      </c>
      <c r="DQ135" s="529">
        <v>0</v>
      </c>
      <c r="DR135" s="530">
        <v>6861022</v>
      </c>
      <c r="DS135" s="531">
        <v>1487485</v>
      </c>
      <c r="DT135" s="530">
        <v>365881</v>
      </c>
      <c r="DU135" s="530">
        <v>0</v>
      </c>
      <c r="DV135" s="530">
        <v>0</v>
      </c>
      <c r="DW135" s="530">
        <v>0</v>
      </c>
    </row>
    <row r="136" spans="1:127" s="103" customFormat="1">
      <c r="A136" s="525">
        <v>4177</v>
      </c>
      <c r="B136" s="526" t="s">
        <v>747</v>
      </c>
      <c r="C136" s="525">
        <v>4177</v>
      </c>
      <c r="D136" s="527" t="s">
        <v>1284</v>
      </c>
      <c r="E136" s="527" t="s">
        <v>564</v>
      </c>
      <c r="F136" s="527" t="s">
        <v>5</v>
      </c>
      <c r="G136" s="527" t="s">
        <v>535</v>
      </c>
      <c r="H136" s="528">
        <v>6583713</v>
      </c>
      <c r="I136" s="528">
        <v>0</v>
      </c>
      <c r="J136" s="528">
        <v>36642</v>
      </c>
      <c r="K136" s="528">
        <v>0</v>
      </c>
      <c r="L136" s="528">
        <v>446250</v>
      </c>
      <c r="M136" s="528">
        <v>0</v>
      </c>
      <c r="N136" s="528">
        <v>49881</v>
      </c>
      <c r="O136" s="528">
        <v>0</v>
      </c>
      <c r="P136" s="528">
        <v>120512</v>
      </c>
      <c r="Q136" s="528">
        <v>0</v>
      </c>
      <c r="R136" s="528">
        <v>0</v>
      </c>
      <c r="S136" s="528">
        <v>0</v>
      </c>
      <c r="T136" s="528">
        <v>42086</v>
      </c>
      <c r="U136" s="528">
        <v>0</v>
      </c>
      <c r="V136" s="528">
        <v>0</v>
      </c>
      <c r="W136" s="528">
        <v>26229</v>
      </c>
      <c r="X136" s="528">
        <v>0</v>
      </c>
      <c r="Y136" s="528">
        <v>7305313</v>
      </c>
      <c r="Z136" s="528">
        <v>4341985</v>
      </c>
      <c r="AA136" s="528">
        <v>0</v>
      </c>
      <c r="AB136" s="528">
        <v>390237</v>
      </c>
      <c r="AC136" s="528">
        <v>101399</v>
      </c>
      <c r="AD136" s="528">
        <v>626898</v>
      </c>
      <c r="AE136" s="528">
        <v>0</v>
      </c>
      <c r="AF136" s="528">
        <v>18521</v>
      </c>
      <c r="AG136" s="528">
        <v>53955</v>
      </c>
      <c r="AH136" s="528">
        <v>44547</v>
      </c>
      <c r="AI136" s="528">
        <v>0</v>
      </c>
      <c r="AJ136" s="528">
        <v>0</v>
      </c>
      <c r="AK136" s="528">
        <v>141311</v>
      </c>
      <c r="AL136" s="528">
        <v>320</v>
      </c>
      <c r="AM136" s="528">
        <v>136154</v>
      </c>
      <c r="AN136" s="528">
        <v>30555</v>
      </c>
      <c r="AO136" s="528">
        <v>185434</v>
      </c>
      <c r="AP136" s="528">
        <v>111495</v>
      </c>
      <c r="AQ136" s="528">
        <v>16092</v>
      </c>
      <c r="AR136" s="528">
        <v>134396</v>
      </c>
      <c r="AS136" s="528">
        <v>169482</v>
      </c>
      <c r="AT136" s="528">
        <v>41686</v>
      </c>
      <c r="AU136" s="528">
        <v>99778</v>
      </c>
      <c r="AV136" s="528">
        <v>24313</v>
      </c>
      <c r="AW136" s="528">
        <v>22158</v>
      </c>
      <c r="AX136" s="528">
        <v>175399</v>
      </c>
      <c r="AY136" s="528">
        <v>96301</v>
      </c>
      <c r="AZ136" s="528">
        <v>85816</v>
      </c>
      <c r="BA136" s="528">
        <v>362516</v>
      </c>
      <c r="BB136" s="528">
        <v>0</v>
      </c>
      <c r="BC136" s="528">
        <v>0</v>
      </c>
      <c r="BD136" s="528">
        <v>0</v>
      </c>
      <c r="BE136" s="528">
        <v>7410748</v>
      </c>
      <c r="BF136" s="528">
        <v>562701</v>
      </c>
      <c r="BG136" s="528">
        <v>-105435</v>
      </c>
      <c r="BH136" s="528">
        <v>457266</v>
      </c>
      <c r="BI136" s="528">
        <v>17357</v>
      </c>
      <c r="BJ136" s="528">
        <v>0</v>
      </c>
      <c r="BK136" s="528">
        <v>0</v>
      </c>
      <c r="BL136" s="528">
        <v>17357</v>
      </c>
      <c r="BM136" s="528">
        <v>48550</v>
      </c>
      <c r="BN136" s="528">
        <v>0</v>
      </c>
      <c r="BO136" s="528">
        <v>0</v>
      </c>
      <c r="BP136" s="528">
        <v>0</v>
      </c>
      <c r="BQ136" s="528">
        <v>48550</v>
      </c>
      <c r="BR136" s="528">
        <v>64914</v>
      </c>
      <c r="BS136" s="528">
        <v>-31194</v>
      </c>
      <c r="BT136" s="528">
        <v>33720</v>
      </c>
      <c r="BU136" s="528">
        <v>0</v>
      </c>
      <c r="BV136" s="528">
        <v>0</v>
      </c>
      <c r="BW136" s="528">
        <v>0</v>
      </c>
      <c r="BX136" s="528">
        <v>0</v>
      </c>
      <c r="BY136" s="528">
        <v>0</v>
      </c>
      <c r="BZ136" s="528">
        <v>0</v>
      </c>
      <c r="CA136" s="528">
        <v>0</v>
      </c>
      <c r="CB136" s="528">
        <v>0</v>
      </c>
      <c r="CC136" s="528">
        <v>0</v>
      </c>
      <c r="CD136" s="528">
        <v>457266</v>
      </c>
      <c r="CE136" s="528">
        <v>0</v>
      </c>
      <c r="CF136" s="528">
        <v>33720</v>
      </c>
      <c r="CG136" s="528">
        <v>0</v>
      </c>
      <c r="CH136" s="528">
        <v>0</v>
      </c>
      <c r="CI136" s="528">
        <f t="shared" si="1"/>
        <v>490986</v>
      </c>
      <c r="CJ136" s="528">
        <v>1124621</v>
      </c>
      <c r="CK136" s="528">
        <v>100179</v>
      </c>
      <c r="CL136" s="528">
        <v>57671</v>
      </c>
      <c r="CM136" s="528">
        <v>1082114</v>
      </c>
      <c r="CN136" s="528">
        <v>0</v>
      </c>
      <c r="CO136" s="528">
        <v>0</v>
      </c>
      <c r="CP136" s="528">
        <v>37031</v>
      </c>
      <c r="CQ136" s="528">
        <v>0</v>
      </c>
      <c r="CR136" s="528">
        <v>0</v>
      </c>
      <c r="CS136" s="528">
        <v>1119144</v>
      </c>
      <c r="CT136" s="528">
        <v>1334</v>
      </c>
      <c r="CU136" s="528">
        <v>0</v>
      </c>
      <c r="CV136" s="528">
        <v>0</v>
      </c>
      <c r="CW136" s="528">
        <v>1334</v>
      </c>
      <c r="CX136" s="528"/>
      <c r="CY136" s="528"/>
      <c r="CZ136" s="528"/>
      <c r="DA136" s="528">
        <v>0</v>
      </c>
      <c r="DB136" s="528">
        <v>1334</v>
      </c>
      <c r="DC136" s="528">
        <v>0</v>
      </c>
      <c r="DD136" s="528">
        <v>0</v>
      </c>
      <c r="DE136" s="528">
        <v>35660</v>
      </c>
      <c r="DF136" s="528">
        <v>0</v>
      </c>
      <c r="DG136" s="528">
        <v>-36617</v>
      </c>
      <c r="DH136" s="528">
        <v>0</v>
      </c>
      <c r="DI136" s="528">
        <v>0</v>
      </c>
      <c r="DJ136" s="528">
        <v>0</v>
      </c>
      <c r="DK136" s="528">
        <v>-957</v>
      </c>
      <c r="DL136" s="528">
        <v>0</v>
      </c>
      <c r="DM136" s="528">
        <v>0</v>
      </c>
      <c r="DN136" s="528">
        <v>-139342</v>
      </c>
      <c r="DO136" s="528">
        <v>-13509</v>
      </c>
      <c r="DP136" s="528">
        <v>-475684</v>
      </c>
      <c r="DQ136" s="529">
        <v>0.11</v>
      </c>
      <c r="DR136" s="530">
        <v>5532995</v>
      </c>
      <c r="DS136" s="531">
        <v>1877753</v>
      </c>
      <c r="DT136" s="530">
        <v>96301</v>
      </c>
      <c r="DU136" s="530">
        <v>162598</v>
      </c>
      <c r="DV136" s="530">
        <v>0</v>
      </c>
      <c r="DW136" s="530">
        <v>-628535</v>
      </c>
    </row>
    <row r="137" spans="1:127" s="103" customFormat="1">
      <c r="A137" s="525">
        <v>2169</v>
      </c>
      <c r="B137" s="526" t="s">
        <v>749</v>
      </c>
      <c r="C137" s="525">
        <v>2169</v>
      </c>
      <c r="D137" s="527" t="s">
        <v>1284</v>
      </c>
      <c r="E137" s="527" t="s">
        <v>538</v>
      </c>
      <c r="F137" s="527" t="s">
        <v>5</v>
      </c>
      <c r="G137" s="527" t="s">
        <v>535</v>
      </c>
      <c r="H137" s="528">
        <v>2527444.3199999998</v>
      </c>
      <c r="I137" s="528">
        <v>0</v>
      </c>
      <c r="J137" s="528">
        <v>23505.41</v>
      </c>
      <c r="K137" s="528">
        <v>0</v>
      </c>
      <c r="L137" s="528">
        <v>343360</v>
      </c>
      <c r="M137" s="528">
        <v>856.93</v>
      </c>
      <c r="N137" s="528">
        <v>0</v>
      </c>
      <c r="O137" s="528">
        <v>0</v>
      </c>
      <c r="P137" s="528">
        <v>39715.410000000003</v>
      </c>
      <c r="Q137" s="528">
        <v>0</v>
      </c>
      <c r="R137" s="528">
        <v>0</v>
      </c>
      <c r="S137" s="528">
        <v>0</v>
      </c>
      <c r="T137" s="528">
        <v>22784.97</v>
      </c>
      <c r="U137" s="528">
        <v>0</v>
      </c>
      <c r="V137" s="528">
        <v>0</v>
      </c>
      <c r="W137" s="528">
        <v>5376.88</v>
      </c>
      <c r="X137" s="528">
        <v>42132</v>
      </c>
      <c r="Y137" s="528">
        <v>3005175.9200000004</v>
      </c>
      <c r="Z137" s="528">
        <v>1360602.5799999952</v>
      </c>
      <c r="AA137" s="528">
        <v>1.1102230246251565E-15</v>
      </c>
      <c r="AB137" s="528">
        <v>536306.30999999994</v>
      </c>
      <c r="AC137" s="528">
        <v>38574.360000000452</v>
      </c>
      <c r="AD137" s="528">
        <v>154964.97999999998</v>
      </c>
      <c r="AE137" s="528">
        <v>0</v>
      </c>
      <c r="AF137" s="528">
        <v>60810.189999999711</v>
      </c>
      <c r="AG137" s="528">
        <v>18682.259999999806</v>
      </c>
      <c r="AH137" s="528">
        <v>0</v>
      </c>
      <c r="AI137" s="528">
        <v>0</v>
      </c>
      <c r="AJ137" s="528">
        <v>0</v>
      </c>
      <c r="AK137" s="528">
        <v>69894.880000000005</v>
      </c>
      <c r="AL137" s="528">
        <v>1050</v>
      </c>
      <c r="AM137" s="528">
        <v>57002.049999999996</v>
      </c>
      <c r="AN137" s="528">
        <v>10583.66</v>
      </c>
      <c r="AO137" s="528">
        <v>44846.459999999992</v>
      </c>
      <c r="AP137" s="528">
        <v>29679.82</v>
      </c>
      <c r="AQ137" s="528">
        <v>8347.0400000000009</v>
      </c>
      <c r="AR137" s="528">
        <v>145175.25999999998</v>
      </c>
      <c r="AS137" s="528">
        <v>28110.79</v>
      </c>
      <c r="AT137" s="528">
        <v>0</v>
      </c>
      <c r="AU137" s="528">
        <v>20576.959999999995</v>
      </c>
      <c r="AV137" s="528">
        <v>9919.75</v>
      </c>
      <c r="AW137" s="528">
        <v>4715</v>
      </c>
      <c r="AX137" s="528">
        <v>136079.24</v>
      </c>
      <c r="AY137" s="528">
        <v>32099.330000000009</v>
      </c>
      <c r="AZ137" s="528">
        <v>0</v>
      </c>
      <c r="BA137" s="528">
        <v>116642.36</v>
      </c>
      <c r="BB137" s="528">
        <v>0</v>
      </c>
      <c r="BC137" s="528">
        <v>0</v>
      </c>
      <c r="BD137" s="528">
        <v>0</v>
      </c>
      <c r="BE137" s="528">
        <v>2884663.2799999942</v>
      </c>
      <c r="BF137" s="528">
        <v>486355.18999999994</v>
      </c>
      <c r="BG137" s="528">
        <v>120512.64000000618</v>
      </c>
      <c r="BH137" s="528">
        <v>606867.83000000613</v>
      </c>
      <c r="BI137" s="528">
        <v>26204</v>
      </c>
      <c r="BJ137" s="528">
        <v>0</v>
      </c>
      <c r="BK137" s="528">
        <v>0</v>
      </c>
      <c r="BL137" s="528">
        <v>26204</v>
      </c>
      <c r="BM137" s="528">
        <v>0</v>
      </c>
      <c r="BN137" s="528">
        <v>9068.18</v>
      </c>
      <c r="BO137" s="528">
        <v>0</v>
      </c>
      <c r="BP137" s="528">
        <v>0</v>
      </c>
      <c r="BQ137" s="528">
        <v>9068.18</v>
      </c>
      <c r="BR137" s="528">
        <v>23058.17</v>
      </c>
      <c r="BS137" s="528">
        <v>17135.82</v>
      </c>
      <c r="BT137" s="528">
        <v>40193.99</v>
      </c>
      <c r="BU137" s="528">
        <v>0</v>
      </c>
      <c r="BV137" s="528">
        <v>0</v>
      </c>
      <c r="BW137" s="528">
        <v>0</v>
      </c>
      <c r="BX137" s="528">
        <v>0</v>
      </c>
      <c r="BY137" s="528">
        <v>0</v>
      </c>
      <c r="BZ137" s="528">
        <v>0</v>
      </c>
      <c r="CA137" s="528">
        <v>0</v>
      </c>
      <c r="CB137" s="528">
        <v>0</v>
      </c>
      <c r="CC137" s="528">
        <v>0</v>
      </c>
      <c r="CD137" s="528">
        <v>606867.83000000613</v>
      </c>
      <c r="CE137" s="528">
        <v>0</v>
      </c>
      <c r="CF137" s="528">
        <v>40193.99</v>
      </c>
      <c r="CG137" s="528">
        <v>0</v>
      </c>
      <c r="CH137" s="528">
        <v>0</v>
      </c>
      <c r="CI137" s="528">
        <f t="shared" ref="CI137:CI200" si="2">SUM(CD137:CF137)</f>
        <v>647061.82000000612</v>
      </c>
      <c r="CJ137" s="528">
        <v>890573.22</v>
      </c>
      <c r="CK137" s="528">
        <v>0</v>
      </c>
      <c r="CL137" s="528">
        <v>0</v>
      </c>
      <c r="CM137" s="528">
        <v>890573.22</v>
      </c>
      <c r="CN137" s="528">
        <v>0</v>
      </c>
      <c r="CO137" s="528">
        <v>0</v>
      </c>
      <c r="CP137" s="528">
        <v>3988</v>
      </c>
      <c r="CQ137" s="528">
        <v>0</v>
      </c>
      <c r="CR137" s="528">
        <v>-193422.54</v>
      </c>
      <c r="CS137" s="528">
        <v>701138.67999999993</v>
      </c>
      <c r="CT137" s="528">
        <v>0</v>
      </c>
      <c r="CU137" s="528">
        <v>0</v>
      </c>
      <c r="CV137" s="528">
        <v>0</v>
      </c>
      <c r="CW137" s="528">
        <v>0</v>
      </c>
      <c r="CX137" s="528"/>
      <c r="CY137" s="528"/>
      <c r="CZ137" s="528"/>
      <c r="DA137" s="528">
        <v>0</v>
      </c>
      <c r="DB137" s="528">
        <v>0</v>
      </c>
      <c r="DC137" s="528">
        <v>0</v>
      </c>
      <c r="DD137" s="528">
        <v>14593.58</v>
      </c>
      <c r="DE137" s="528">
        <v>0</v>
      </c>
      <c r="DF137" s="528">
        <v>0</v>
      </c>
      <c r="DG137" s="528">
        <v>-22574.880000000001</v>
      </c>
      <c r="DH137" s="528">
        <v>-46095.79</v>
      </c>
      <c r="DI137" s="528">
        <v>0</v>
      </c>
      <c r="DJ137" s="528">
        <v>0</v>
      </c>
      <c r="DK137" s="528">
        <v>-54077.090000000004</v>
      </c>
      <c r="DL137" s="528">
        <v>0</v>
      </c>
      <c r="DM137" s="528">
        <v>0</v>
      </c>
      <c r="DN137" s="528">
        <v>0</v>
      </c>
      <c r="DO137" s="528">
        <v>0</v>
      </c>
      <c r="DP137" s="528">
        <v>0</v>
      </c>
      <c r="DQ137" s="529">
        <v>0.23000000009778887</v>
      </c>
      <c r="DR137" s="530">
        <v>2169940.679999995</v>
      </c>
      <c r="DS137" s="531">
        <v>714722.59999999916</v>
      </c>
      <c r="DT137" s="530">
        <v>32099.330000000009</v>
      </c>
      <c r="DU137" s="530">
        <v>62500.380000000005</v>
      </c>
      <c r="DV137" s="530">
        <v>0</v>
      </c>
      <c r="DW137" s="530">
        <v>0</v>
      </c>
    </row>
    <row r="138" spans="1:127" s="103" customFormat="1">
      <c r="A138" s="525">
        <v>2008</v>
      </c>
      <c r="B138" s="526" t="s">
        <v>751</v>
      </c>
      <c r="C138" s="525">
        <v>2008</v>
      </c>
      <c r="D138" s="527" t="s">
        <v>1284</v>
      </c>
      <c r="E138" s="527" t="s">
        <v>538</v>
      </c>
      <c r="F138" s="527" t="s">
        <v>5</v>
      </c>
      <c r="G138" s="527" t="s">
        <v>535</v>
      </c>
      <c r="H138" s="528">
        <v>2680543.63</v>
      </c>
      <c r="I138" s="528">
        <v>0</v>
      </c>
      <c r="J138" s="528">
        <v>76098.179999999993</v>
      </c>
      <c r="K138" s="528">
        <v>0</v>
      </c>
      <c r="L138" s="528">
        <v>284480</v>
      </c>
      <c r="M138" s="528">
        <v>4113.8599999999997</v>
      </c>
      <c r="N138" s="528">
        <v>0</v>
      </c>
      <c r="O138" s="528">
        <v>0</v>
      </c>
      <c r="P138" s="528">
        <v>41380.209999999934</v>
      </c>
      <c r="Q138" s="528">
        <v>48343.640000000007</v>
      </c>
      <c r="R138" s="528">
        <v>0</v>
      </c>
      <c r="S138" s="528">
        <v>0</v>
      </c>
      <c r="T138" s="528">
        <v>1088.2</v>
      </c>
      <c r="U138" s="528">
        <v>0</v>
      </c>
      <c r="V138" s="528">
        <v>0</v>
      </c>
      <c r="W138" s="528">
        <v>15994.58</v>
      </c>
      <c r="X138" s="528">
        <v>68622</v>
      </c>
      <c r="Y138" s="528">
        <v>3220664.3000000003</v>
      </c>
      <c r="Z138" s="528">
        <v>1091618.52</v>
      </c>
      <c r="AA138" s="528">
        <v>-1417.21</v>
      </c>
      <c r="AB138" s="528">
        <v>14809.700000000008</v>
      </c>
      <c r="AC138" s="528">
        <v>433641.74999999977</v>
      </c>
      <c r="AD138" s="528">
        <v>4293.0700000000006</v>
      </c>
      <c r="AE138" s="528">
        <v>0</v>
      </c>
      <c r="AF138" s="528">
        <v>455802.46999999916</v>
      </c>
      <c r="AG138" s="528">
        <v>23566.570000000022</v>
      </c>
      <c r="AH138" s="528">
        <v>2374</v>
      </c>
      <c r="AI138" s="528">
        <v>0</v>
      </c>
      <c r="AJ138" s="528">
        <v>0</v>
      </c>
      <c r="AK138" s="528">
        <v>20707.62</v>
      </c>
      <c r="AL138" s="528">
        <v>0</v>
      </c>
      <c r="AM138" s="528">
        <v>8262.11</v>
      </c>
      <c r="AN138" s="528">
        <v>10299.540000000001</v>
      </c>
      <c r="AO138" s="528">
        <v>32355.170000000002</v>
      </c>
      <c r="AP138" s="528">
        <v>28884.83</v>
      </c>
      <c r="AQ138" s="528">
        <v>22212.38</v>
      </c>
      <c r="AR138" s="528">
        <v>325980.0900000002</v>
      </c>
      <c r="AS138" s="528">
        <v>444.3</v>
      </c>
      <c r="AT138" s="528">
        <v>0</v>
      </c>
      <c r="AU138" s="528">
        <v>17105.829999999987</v>
      </c>
      <c r="AV138" s="528">
        <v>9471</v>
      </c>
      <c r="AW138" s="528">
        <v>0</v>
      </c>
      <c r="AX138" s="528">
        <v>248375.63</v>
      </c>
      <c r="AY138" s="528">
        <v>329701.89</v>
      </c>
      <c r="AZ138" s="528">
        <v>10629.68</v>
      </c>
      <c r="BA138" s="528">
        <v>120129.14</v>
      </c>
      <c r="BB138" s="528">
        <v>0</v>
      </c>
      <c r="BC138" s="528">
        <v>0</v>
      </c>
      <c r="BD138" s="528">
        <v>0</v>
      </c>
      <c r="BE138" s="528">
        <v>3209248.0799999996</v>
      </c>
      <c r="BF138" s="528">
        <v>234792.61999999982</v>
      </c>
      <c r="BG138" s="528">
        <v>11416.220000000671</v>
      </c>
      <c r="BH138" s="528">
        <v>246208.84000000049</v>
      </c>
      <c r="BI138" s="528">
        <v>9121</v>
      </c>
      <c r="BJ138" s="528">
        <v>0</v>
      </c>
      <c r="BK138" s="528">
        <v>0</v>
      </c>
      <c r="BL138" s="528">
        <v>9121</v>
      </c>
      <c r="BM138" s="528">
        <v>0</v>
      </c>
      <c r="BN138" s="528">
        <v>0</v>
      </c>
      <c r="BO138" s="528">
        <v>0</v>
      </c>
      <c r="BP138" s="528">
        <v>0</v>
      </c>
      <c r="BQ138" s="528">
        <v>0</v>
      </c>
      <c r="BR138" s="528">
        <v>8645.43</v>
      </c>
      <c r="BS138" s="528">
        <v>9121</v>
      </c>
      <c r="BT138" s="528">
        <v>17766.43</v>
      </c>
      <c r="BU138" s="528">
        <v>0</v>
      </c>
      <c r="BV138" s="528">
        <v>0</v>
      </c>
      <c r="BW138" s="528">
        <v>0</v>
      </c>
      <c r="BX138" s="528">
        <v>0</v>
      </c>
      <c r="BY138" s="528">
        <v>0</v>
      </c>
      <c r="BZ138" s="528">
        <v>0</v>
      </c>
      <c r="CA138" s="528">
        <v>0</v>
      </c>
      <c r="CB138" s="528">
        <v>0</v>
      </c>
      <c r="CC138" s="528">
        <v>0</v>
      </c>
      <c r="CD138" s="528">
        <v>246208.84000000049</v>
      </c>
      <c r="CE138" s="528">
        <v>0</v>
      </c>
      <c r="CF138" s="528">
        <v>17766.43</v>
      </c>
      <c r="CG138" s="528">
        <v>0</v>
      </c>
      <c r="CH138" s="528">
        <v>0</v>
      </c>
      <c r="CI138" s="528">
        <f t="shared" si="2"/>
        <v>263975.27000000048</v>
      </c>
      <c r="CJ138" s="528">
        <v>542437.26</v>
      </c>
      <c r="CK138" s="528">
        <v>0</v>
      </c>
      <c r="CL138" s="528">
        <v>0</v>
      </c>
      <c r="CM138" s="528">
        <v>542437.26</v>
      </c>
      <c r="CN138" s="528">
        <v>0</v>
      </c>
      <c r="CO138" s="528">
        <v>0</v>
      </c>
      <c r="CP138" s="528">
        <v>35866.46</v>
      </c>
      <c r="CQ138" s="528">
        <v>0</v>
      </c>
      <c r="CR138" s="528">
        <v>-270795.51</v>
      </c>
      <c r="CS138" s="528">
        <v>307508.20999999996</v>
      </c>
      <c r="CT138" s="528">
        <v>0</v>
      </c>
      <c r="CU138" s="528">
        <v>0</v>
      </c>
      <c r="CV138" s="528">
        <v>0</v>
      </c>
      <c r="CW138" s="528">
        <v>0</v>
      </c>
      <c r="CX138" s="528"/>
      <c r="CY138" s="528"/>
      <c r="CZ138" s="528"/>
      <c r="DA138" s="528">
        <v>0</v>
      </c>
      <c r="DB138" s="528">
        <v>0</v>
      </c>
      <c r="DC138" s="528">
        <v>0</v>
      </c>
      <c r="DD138" s="528">
        <v>8172.28</v>
      </c>
      <c r="DE138" s="528">
        <v>0</v>
      </c>
      <c r="DF138" s="528">
        <v>0</v>
      </c>
      <c r="DG138" s="528">
        <v>0</v>
      </c>
      <c r="DH138" s="528">
        <v>-51705.2</v>
      </c>
      <c r="DI138" s="528">
        <v>0</v>
      </c>
      <c r="DJ138" s="528">
        <v>0</v>
      </c>
      <c r="DK138" s="528">
        <v>-43532.92</v>
      </c>
      <c r="DL138" s="528">
        <v>0</v>
      </c>
      <c r="DM138" s="528">
        <v>0</v>
      </c>
      <c r="DN138" s="528">
        <v>0</v>
      </c>
      <c r="DO138" s="528">
        <v>0</v>
      </c>
      <c r="DP138" s="528">
        <v>0</v>
      </c>
      <c r="DQ138" s="529">
        <v>-2.0000000018626451E-2</v>
      </c>
      <c r="DR138" s="530">
        <v>2022314.8699999989</v>
      </c>
      <c r="DS138" s="531">
        <v>1186933.2100000007</v>
      </c>
      <c r="DT138" s="530">
        <v>329701.89</v>
      </c>
      <c r="DU138" s="530">
        <v>90812.049999999945</v>
      </c>
      <c r="DV138" s="530">
        <v>0</v>
      </c>
      <c r="DW138" s="530">
        <v>0</v>
      </c>
    </row>
    <row r="139" spans="1:127" s="103" customFormat="1">
      <c r="A139" s="525">
        <v>1038</v>
      </c>
      <c r="B139" s="526" t="s">
        <v>753</v>
      </c>
      <c r="C139" s="525">
        <v>1038</v>
      </c>
      <c r="D139" s="527" t="s">
        <v>1284</v>
      </c>
      <c r="E139" s="527" t="s">
        <v>534</v>
      </c>
      <c r="F139" s="527" t="s">
        <v>5</v>
      </c>
      <c r="G139" s="527" t="s">
        <v>535</v>
      </c>
      <c r="H139" s="528">
        <v>1098848.98</v>
      </c>
      <c r="I139" s="528">
        <v>0</v>
      </c>
      <c r="J139" s="528">
        <v>91077.14</v>
      </c>
      <c r="K139" s="528">
        <v>0</v>
      </c>
      <c r="L139" s="528">
        <v>0</v>
      </c>
      <c r="M139" s="528">
        <v>2685.64</v>
      </c>
      <c r="N139" s="528">
        <v>0</v>
      </c>
      <c r="O139" s="528">
        <v>0</v>
      </c>
      <c r="P139" s="528">
        <v>296695.52999999997</v>
      </c>
      <c r="Q139" s="528">
        <v>16458.060000000001</v>
      </c>
      <c r="R139" s="528">
        <v>0</v>
      </c>
      <c r="S139" s="528">
        <v>0</v>
      </c>
      <c r="T139" s="528">
        <v>168.5</v>
      </c>
      <c r="U139" s="528">
        <v>0</v>
      </c>
      <c r="V139" s="528">
        <v>0</v>
      </c>
      <c r="W139" s="528">
        <v>0</v>
      </c>
      <c r="X139" s="528">
        <v>0</v>
      </c>
      <c r="Y139" s="528">
        <v>1505933.8499999999</v>
      </c>
      <c r="Z139" s="528">
        <v>290807.96000000002</v>
      </c>
      <c r="AA139" s="528">
        <v>0</v>
      </c>
      <c r="AB139" s="528">
        <v>504398.20400000003</v>
      </c>
      <c r="AC139" s="528">
        <v>39445.1</v>
      </c>
      <c r="AD139" s="528">
        <v>65400.83</v>
      </c>
      <c r="AE139" s="528">
        <v>0</v>
      </c>
      <c r="AF139" s="528">
        <v>114025.8</v>
      </c>
      <c r="AG139" s="528">
        <v>5118.7</v>
      </c>
      <c r="AH139" s="528">
        <v>5101.5</v>
      </c>
      <c r="AI139" s="528">
        <v>0</v>
      </c>
      <c r="AJ139" s="528">
        <v>0</v>
      </c>
      <c r="AK139" s="528">
        <v>8160.35</v>
      </c>
      <c r="AL139" s="528">
        <v>261.66000000000003</v>
      </c>
      <c r="AM139" s="528">
        <v>27948.16</v>
      </c>
      <c r="AN139" s="528">
        <v>194.99</v>
      </c>
      <c r="AO139" s="528">
        <v>22259.25</v>
      </c>
      <c r="AP139" s="528">
        <v>0</v>
      </c>
      <c r="AQ139" s="528">
        <v>12232.29</v>
      </c>
      <c r="AR139" s="528">
        <v>39933.599999999999</v>
      </c>
      <c r="AS139" s="528">
        <v>4438.51</v>
      </c>
      <c r="AT139" s="528">
        <v>0</v>
      </c>
      <c r="AU139" s="528">
        <v>6579.64</v>
      </c>
      <c r="AV139" s="528">
        <v>3291.75</v>
      </c>
      <c r="AW139" s="528">
        <v>0</v>
      </c>
      <c r="AX139" s="528">
        <v>37169.270000000004</v>
      </c>
      <c r="AY139" s="528">
        <v>186029.38</v>
      </c>
      <c r="AZ139" s="528">
        <v>0</v>
      </c>
      <c r="BA139" s="528">
        <v>78939.95</v>
      </c>
      <c r="BB139" s="528">
        <v>0</v>
      </c>
      <c r="BC139" s="528">
        <v>0</v>
      </c>
      <c r="BD139" s="528">
        <v>0</v>
      </c>
      <c r="BE139" s="528">
        <v>1451736.8940000001</v>
      </c>
      <c r="BF139" s="528">
        <v>48023.810000000056</v>
      </c>
      <c r="BG139" s="528">
        <v>54196.955999999773</v>
      </c>
      <c r="BH139" s="528">
        <v>102220.76599999983</v>
      </c>
      <c r="BI139" s="528">
        <v>5066.5</v>
      </c>
      <c r="BJ139" s="528">
        <v>0</v>
      </c>
      <c r="BK139" s="528">
        <v>0</v>
      </c>
      <c r="BL139" s="528">
        <v>5066.5</v>
      </c>
      <c r="BM139" s="528">
        <v>0</v>
      </c>
      <c r="BN139" s="528">
        <v>0</v>
      </c>
      <c r="BO139" s="528">
        <v>0</v>
      </c>
      <c r="BP139" s="528">
        <v>0</v>
      </c>
      <c r="BQ139" s="528">
        <v>0</v>
      </c>
      <c r="BR139" s="528">
        <v>15489.910000000003</v>
      </c>
      <c r="BS139" s="528">
        <v>5066.5</v>
      </c>
      <c r="BT139" s="528">
        <v>20556.410000000003</v>
      </c>
      <c r="BU139" s="528">
        <v>0</v>
      </c>
      <c r="BV139" s="528">
        <v>0</v>
      </c>
      <c r="BW139" s="528">
        <v>0</v>
      </c>
      <c r="BX139" s="528">
        <v>0</v>
      </c>
      <c r="BY139" s="528">
        <v>0</v>
      </c>
      <c r="BZ139" s="528">
        <v>0</v>
      </c>
      <c r="CA139" s="528">
        <v>0</v>
      </c>
      <c r="CB139" s="528">
        <v>0</v>
      </c>
      <c r="CC139" s="528">
        <v>0</v>
      </c>
      <c r="CD139" s="528">
        <v>102220.76599999983</v>
      </c>
      <c r="CE139" s="528">
        <v>0</v>
      </c>
      <c r="CF139" s="528">
        <v>20556.410000000003</v>
      </c>
      <c r="CG139" s="528">
        <v>0</v>
      </c>
      <c r="CH139" s="528">
        <v>0</v>
      </c>
      <c r="CI139" s="528">
        <f t="shared" si="2"/>
        <v>122777.17599999983</v>
      </c>
      <c r="CJ139" s="528">
        <v>374418.28</v>
      </c>
      <c r="CK139" s="528">
        <v>3682.89</v>
      </c>
      <c r="CL139" s="528">
        <v>1696.07</v>
      </c>
      <c r="CM139" s="528">
        <v>372431.46</v>
      </c>
      <c r="CN139" s="528">
        <v>0</v>
      </c>
      <c r="CO139" s="528">
        <v>0</v>
      </c>
      <c r="CP139" s="528">
        <v>3613.85</v>
      </c>
      <c r="CQ139" s="528">
        <v>19523.25</v>
      </c>
      <c r="CR139" s="528">
        <v>0</v>
      </c>
      <c r="CS139" s="528">
        <v>395568.56</v>
      </c>
      <c r="CT139" s="528">
        <v>0</v>
      </c>
      <c r="CU139" s="528">
        <v>0</v>
      </c>
      <c r="CV139" s="528">
        <v>0</v>
      </c>
      <c r="CW139" s="528">
        <v>0</v>
      </c>
      <c r="CX139" s="528"/>
      <c r="CY139" s="528"/>
      <c r="CZ139" s="528"/>
      <c r="DA139" s="528">
        <v>0</v>
      </c>
      <c r="DB139" s="528">
        <v>0</v>
      </c>
      <c r="DC139" s="528">
        <v>0</v>
      </c>
      <c r="DD139" s="528">
        <v>286.72000000000003</v>
      </c>
      <c r="DE139" s="528">
        <v>0</v>
      </c>
      <c r="DF139" s="528">
        <v>0</v>
      </c>
      <c r="DG139" s="528">
        <v>0</v>
      </c>
      <c r="DH139" s="528">
        <v>-13882.619999999999</v>
      </c>
      <c r="DI139" s="528">
        <v>0</v>
      </c>
      <c r="DJ139" s="528">
        <v>0</v>
      </c>
      <c r="DK139" s="528">
        <v>-13595.9</v>
      </c>
      <c r="DL139" s="528">
        <v>0</v>
      </c>
      <c r="DM139" s="528">
        <v>74587.55</v>
      </c>
      <c r="DN139" s="528">
        <v>-138</v>
      </c>
      <c r="DO139" s="528">
        <v>-333645.02999999997</v>
      </c>
      <c r="DP139" s="528">
        <v>0</v>
      </c>
      <c r="DQ139" s="529">
        <v>0</v>
      </c>
      <c r="DR139" s="530">
        <v>1019196.594</v>
      </c>
      <c r="DS139" s="531">
        <v>432540.30000000005</v>
      </c>
      <c r="DT139" s="530">
        <v>186029.38</v>
      </c>
      <c r="DU139" s="530">
        <v>313322.08999999997</v>
      </c>
      <c r="DV139" s="530">
        <v>0</v>
      </c>
      <c r="DW139" s="530">
        <v>-259195.47999999998</v>
      </c>
    </row>
    <row r="140" spans="1:127" s="103" customFormat="1">
      <c r="A140" s="525">
        <v>2174</v>
      </c>
      <c r="B140" s="526" t="s">
        <v>755</v>
      </c>
      <c r="C140" s="525">
        <v>2174</v>
      </c>
      <c r="D140" s="527" t="s">
        <v>1284</v>
      </c>
      <c r="E140" s="527" t="s">
        <v>538</v>
      </c>
      <c r="F140" s="527" t="s">
        <v>5</v>
      </c>
      <c r="G140" s="527" t="s">
        <v>535</v>
      </c>
      <c r="H140" s="528">
        <v>2035146.07</v>
      </c>
      <c r="I140" s="528">
        <v>0</v>
      </c>
      <c r="J140" s="528">
        <v>64002.15</v>
      </c>
      <c r="K140" s="528">
        <v>0</v>
      </c>
      <c r="L140" s="528">
        <v>205330</v>
      </c>
      <c r="M140" s="528">
        <v>5400</v>
      </c>
      <c r="N140" s="528">
        <v>0</v>
      </c>
      <c r="O140" s="528">
        <v>0</v>
      </c>
      <c r="P140" s="528">
        <v>46.56</v>
      </c>
      <c r="Q140" s="528">
        <v>0</v>
      </c>
      <c r="R140" s="528">
        <v>0</v>
      </c>
      <c r="S140" s="528">
        <v>0</v>
      </c>
      <c r="T140" s="528">
        <v>9214.91</v>
      </c>
      <c r="U140" s="528">
        <v>65147.81</v>
      </c>
      <c r="V140" s="528">
        <v>0</v>
      </c>
      <c r="W140" s="528">
        <v>7365</v>
      </c>
      <c r="X140" s="528">
        <v>312133.57</v>
      </c>
      <c r="Y140" s="528">
        <v>2703786.0700000003</v>
      </c>
      <c r="Z140" s="528">
        <v>1160835.96</v>
      </c>
      <c r="AA140" s="528">
        <v>0</v>
      </c>
      <c r="AB140" s="528">
        <v>481198.16</v>
      </c>
      <c r="AC140" s="528">
        <v>45237.97</v>
      </c>
      <c r="AD140" s="528">
        <v>182021.91</v>
      </c>
      <c r="AE140" s="528">
        <v>0</v>
      </c>
      <c r="AF140" s="528">
        <v>116216.02</v>
      </c>
      <c r="AG140" s="528">
        <v>7580.07</v>
      </c>
      <c r="AH140" s="528">
        <v>8999.7900000000009</v>
      </c>
      <c r="AI140" s="528">
        <v>0</v>
      </c>
      <c r="AJ140" s="528">
        <v>0</v>
      </c>
      <c r="AK140" s="528">
        <v>8577.49</v>
      </c>
      <c r="AL140" s="528">
        <v>451.01</v>
      </c>
      <c r="AM140" s="528">
        <v>36452.839999999997</v>
      </c>
      <c r="AN140" s="528">
        <v>5924.89</v>
      </c>
      <c r="AO140" s="528">
        <v>61327.31</v>
      </c>
      <c r="AP140" s="528">
        <v>20532.46</v>
      </c>
      <c r="AQ140" s="528">
        <v>5472.47</v>
      </c>
      <c r="AR140" s="528">
        <v>187072.76</v>
      </c>
      <c r="AS140" s="528">
        <v>6534.16</v>
      </c>
      <c r="AT140" s="528">
        <v>0</v>
      </c>
      <c r="AU140" s="528">
        <v>19223.2</v>
      </c>
      <c r="AV140" s="528">
        <v>8300</v>
      </c>
      <c r="AW140" s="528">
        <v>0</v>
      </c>
      <c r="AX140" s="528">
        <v>154153.29999999999</v>
      </c>
      <c r="AY140" s="528">
        <v>119718.85</v>
      </c>
      <c r="AZ140" s="528">
        <v>8703.5399999999991</v>
      </c>
      <c r="BA140" s="528">
        <v>-1657.43</v>
      </c>
      <c r="BB140" s="528">
        <v>77889.2</v>
      </c>
      <c r="BC140" s="528">
        <v>0</v>
      </c>
      <c r="BD140" s="528">
        <v>0</v>
      </c>
      <c r="BE140" s="528">
        <v>2720765.9300000006</v>
      </c>
      <c r="BF140" s="528">
        <v>185786.39999999927</v>
      </c>
      <c r="BG140" s="528">
        <v>-16979.860000000335</v>
      </c>
      <c r="BH140" s="528">
        <v>168806.53999999893</v>
      </c>
      <c r="BI140" s="528">
        <v>8050</v>
      </c>
      <c r="BJ140" s="528">
        <v>0</v>
      </c>
      <c r="BK140" s="528">
        <v>0</v>
      </c>
      <c r="BL140" s="528">
        <v>8050</v>
      </c>
      <c r="BM140" s="528">
        <v>0</v>
      </c>
      <c r="BN140" s="528">
        <v>20689</v>
      </c>
      <c r="BO140" s="528">
        <v>0</v>
      </c>
      <c r="BP140" s="528">
        <v>0</v>
      </c>
      <c r="BQ140" s="528">
        <v>20689</v>
      </c>
      <c r="BR140" s="528">
        <v>12639.25</v>
      </c>
      <c r="BS140" s="528">
        <v>-12639</v>
      </c>
      <c r="BT140" s="528">
        <v>0.25</v>
      </c>
      <c r="BU140" s="528">
        <v>0</v>
      </c>
      <c r="BV140" s="528">
        <v>0</v>
      </c>
      <c r="BW140" s="528">
        <v>0</v>
      </c>
      <c r="BX140" s="528">
        <v>0</v>
      </c>
      <c r="BY140" s="528">
        <v>0</v>
      </c>
      <c r="BZ140" s="528">
        <v>0</v>
      </c>
      <c r="CA140" s="528">
        <v>0</v>
      </c>
      <c r="CB140" s="528">
        <v>0</v>
      </c>
      <c r="CC140" s="528">
        <v>0</v>
      </c>
      <c r="CD140" s="528">
        <v>168806.53999999893</v>
      </c>
      <c r="CE140" s="528">
        <v>0</v>
      </c>
      <c r="CF140" s="528">
        <v>0.25</v>
      </c>
      <c r="CG140" s="528">
        <v>0</v>
      </c>
      <c r="CH140" s="528">
        <v>0</v>
      </c>
      <c r="CI140" s="528">
        <f t="shared" si="2"/>
        <v>168806.78999999893</v>
      </c>
      <c r="CJ140" s="528">
        <v>358550.92</v>
      </c>
      <c r="CK140" s="528">
        <v>187317.26</v>
      </c>
      <c r="CL140" s="528">
        <v>0</v>
      </c>
      <c r="CM140" s="528">
        <v>171233.65999999997</v>
      </c>
      <c r="CN140" s="528">
        <v>39.630000000000003</v>
      </c>
      <c r="CO140" s="528">
        <v>0</v>
      </c>
      <c r="CP140" s="528">
        <v>8664.1200000000008</v>
      </c>
      <c r="CQ140" s="528">
        <v>1380.39</v>
      </c>
      <c r="CR140" s="528">
        <v>0</v>
      </c>
      <c r="CS140" s="528">
        <v>181317.8</v>
      </c>
      <c r="CT140" s="528">
        <v>718.4</v>
      </c>
      <c r="CU140" s="528">
        <v>0</v>
      </c>
      <c r="CV140" s="528">
        <v>0</v>
      </c>
      <c r="CW140" s="528">
        <v>718.4</v>
      </c>
      <c r="CX140" s="528"/>
      <c r="CY140" s="528"/>
      <c r="CZ140" s="528"/>
      <c r="DA140" s="528">
        <v>0</v>
      </c>
      <c r="DB140" s="528">
        <v>718.4</v>
      </c>
      <c r="DC140" s="528">
        <v>0</v>
      </c>
      <c r="DD140" s="528">
        <v>0</v>
      </c>
      <c r="DE140" s="528">
        <v>0</v>
      </c>
      <c r="DF140" s="528">
        <v>0</v>
      </c>
      <c r="DG140" s="528">
        <v>-11523.75</v>
      </c>
      <c r="DH140" s="528">
        <v>0</v>
      </c>
      <c r="DI140" s="528">
        <v>0</v>
      </c>
      <c r="DJ140" s="528">
        <v>0</v>
      </c>
      <c r="DK140" s="528">
        <v>-11523.75</v>
      </c>
      <c r="DL140" s="528">
        <v>0</v>
      </c>
      <c r="DM140" s="528">
        <v>0</v>
      </c>
      <c r="DN140" s="528">
        <v>-1706</v>
      </c>
      <c r="DO140" s="528">
        <v>0</v>
      </c>
      <c r="DP140" s="528">
        <v>0</v>
      </c>
      <c r="DQ140" s="529"/>
      <c r="DR140" s="530">
        <v>1993090.0899999999</v>
      </c>
      <c r="DS140" s="531">
        <v>727675.84000000078</v>
      </c>
      <c r="DT140" s="530">
        <v>119718.85</v>
      </c>
      <c r="DU140" s="530">
        <v>9261.4699999999993</v>
      </c>
      <c r="DV140" s="530">
        <v>65147.81</v>
      </c>
      <c r="DW140" s="530">
        <v>-1706</v>
      </c>
    </row>
    <row r="141" spans="1:127" s="103" customFormat="1">
      <c r="A141" s="534">
        <v>2176</v>
      </c>
      <c r="B141" s="527" t="s">
        <v>757</v>
      </c>
      <c r="C141" s="534">
        <v>2176</v>
      </c>
      <c r="D141" s="527" t="s">
        <v>1284</v>
      </c>
      <c r="E141" s="527" t="s">
        <v>538</v>
      </c>
      <c r="F141" s="527" t="s">
        <v>5</v>
      </c>
      <c r="G141" s="527" t="s">
        <v>535</v>
      </c>
      <c r="H141" s="528">
        <v>4053310</v>
      </c>
      <c r="I141" s="528">
        <v>0</v>
      </c>
      <c r="J141" s="528">
        <v>287116</v>
      </c>
      <c r="K141" s="528">
        <v>0</v>
      </c>
      <c r="L141" s="528">
        <v>414400</v>
      </c>
      <c r="M141" s="528">
        <v>221725</v>
      </c>
      <c r="N141" s="528">
        <v>0</v>
      </c>
      <c r="O141" s="528">
        <v>0</v>
      </c>
      <c r="P141" s="528">
        <v>48099</v>
      </c>
      <c r="Q141" s="528">
        <v>20536</v>
      </c>
      <c r="R141" s="528">
        <v>0</v>
      </c>
      <c r="S141" s="528">
        <v>0</v>
      </c>
      <c r="T141" s="528">
        <v>16556</v>
      </c>
      <c r="U141" s="528">
        <v>0</v>
      </c>
      <c r="V141" s="528">
        <v>0</v>
      </c>
      <c r="W141" s="528">
        <v>24389</v>
      </c>
      <c r="X141" s="528">
        <v>98228</v>
      </c>
      <c r="Y141" s="528">
        <v>5184359</v>
      </c>
      <c r="Z141" s="528">
        <v>1548608</v>
      </c>
      <c r="AA141" s="528">
        <v>253</v>
      </c>
      <c r="AB141" s="528">
        <v>-24192</v>
      </c>
      <c r="AC141" s="528">
        <v>803530</v>
      </c>
      <c r="AD141" s="528">
        <v>0</v>
      </c>
      <c r="AE141" s="528">
        <v>218</v>
      </c>
      <c r="AF141" s="528">
        <v>982344</v>
      </c>
      <c r="AG141" s="528">
        <v>40266</v>
      </c>
      <c r="AH141" s="528">
        <v>15488</v>
      </c>
      <c r="AI141" s="528">
        <v>0</v>
      </c>
      <c r="AJ141" s="528">
        <v>0</v>
      </c>
      <c r="AK141" s="528">
        <v>26976</v>
      </c>
      <c r="AL141" s="528">
        <v>0</v>
      </c>
      <c r="AM141" s="528">
        <v>0</v>
      </c>
      <c r="AN141" s="528">
        <v>0</v>
      </c>
      <c r="AO141" s="528">
        <v>76342</v>
      </c>
      <c r="AP141" s="528">
        <v>62010</v>
      </c>
      <c r="AQ141" s="528">
        <v>350</v>
      </c>
      <c r="AR141" s="528">
        <v>727426</v>
      </c>
      <c r="AS141" s="528">
        <v>7780</v>
      </c>
      <c r="AT141" s="528">
        <v>96</v>
      </c>
      <c r="AU141" s="528">
        <v>3648</v>
      </c>
      <c r="AV141" s="528">
        <v>33767</v>
      </c>
      <c r="AW141" s="528">
        <v>0</v>
      </c>
      <c r="AX141" s="528">
        <v>149</v>
      </c>
      <c r="AY141" s="528">
        <v>544406</v>
      </c>
      <c r="AZ141" s="528">
        <v>16220</v>
      </c>
      <c r="BA141" s="528">
        <v>214511</v>
      </c>
      <c r="BB141" s="528">
        <v>0</v>
      </c>
      <c r="BC141" s="528">
        <v>0</v>
      </c>
      <c r="BD141" s="528">
        <v>0</v>
      </c>
      <c r="BE141" s="528">
        <v>5080195</v>
      </c>
      <c r="BF141" s="528">
        <v>306060</v>
      </c>
      <c r="BG141" s="528">
        <v>104164</v>
      </c>
      <c r="BH141" s="528">
        <v>410224</v>
      </c>
      <c r="BI141" s="528">
        <v>11859</v>
      </c>
      <c r="BJ141" s="528">
        <v>0</v>
      </c>
      <c r="BK141" s="528">
        <v>0</v>
      </c>
      <c r="BL141" s="528">
        <v>11859</v>
      </c>
      <c r="BM141" s="528">
        <v>0</v>
      </c>
      <c r="BN141" s="528">
        <v>2054</v>
      </c>
      <c r="BO141" s="528">
        <v>0</v>
      </c>
      <c r="BP141" s="528">
        <v>0</v>
      </c>
      <c r="BQ141" s="528">
        <v>2054</v>
      </c>
      <c r="BR141" s="528">
        <v>0</v>
      </c>
      <c r="BS141" s="528">
        <v>9805</v>
      </c>
      <c r="BT141" s="528">
        <v>9805</v>
      </c>
      <c r="BU141" s="528">
        <v>0</v>
      </c>
      <c r="BV141" s="528">
        <v>0</v>
      </c>
      <c r="BW141" s="528">
        <v>0</v>
      </c>
      <c r="BX141" s="528">
        <v>0</v>
      </c>
      <c r="BY141" s="528">
        <v>0</v>
      </c>
      <c r="BZ141" s="528">
        <v>0</v>
      </c>
      <c r="CA141" s="528">
        <v>0</v>
      </c>
      <c r="CB141" s="528">
        <v>0</v>
      </c>
      <c r="CC141" s="528">
        <v>0</v>
      </c>
      <c r="CD141" s="528">
        <v>410224</v>
      </c>
      <c r="CE141" s="528">
        <v>0</v>
      </c>
      <c r="CF141" s="528">
        <v>9805</v>
      </c>
      <c r="CG141" s="528">
        <v>0</v>
      </c>
      <c r="CH141" s="528">
        <v>0</v>
      </c>
      <c r="CI141" s="528">
        <f t="shared" si="2"/>
        <v>420029</v>
      </c>
      <c r="CJ141" s="528">
        <v>728792</v>
      </c>
      <c r="CK141" s="528">
        <v>0</v>
      </c>
      <c r="CL141" s="528">
        <v>0</v>
      </c>
      <c r="CM141" s="528">
        <v>728792</v>
      </c>
      <c r="CN141" s="528">
        <v>0</v>
      </c>
      <c r="CO141" s="528">
        <v>0</v>
      </c>
      <c r="CP141" s="528">
        <v>50775</v>
      </c>
      <c r="CQ141" s="528">
        <v>0</v>
      </c>
      <c r="CR141" s="528">
        <v>-368726</v>
      </c>
      <c r="CS141" s="528">
        <v>410841</v>
      </c>
      <c r="CT141" s="528">
        <v>0</v>
      </c>
      <c r="CU141" s="528">
        <v>0</v>
      </c>
      <c r="CV141" s="528">
        <v>0</v>
      </c>
      <c r="CW141" s="528">
        <v>0</v>
      </c>
      <c r="CX141" s="528"/>
      <c r="CY141" s="528"/>
      <c r="CZ141" s="528"/>
      <c r="DA141" s="528">
        <v>0</v>
      </c>
      <c r="DB141" s="528">
        <v>0</v>
      </c>
      <c r="DC141" s="528">
        <v>0</v>
      </c>
      <c r="DD141" s="528">
        <v>9447</v>
      </c>
      <c r="DE141" s="528">
        <v>0</v>
      </c>
      <c r="DF141" s="528">
        <v>0</v>
      </c>
      <c r="DG141" s="528">
        <v>0</v>
      </c>
      <c r="DH141" s="528">
        <v>-260</v>
      </c>
      <c r="DI141" s="528">
        <v>0</v>
      </c>
      <c r="DJ141" s="528">
        <v>0</v>
      </c>
      <c r="DK141" s="528">
        <v>9187</v>
      </c>
      <c r="DL141" s="528">
        <v>0</v>
      </c>
      <c r="DM141" s="528">
        <v>0</v>
      </c>
      <c r="DN141" s="528">
        <v>0</v>
      </c>
      <c r="DO141" s="528">
        <v>0</v>
      </c>
      <c r="DP141" s="528">
        <v>0</v>
      </c>
      <c r="DQ141" s="529">
        <v>0.02</v>
      </c>
      <c r="DR141" s="530">
        <v>3351027</v>
      </c>
      <c r="DS141" s="531">
        <v>1729168</v>
      </c>
      <c r="DT141" s="530">
        <v>544406</v>
      </c>
      <c r="DU141" s="530">
        <v>85191</v>
      </c>
      <c r="DV141" s="530">
        <v>0</v>
      </c>
      <c r="DW141" s="530">
        <v>0</v>
      </c>
    </row>
    <row r="142" spans="1:127" s="103" customFormat="1">
      <c r="A142" s="525">
        <v>7047</v>
      </c>
      <c r="B142" s="526" t="s">
        <v>759</v>
      </c>
      <c r="C142" s="525">
        <v>7047</v>
      </c>
      <c r="D142" s="527" t="s">
        <v>1284</v>
      </c>
      <c r="E142" s="527" t="s">
        <v>553</v>
      </c>
      <c r="F142" s="527" t="s">
        <v>5</v>
      </c>
      <c r="G142" s="527" t="s">
        <v>535</v>
      </c>
      <c r="H142" s="528">
        <v>1138291.0900000001</v>
      </c>
      <c r="I142" s="528">
        <v>0</v>
      </c>
      <c r="J142" s="528">
        <v>1676516.84</v>
      </c>
      <c r="K142" s="528">
        <v>0</v>
      </c>
      <c r="L142" s="528">
        <v>106120</v>
      </c>
      <c r="M142" s="528">
        <v>33485.43</v>
      </c>
      <c r="N142" s="528">
        <v>0</v>
      </c>
      <c r="O142" s="528">
        <v>0</v>
      </c>
      <c r="P142" s="528">
        <v>413214.2099999999</v>
      </c>
      <c r="Q142" s="528">
        <v>0</v>
      </c>
      <c r="R142" s="528">
        <v>0</v>
      </c>
      <c r="S142" s="528">
        <v>0</v>
      </c>
      <c r="T142" s="528">
        <v>0</v>
      </c>
      <c r="U142" s="528">
        <v>0</v>
      </c>
      <c r="V142" s="528">
        <v>0</v>
      </c>
      <c r="W142" s="528">
        <v>4894.2700000000004</v>
      </c>
      <c r="X142" s="528">
        <v>19013</v>
      </c>
      <c r="Y142" s="528">
        <v>3391534.8400000003</v>
      </c>
      <c r="Z142" s="528">
        <v>1130452.8299999968</v>
      </c>
      <c r="AA142" s="528">
        <v>0</v>
      </c>
      <c r="AB142" s="528">
        <v>827189.33</v>
      </c>
      <c r="AC142" s="528">
        <v>22796.199999998673</v>
      </c>
      <c r="AD142" s="528">
        <v>241007.92</v>
      </c>
      <c r="AE142" s="528">
        <v>0</v>
      </c>
      <c r="AF142" s="528">
        <v>68357.070000000414</v>
      </c>
      <c r="AG142" s="528">
        <v>7194.6300000000701</v>
      </c>
      <c r="AH142" s="528">
        <v>4578</v>
      </c>
      <c r="AI142" s="528">
        <v>0</v>
      </c>
      <c r="AJ142" s="528">
        <v>0</v>
      </c>
      <c r="AK142" s="528">
        <v>36439.640000000007</v>
      </c>
      <c r="AL142" s="528">
        <v>20715.690000000002</v>
      </c>
      <c r="AM142" s="528">
        <v>7204.03</v>
      </c>
      <c r="AN142" s="528">
        <v>4314.3599999999997</v>
      </c>
      <c r="AO142" s="528">
        <v>111163.79000000002</v>
      </c>
      <c r="AP142" s="528">
        <v>0</v>
      </c>
      <c r="AQ142" s="528">
        <v>24093.799999999996</v>
      </c>
      <c r="AR142" s="528">
        <v>201119.67000000004</v>
      </c>
      <c r="AS142" s="528">
        <v>35031.449999999997</v>
      </c>
      <c r="AT142" s="528">
        <v>0</v>
      </c>
      <c r="AU142" s="528">
        <v>32434.38</v>
      </c>
      <c r="AV142" s="528">
        <v>3291.75</v>
      </c>
      <c r="AW142" s="528">
        <v>3228.3199999999997</v>
      </c>
      <c r="AX142" s="528">
        <v>27723.559999999998</v>
      </c>
      <c r="AY142" s="528">
        <v>913802.40999999968</v>
      </c>
      <c r="AZ142" s="528">
        <v>0</v>
      </c>
      <c r="BA142" s="528">
        <v>174378.08000000002</v>
      </c>
      <c r="BB142" s="528">
        <v>0</v>
      </c>
      <c r="BC142" s="528">
        <v>0</v>
      </c>
      <c r="BD142" s="528">
        <v>0</v>
      </c>
      <c r="BE142" s="528">
        <v>3896516.909999995</v>
      </c>
      <c r="BF142" s="528">
        <v>107972.94000000032</v>
      </c>
      <c r="BG142" s="528">
        <v>-504982.06999999471</v>
      </c>
      <c r="BH142" s="528">
        <v>-397009.12999999442</v>
      </c>
      <c r="BI142" s="528">
        <v>21896.129999999997</v>
      </c>
      <c r="BJ142" s="528">
        <v>0</v>
      </c>
      <c r="BK142" s="528">
        <v>0</v>
      </c>
      <c r="BL142" s="528">
        <v>21896.129999999997</v>
      </c>
      <c r="BM142" s="528">
        <v>0</v>
      </c>
      <c r="BN142" s="528">
        <v>0</v>
      </c>
      <c r="BO142" s="528">
        <v>0</v>
      </c>
      <c r="BP142" s="528">
        <v>0</v>
      </c>
      <c r="BQ142" s="528">
        <v>0</v>
      </c>
      <c r="BR142" s="528">
        <v>0</v>
      </c>
      <c r="BS142" s="528">
        <v>21896.129999999997</v>
      </c>
      <c r="BT142" s="528">
        <v>21896.129999999997</v>
      </c>
      <c r="BU142" s="528">
        <v>0</v>
      </c>
      <c r="BV142" s="528">
        <v>0</v>
      </c>
      <c r="BW142" s="528">
        <v>0</v>
      </c>
      <c r="BX142" s="528">
        <v>0</v>
      </c>
      <c r="BY142" s="528">
        <v>0</v>
      </c>
      <c r="BZ142" s="528">
        <v>0</v>
      </c>
      <c r="CA142" s="528">
        <v>0</v>
      </c>
      <c r="CB142" s="528">
        <v>0</v>
      </c>
      <c r="CC142" s="528">
        <v>0</v>
      </c>
      <c r="CD142" s="528">
        <v>-397009.12999999442</v>
      </c>
      <c r="CE142" s="528">
        <v>0</v>
      </c>
      <c r="CF142" s="528">
        <v>21896.129999999997</v>
      </c>
      <c r="CG142" s="528">
        <v>0</v>
      </c>
      <c r="CH142" s="528">
        <v>0</v>
      </c>
      <c r="CI142" s="528">
        <f t="shared" si="2"/>
        <v>-375112.99999999441</v>
      </c>
      <c r="CJ142" s="528">
        <v>30396.46</v>
      </c>
      <c r="CK142" s="528">
        <v>1889.72</v>
      </c>
      <c r="CL142" s="528">
        <v>0</v>
      </c>
      <c r="CM142" s="528">
        <v>28506.739999999998</v>
      </c>
      <c r="CN142" s="528">
        <v>0</v>
      </c>
      <c r="CO142" s="528">
        <v>0</v>
      </c>
      <c r="CP142" s="528">
        <v>29974</v>
      </c>
      <c r="CQ142" s="528">
        <v>0</v>
      </c>
      <c r="CR142" s="528">
        <v>-463952.81999999995</v>
      </c>
      <c r="CS142" s="528">
        <v>-405472.07999999996</v>
      </c>
      <c r="CT142" s="528">
        <v>0</v>
      </c>
      <c r="CU142" s="528">
        <v>0</v>
      </c>
      <c r="CV142" s="528">
        <v>0</v>
      </c>
      <c r="CW142" s="528">
        <v>0</v>
      </c>
      <c r="CX142" s="528"/>
      <c r="CY142" s="528"/>
      <c r="CZ142" s="528"/>
      <c r="DA142" s="528">
        <v>0</v>
      </c>
      <c r="DB142" s="528">
        <v>0</v>
      </c>
      <c r="DC142" s="528">
        <v>54972.45</v>
      </c>
      <c r="DD142" s="528">
        <v>17901.349999999999</v>
      </c>
      <c r="DE142" s="528">
        <v>0</v>
      </c>
      <c r="DF142" s="528">
        <v>0</v>
      </c>
      <c r="DG142" s="528">
        <v>-42514.720000000001</v>
      </c>
      <c r="DH142" s="528">
        <v>0</v>
      </c>
      <c r="DI142" s="528">
        <v>0</v>
      </c>
      <c r="DJ142" s="528">
        <v>0</v>
      </c>
      <c r="DK142" s="528">
        <v>30359.079999999987</v>
      </c>
      <c r="DL142" s="528">
        <v>0</v>
      </c>
      <c r="DM142" s="528">
        <v>0</v>
      </c>
      <c r="DN142" s="528">
        <v>0</v>
      </c>
      <c r="DO142" s="528">
        <v>0</v>
      </c>
      <c r="DP142" s="528">
        <v>0</v>
      </c>
      <c r="DQ142" s="529">
        <v>0</v>
      </c>
      <c r="DR142" s="530">
        <v>2296997.9799999958</v>
      </c>
      <c r="DS142" s="531">
        <v>1599518.9299999992</v>
      </c>
      <c r="DT142" s="530">
        <v>913802.40999999968</v>
      </c>
      <c r="DU142" s="530">
        <v>413214.2099999999</v>
      </c>
      <c r="DV142" s="530">
        <v>0</v>
      </c>
      <c r="DW142" s="530">
        <v>0</v>
      </c>
    </row>
    <row r="143" spans="1:127" s="103" customFormat="1">
      <c r="A143" s="525">
        <v>3410</v>
      </c>
      <c r="B143" s="526" t="s">
        <v>761</v>
      </c>
      <c r="C143" s="525">
        <v>3410</v>
      </c>
      <c r="D143" s="527" t="s">
        <v>1284</v>
      </c>
      <c r="E143" s="527" t="s">
        <v>538</v>
      </c>
      <c r="F143" s="527" t="s">
        <v>5</v>
      </c>
      <c r="G143" s="527" t="s">
        <v>535</v>
      </c>
      <c r="H143" s="528">
        <v>1200749.6200000001</v>
      </c>
      <c r="I143" s="528">
        <v>0</v>
      </c>
      <c r="J143" s="528">
        <v>101960.56</v>
      </c>
      <c r="K143" s="528">
        <v>0</v>
      </c>
      <c r="L143" s="528">
        <v>76400</v>
      </c>
      <c r="M143" s="528">
        <v>1628.22</v>
      </c>
      <c r="N143" s="528">
        <v>0</v>
      </c>
      <c r="O143" s="528">
        <v>0</v>
      </c>
      <c r="P143" s="528">
        <v>81658.760000000038</v>
      </c>
      <c r="Q143" s="528">
        <v>16511</v>
      </c>
      <c r="R143" s="528">
        <v>0</v>
      </c>
      <c r="S143" s="528">
        <v>0</v>
      </c>
      <c r="T143" s="528">
        <v>10805</v>
      </c>
      <c r="U143" s="528">
        <v>0</v>
      </c>
      <c r="V143" s="528">
        <v>0</v>
      </c>
      <c r="W143" s="528">
        <v>1206.05</v>
      </c>
      <c r="X143" s="528">
        <v>49871</v>
      </c>
      <c r="Y143" s="528">
        <v>1540790.2100000002</v>
      </c>
      <c r="Z143" s="528">
        <v>656819.0900000002</v>
      </c>
      <c r="AA143" s="528">
        <v>0</v>
      </c>
      <c r="AB143" s="528">
        <v>244109.31</v>
      </c>
      <c r="AC143" s="528">
        <v>39379.939999999769</v>
      </c>
      <c r="AD143" s="528">
        <v>82428.649999999994</v>
      </c>
      <c r="AE143" s="528">
        <v>0</v>
      </c>
      <c r="AF143" s="528">
        <v>51801.340000000171</v>
      </c>
      <c r="AG143" s="528">
        <v>0</v>
      </c>
      <c r="AH143" s="528">
        <v>7439</v>
      </c>
      <c r="AI143" s="528">
        <v>0</v>
      </c>
      <c r="AJ143" s="528">
        <v>0</v>
      </c>
      <c r="AK143" s="528">
        <v>457.15999999999997</v>
      </c>
      <c r="AL143" s="528">
        <v>0</v>
      </c>
      <c r="AM143" s="528">
        <v>4490.2700000000004</v>
      </c>
      <c r="AN143" s="528">
        <v>0</v>
      </c>
      <c r="AO143" s="528">
        <v>23061</v>
      </c>
      <c r="AP143" s="528">
        <v>3921.97</v>
      </c>
      <c r="AQ143" s="528">
        <v>1970.9299999999998</v>
      </c>
      <c r="AR143" s="528">
        <v>171144.34000000003</v>
      </c>
      <c r="AS143" s="528">
        <v>683.86</v>
      </c>
      <c r="AT143" s="528">
        <v>24.04</v>
      </c>
      <c r="AU143" s="528">
        <v>10805.689999999995</v>
      </c>
      <c r="AV143" s="528">
        <v>9500.73</v>
      </c>
      <c r="AW143" s="528">
        <v>0</v>
      </c>
      <c r="AX143" s="528">
        <v>122415.35</v>
      </c>
      <c r="AY143" s="528">
        <v>0</v>
      </c>
      <c r="AZ143" s="528">
        <v>5139.3500000000004</v>
      </c>
      <c r="BA143" s="528">
        <v>80601.78</v>
      </c>
      <c r="BB143" s="528">
        <v>0</v>
      </c>
      <c r="BC143" s="528">
        <v>0</v>
      </c>
      <c r="BD143" s="528">
        <v>0</v>
      </c>
      <c r="BE143" s="528">
        <v>1516193.8000000003</v>
      </c>
      <c r="BF143" s="528">
        <v>200024.57000000018</v>
      </c>
      <c r="BG143" s="528">
        <v>24596.409999999916</v>
      </c>
      <c r="BH143" s="528">
        <v>224620.9800000001</v>
      </c>
      <c r="BI143" s="528">
        <v>0</v>
      </c>
      <c r="BJ143" s="528">
        <v>0</v>
      </c>
      <c r="BK143" s="528">
        <v>0</v>
      </c>
      <c r="BL143" s="528">
        <v>0</v>
      </c>
      <c r="BM143" s="528">
        <v>0</v>
      </c>
      <c r="BN143" s="528">
        <v>0</v>
      </c>
      <c r="BO143" s="528">
        <v>0</v>
      </c>
      <c r="BP143" s="528">
        <v>0</v>
      </c>
      <c r="BQ143" s="528">
        <v>0</v>
      </c>
      <c r="BR143" s="528">
        <v>0</v>
      </c>
      <c r="BS143" s="528">
        <v>0</v>
      </c>
      <c r="BT143" s="528">
        <v>0</v>
      </c>
      <c r="BU143" s="528">
        <v>0</v>
      </c>
      <c r="BV143" s="528">
        <v>0</v>
      </c>
      <c r="BW143" s="528">
        <v>0</v>
      </c>
      <c r="BX143" s="528">
        <v>0</v>
      </c>
      <c r="BY143" s="528">
        <v>0</v>
      </c>
      <c r="BZ143" s="528">
        <v>0</v>
      </c>
      <c r="CA143" s="528">
        <v>0</v>
      </c>
      <c r="CB143" s="528">
        <v>0</v>
      </c>
      <c r="CC143" s="528">
        <v>0</v>
      </c>
      <c r="CD143" s="528">
        <v>224620.9800000001</v>
      </c>
      <c r="CE143" s="528">
        <v>0</v>
      </c>
      <c r="CF143" s="528">
        <v>0</v>
      </c>
      <c r="CG143" s="528">
        <v>0</v>
      </c>
      <c r="CH143" s="528">
        <v>0</v>
      </c>
      <c r="CI143" s="528">
        <f t="shared" si="2"/>
        <v>224620.9800000001</v>
      </c>
      <c r="CJ143" s="528">
        <v>112140.55</v>
      </c>
      <c r="CK143" s="528">
        <v>0</v>
      </c>
      <c r="CL143" s="528">
        <v>0</v>
      </c>
      <c r="CM143" s="528">
        <v>112140.55</v>
      </c>
      <c r="CN143" s="528">
        <v>0</v>
      </c>
      <c r="CO143" s="528">
        <v>0</v>
      </c>
      <c r="CP143" s="528">
        <v>2456.73</v>
      </c>
      <c r="CQ143" s="528">
        <v>2688.55</v>
      </c>
      <c r="CR143" s="528">
        <v>122158.42</v>
      </c>
      <c r="CS143" s="528">
        <v>239444.25</v>
      </c>
      <c r="CT143" s="528">
        <v>0</v>
      </c>
      <c r="CU143" s="528">
        <v>0</v>
      </c>
      <c r="CV143" s="528">
        <v>0</v>
      </c>
      <c r="CW143" s="528">
        <v>0</v>
      </c>
      <c r="CX143" s="528"/>
      <c r="CY143" s="528"/>
      <c r="CZ143" s="528"/>
      <c r="DA143" s="528">
        <v>0</v>
      </c>
      <c r="DB143" s="528">
        <v>0</v>
      </c>
      <c r="DC143" s="528">
        <v>0</v>
      </c>
      <c r="DD143" s="528">
        <v>6289</v>
      </c>
      <c r="DE143" s="528">
        <v>0</v>
      </c>
      <c r="DF143" s="528">
        <v>0</v>
      </c>
      <c r="DG143" s="528">
        <v>0</v>
      </c>
      <c r="DH143" s="528">
        <v>-21112.27</v>
      </c>
      <c r="DI143" s="528">
        <v>0</v>
      </c>
      <c r="DJ143" s="528">
        <v>0</v>
      </c>
      <c r="DK143" s="528">
        <v>-14823.27</v>
      </c>
      <c r="DL143" s="528">
        <v>0</v>
      </c>
      <c r="DM143" s="528">
        <v>0</v>
      </c>
      <c r="DN143" s="528">
        <v>0</v>
      </c>
      <c r="DO143" s="528">
        <v>0</v>
      </c>
      <c r="DP143" s="528">
        <v>0</v>
      </c>
      <c r="DQ143" s="529">
        <v>0</v>
      </c>
      <c r="DR143" s="530">
        <v>1074538.33</v>
      </c>
      <c r="DS143" s="531">
        <v>441655.4700000002</v>
      </c>
      <c r="DT143" s="530">
        <v>0</v>
      </c>
      <c r="DU143" s="530">
        <v>108974.76000000004</v>
      </c>
      <c r="DV143" s="530">
        <v>0</v>
      </c>
      <c r="DW143" s="530">
        <v>0</v>
      </c>
    </row>
    <row r="144" spans="1:127" s="103" customFormat="1">
      <c r="A144" s="525">
        <v>3381</v>
      </c>
      <c r="B144" s="526" t="s">
        <v>763</v>
      </c>
      <c r="C144" s="525">
        <v>3381</v>
      </c>
      <c r="D144" s="527" t="s">
        <v>1284</v>
      </c>
      <c r="E144" s="527" t="s">
        <v>538</v>
      </c>
      <c r="F144" s="527" t="s">
        <v>5</v>
      </c>
      <c r="G144" s="527" t="s">
        <v>535</v>
      </c>
      <c r="H144" s="528">
        <v>1177003.24</v>
      </c>
      <c r="I144" s="528">
        <v>0</v>
      </c>
      <c r="J144" s="528">
        <v>32834.18</v>
      </c>
      <c r="K144" s="528">
        <v>0</v>
      </c>
      <c r="L144" s="528">
        <v>103160</v>
      </c>
      <c r="M144" s="528">
        <v>0</v>
      </c>
      <c r="N144" s="528">
        <v>10401.9</v>
      </c>
      <c r="O144" s="528">
        <v>0</v>
      </c>
      <c r="P144" s="528">
        <v>34629.959999999992</v>
      </c>
      <c r="Q144" s="528">
        <v>401.76000000000005</v>
      </c>
      <c r="R144" s="528">
        <v>0</v>
      </c>
      <c r="S144" s="528">
        <v>0</v>
      </c>
      <c r="T144" s="528">
        <v>16713.010000000002</v>
      </c>
      <c r="U144" s="528">
        <v>0</v>
      </c>
      <c r="V144" s="528">
        <v>0</v>
      </c>
      <c r="W144" s="528">
        <v>5634.58</v>
      </c>
      <c r="X144" s="528">
        <v>47531</v>
      </c>
      <c r="Y144" s="528">
        <v>1428309.63</v>
      </c>
      <c r="Z144" s="528">
        <v>666650.35000000033</v>
      </c>
      <c r="AA144" s="528">
        <v>0</v>
      </c>
      <c r="AB144" s="528">
        <v>221133.86</v>
      </c>
      <c r="AC144" s="528">
        <v>612.78999999974621</v>
      </c>
      <c r="AD144" s="528">
        <v>180805.24</v>
      </c>
      <c r="AE144" s="528">
        <v>0</v>
      </c>
      <c r="AF144" s="528">
        <v>26794.209999999992</v>
      </c>
      <c r="AG144" s="528">
        <v>49.840000000001965</v>
      </c>
      <c r="AH144" s="528">
        <v>1765.1</v>
      </c>
      <c r="AI144" s="528">
        <v>0</v>
      </c>
      <c r="AJ144" s="528">
        <v>0</v>
      </c>
      <c r="AK144" s="528">
        <v>1966.69</v>
      </c>
      <c r="AL144" s="528">
        <v>1702.55</v>
      </c>
      <c r="AM144" s="528">
        <v>2563.63</v>
      </c>
      <c r="AN144" s="528">
        <v>2404.17</v>
      </c>
      <c r="AO144" s="528">
        <v>19778.48</v>
      </c>
      <c r="AP144" s="528">
        <v>3974.98</v>
      </c>
      <c r="AQ144" s="528">
        <v>7829.2</v>
      </c>
      <c r="AR144" s="528">
        <v>87755.35</v>
      </c>
      <c r="AS144" s="528">
        <v>6323.09</v>
      </c>
      <c r="AT144" s="528">
        <v>0</v>
      </c>
      <c r="AU144" s="528">
        <v>13339.8</v>
      </c>
      <c r="AV144" s="528">
        <v>0</v>
      </c>
      <c r="AW144" s="528">
        <v>0</v>
      </c>
      <c r="AX144" s="528">
        <v>98961.010000000009</v>
      </c>
      <c r="AY144" s="528">
        <v>578.53</v>
      </c>
      <c r="AZ144" s="528">
        <v>58843.470000000008</v>
      </c>
      <c r="BA144" s="528">
        <v>0</v>
      </c>
      <c r="BB144" s="528">
        <v>130</v>
      </c>
      <c r="BC144" s="528">
        <v>0</v>
      </c>
      <c r="BD144" s="528">
        <v>218.4</v>
      </c>
      <c r="BE144" s="528">
        <v>1404180.74</v>
      </c>
      <c r="BF144" s="528">
        <v>18021.779999999904</v>
      </c>
      <c r="BG144" s="528">
        <v>24128.889999999898</v>
      </c>
      <c r="BH144" s="528">
        <v>42150.669999999802</v>
      </c>
      <c r="BI144" s="528">
        <v>0</v>
      </c>
      <c r="BJ144" s="528">
        <v>0</v>
      </c>
      <c r="BK144" s="528">
        <v>218.4</v>
      </c>
      <c r="BL144" s="528">
        <v>218.4</v>
      </c>
      <c r="BM144" s="528">
        <v>0</v>
      </c>
      <c r="BN144" s="528">
        <v>218.4</v>
      </c>
      <c r="BO144" s="528">
        <v>0</v>
      </c>
      <c r="BP144" s="528">
        <v>0</v>
      </c>
      <c r="BQ144" s="528">
        <v>218.4</v>
      </c>
      <c r="BR144" s="528">
        <v>0</v>
      </c>
      <c r="BS144" s="528">
        <v>0</v>
      </c>
      <c r="BT144" s="528">
        <v>0</v>
      </c>
      <c r="BU144" s="528">
        <v>0</v>
      </c>
      <c r="BV144" s="528">
        <v>0</v>
      </c>
      <c r="BW144" s="528">
        <v>0</v>
      </c>
      <c r="BX144" s="528">
        <v>0</v>
      </c>
      <c r="BY144" s="528">
        <v>0</v>
      </c>
      <c r="BZ144" s="528">
        <v>0</v>
      </c>
      <c r="CA144" s="528">
        <v>0</v>
      </c>
      <c r="CB144" s="528">
        <v>0</v>
      </c>
      <c r="CC144" s="528">
        <v>0</v>
      </c>
      <c r="CD144" s="528">
        <v>42150.669999999802</v>
      </c>
      <c r="CE144" s="528">
        <v>0</v>
      </c>
      <c r="CF144" s="528">
        <v>0</v>
      </c>
      <c r="CG144" s="528">
        <v>0</v>
      </c>
      <c r="CH144" s="528">
        <v>0</v>
      </c>
      <c r="CI144" s="528">
        <f t="shared" si="2"/>
        <v>42150.669999999802</v>
      </c>
      <c r="CJ144" s="528">
        <v>176802</v>
      </c>
      <c r="CK144" s="528">
        <v>8786</v>
      </c>
      <c r="CL144" s="528">
        <v>0</v>
      </c>
      <c r="CM144" s="528">
        <v>168016</v>
      </c>
      <c r="CN144" s="528">
        <v>0</v>
      </c>
      <c r="CO144" s="528">
        <v>0</v>
      </c>
      <c r="CP144" s="528">
        <v>701</v>
      </c>
      <c r="CQ144" s="528">
        <v>0</v>
      </c>
      <c r="CR144" s="528">
        <v>-109399</v>
      </c>
      <c r="CS144" s="528">
        <v>59318</v>
      </c>
      <c r="CT144" s="528">
        <v>0</v>
      </c>
      <c r="CU144" s="528">
        <v>0</v>
      </c>
      <c r="CV144" s="528">
        <v>0</v>
      </c>
      <c r="CW144" s="528">
        <v>0</v>
      </c>
      <c r="CX144" s="528"/>
      <c r="CY144" s="528"/>
      <c r="CZ144" s="528"/>
      <c r="DA144" s="528">
        <v>0</v>
      </c>
      <c r="DB144" s="528">
        <v>0</v>
      </c>
      <c r="DC144" s="528">
        <v>11460.07</v>
      </c>
      <c r="DD144" s="528">
        <v>304.54000000000002</v>
      </c>
      <c r="DE144" s="528">
        <v>0</v>
      </c>
      <c r="DF144" s="528">
        <v>0</v>
      </c>
      <c r="DG144" s="528">
        <v>-5817.85</v>
      </c>
      <c r="DH144" s="528">
        <v>-21953.81</v>
      </c>
      <c r="DI144" s="528">
        <v>0</v>
      </c>
      <c r="DJ144" s="528">
        <v>0</v>
      </c>
      <c r="DK144" s="528">
        <v>-16007.050000000001</v>
      </c>
      <c r="DL144" s="528">
        <v>0</v>
      </c>
      <c r="DM144" s="528">
        <v>0</v>
      </c>
      <c r="DN144" s="528">
        <v>-1160</v>
      </c>
      <c r="DO144" s="528">
        <v>0</v>
      </c>
      <c r="DP144" s="528">
        <v>0</v>
      </c>
      <c r="DQ144" s="529">
        <v>-0.27999999999883585</v>
      </c>
      <c r="DR144" s="530">
        <v>1096046.29</v>
      </c>
      <c r="DS144" s="531">
        <v>308134.44999999995</v>
      </c>
      <c r="DT144" s="530">
        <v>578.53</v>
      </c>
      <c r="DU144" s="530">
        <v>51744.729999999996</v>
      </c>
      <c r="DV144" s="530">
        <v>0</v>
      </c>
      <c r="DW144" s="530">
        <v>-1160</v>
      </c>
    </row>
    <row r="145" spans="1:127" s="103" customFormat="1">
      <c r="A145" s="525">
        <v>3380</v>
      </c>
      <c r="B145" s="526" t="s">
        <v>871</v>
      </c>
      <c r="C145" s="525">
        <v>3380</v>
      </c>
      <c r="D145" s="527" t="s">
        <v>1284</v>
      </c>
      <c r="E145" s="527" t="s">
        <v>538</v>
      </c>
      <c r="F145" s="527" t="s">
        <v>5</v>
      </c>
      <c r="G145" s="527" t="s">
        <v>957</v>
      </c>
      <c r="H145" s="528">
        <v>1104507.55</v>
      </c>
      <c r="I145" s="528">
        <v>0</v>
      </c>
      <c r="J145" s="528">
        <v>69701.94</v>
      </c>
      <c r="K145" s="528">
        <v>0</v>
      </c>
      <c r="L145" s="528">
        <v>68390</v>
      </c>
      <c r="M145" s="528">
        <v>0</v>
      </c>
      <c r="N145" s="528">
        <v>0</v>
      </c>
      <c r="O145" s="528">
        <v>0</v>
      </c>
      <c r="P145" s="528">
        <v>34276.479999999989</v>
      </c>
      <c r="Q145" s="528">
        <v>29476.890000000003</v>
      </c>
      <c r="R145" s="528">
        <v>0</v>
      </c>
      <c r="S145" s="528">
        <v>0</v>
      </c>
      <c r="T145" s="528">
        <v>55018.18</v>
      </c>
      <c r="U145" s="528">
        <v>0</v>
      </c>
      <c r="V145" s="528">
        <v>0</v>
      </c>
      <c r="W145" s="528">
        <v>1180.83</v>
      </c>
      <c r="X145" s="528">
        <v>46781</v>
      </c>
      <c r="Y145" s="528">
        <v>1409332.8699999999</v>
      </c>
      <c r="Z145" s="528">
        <v>587519.89000000083</v>
      </c>
      <c r="AA145" s="528">
        <v>0</v>
      </c>
      <c r="AB145" s="528">
        <v>261232.55</v>
      </c>
      <c r="AC145" s="528">
        <v>51358.150000000198</v>
      </c>
      <c r="AD145" s="528">
        <v>97894</v>
      </c>
      <c r="AE145" s="528">
        <v>0</v>
      </c>
      <c r="AF145" s="528">
        <v>82922.370000000083</v>
      </c>
      <c r="AG145" s="528">
        <v>7740.0000000000036</v>
      </c>
      <c r="AH145" s="528">
        <v>200</v>
      </c>
      <c r="AI145" s="528">
        <v>0</v>
      </c>
      <c r="AJ145" s="528">
        <v>0</v>
      </c>
      <c r="AK145" s="528">
        <v>56980.94</v>
      </c>
      <c r="AL145" s="528">
        <v>3865</v>
      </c>
      <c r="AM145" s="528">
        <v>1954.11</v>
      </c>
      <c r="AN145" s="528">
        <v>9068.56</v>
      </c>
      <c r="AO145" s="528">
        <v>37200.930000000008</v>
      </c>
      <c r="AP145" s="528">
        <v>3338.98</v>
      </c>
      <c r="AQ145" s="528">
        <v>7316.25</v>
      </c>
      <c r="AR145" s="528">
        <v>135886.23000000001</v>
      </c>
      <c r="AS145" s="528">
        <v>21171.87</v>
      </c>
      <c r="AT145" s="528">
        <v>0</v>
      </c>
      <c r="AU145" s="528">
        <v>20373.559999999965</v>
      </c>
      <c r="AV145" s="528">
        <v>0</v>
      </c>
      <c r="AW145" s="528">
        <v>0</v>
      </c>
      <c r="AX145" s="528">
        <v>110097.70000000001</v>
      </c>
      <c r="AY145" s="528">
        <v>9035.41</v>
      </c>
      <c r="AZ145" s="528">
        <v>7449.49</v>
      </c>
      <c r="BA145" s="528">
        <v>38290.589999999997</v>
      </c>
      <c r="BB145" s="528">
        <v>0</v>
      </c>
      <c r="BC145" s="528">
        <v>0</v>
      </c>
      <c r="BD145" s="528">
        <v>0</v>
      </c>
      <c r="BE145" s="528">
        <v>1550896.5800000012</v>
      </c>
      <c r="BF145" s="528">
        <v>32697.650000000205</v>
      </c>
      <c r="BG145" s="528">
        <v>-141563.71000000136</v>
      </c>
      <c r="BH145" s="528">
        <v>-108866.06000000116</v>
      </c>
      <c r="BI145" s="528">
        <v>0</v>
      </c>
      <c r="BJ145" s="528">
        <v>0</v>
      </c>
      <c r="BK145" s="528">
        <v>0</v>
      </c>
      <c r="BL145" s="528">
        <v>0</v>
      </c>
      <c r="BM145" s="528">
        <v>0</v>
      </c>
      <c r="BN145" s="528">
        <v>0</v>
      </c>
      <c r="BO145" s="528">
        <v>0</v>
      </c>
      <c r="BP145" s="528">
        <v>0</v>
      </c>
      <c r="BQ145" s="528">
        <v>0</v>
      </c>
      <c r="BR145" s="528">
        <v>0</v>
      </c>
      <c r="BS145" s="528">
        <v>0</v>
      </c>
      <c r="BT145" s="528">
        <v>0</v>
      </c>
      <c r="BU145" s="528">
        <v>0</v>
      </c>
      <c r="BV145" s="528">
        <v>0</v>
      </c>
      <c r="BW145" s="528">
        <v>0</v>
      </c>
      <c r="BX145" s="528">
        <v>0</v>
      </c>
      <c r="BY145" s="528">
        <v>0</v>
      </c>
      <c r="BZ145" s="528">
        <v>0</v>
      </c>
      <c r="CA145" s="528">
        <v>0</v>
      </c>
      <c r="CB145" s="528">
        <v>0</v>
      </c>
      <c r="CC145" s="528">
        <v>0</v>
      </c>
      <c r="CD145" s="528">
        <v>-108866.06000000116</v>
      </c>
      <c r="CE145" s="528">
        <v>0</v>
      </c>
      <c r="CF145" s="528">
        <v>0</v>
      </c>
      <c r="CG145" s="528">
        <v>0</v>
      </c>
      <c r="CH145" s="528">
        <v>0</v>
      </c>
      <c r="CI145" s="528">
        <f t="shared" si="2"/>
        <v>-108866.06000000116</v>
      </c>
      <c r="CJ145" s="528">
        <v>0</v>
      </c>
      <c r="CK145" s="528">
        <v>0</v>
      </c>
      <c r="CL145" s="528">
        <v>0</v>
      </c>
      <c r="CM145" s="528">
        <v>0</v>
      </c>
      <c r="CN145" s="528">
        <v>0</v>
      </c>
      <c r="CO145" s="528">
        <v>0</v>
      </c>
      <c r="CP145" s="528">
        <v>0</v>
      </c>
      <c r="CQ145" s="528">
        <v>0</v>
      </c>
      <c r="CR145" s="528">
        <v>0</v>
      </c>
      <c r="CS145" s="528">
        <v>0</v>
      </c>
      <c r="CT145" s="528">
        <v>0</v>
      </c>
      <c r="CU145" s="528">
        <v>0</v>
      </c>
      <c r="CV145" s="528">
        <v>0</v>
      </c>
      <c r="CW145" s="528">
        <v>0</v>
      </c>
      <c r="CX145" s="528"/>
      <c r="CY145" s="528"/>
      <c r="CZ145" s="528"/>
      <c r="DA145" s="528">
        <v>-77301.940000001196</v>
      </c>
      <c r="DB145" s="528">
        <v>-77301.940000001196</v>
      </c>
      <c r="DC145" s="528">
        <v>0</v>
      </c>
      <c r="DD145" s="528">
        <v>1502.84</v>
      </c>
      <c r="DE145" s="528">
        <v>0</v>
      </c>
      <c r="DF145" s="528">
        <v>0</v>
      </c>
      <c r="DG145" s="528">
        <v>-2450</v>
      </c>
      <c r="DH145" s="528">
        <v>-30616.959999999999</v>
      </c>
      <c r="DI145" s="528">
        <v>0</v>
      </c>
      <c r="DJ145" s="528">
        <v>0</v>
      </c>
      <c r="DK145" s="528">
        <v>-31564.12</v>
      </c>
      <c r="DL145" s="528">
        <v>0</v>
      </c>
      <c r="DM145" s="528">
        <v>0</v>
      </c>
      <c r="DN145" s="528">
        <v>0</v>
      </c>
      <c r="DO145" s="528">
        <v>0</v>
      </c>
      <c r="DP145" s="528">
        <v>0</v>
      </c>
      <c r="DQ145" s="529">
        <v>1.1932570487260818E-9</v>
      </c>
      <c r="DR145" s="530">
        <v>1088666.9600000011</v>
      </c>
      <c r="DS145" s="531">
        <v>462229.62000000011</v>
      </c>
      <c r="DT145" s="530">
        <v>9035.41</v>
      </c>
      <c r="DU145" s="530">
        <v>118771.54999999999</v>
      </c>
      <c r="DV145" s="530">
        <v>0</v>
      </c>
      <c r="DW145" s="530">
        <v>0</v>
      </c>
    </row>
    <row r="146" spans="1:127" s="103" customFormat="1">
      <c r="A146" s="525">
        <v>3335</v>
      </c>
      <c r="B146" s="526" t="s">
        <v>765</v>
      </c>
      <c r="C146" s="525">
        <v>3335</v>
      </c>
      <c r="D146" s="527" t="s">
        <v>1284</v>
      </c>
      <c r="E146" s="527" t="s">
        <v>538</v>
      </c>
      <c r="F146" s="527" t="s">
        <v>5</v>
      </c>
      <c r="G146" s="527" t="s">
        <v>535</v>
      </c>
      <c r="H146" s="528">
        <v>1361886</v>
      </c>
      <c r="I146" s="528">
        <v>0</v>
      </c>
      <c r="J146" s="528">
        <v>95035.03</v>
      </c>
      <c r="K146" s="528">
        <v>0</v>
      </c>
      <c r="L146" s="528">
        <v>183520</v>
      </c>
      <c r="M146" s="528">
        <v>1056.93</v>
      </c>
      <c r="N146" s="528">
        <v>1800</v>
      </c>
      <c r="O146" s="528">
        <v>4770.1399999999994</v>
      </c>
      <c r="P146" s="528">
        <v>21313.43</v>
      </c>
      <c r="Q146" s="528">
        <v>1006.0099999999984</v>
      </c>
      <c r="R146" s="528">
        <v>0</v>
      </c>
      <c r="S146" s="528">
        <v>0</v>
      </c>
      <c r="T146" s="528">
        <v>8435.66</v>
      </c>
      <c r="U146" s="528">
        <v>12030.07</v>
      </c>
      <c r="V146" s="528">
        <v>0</v>
      </c>
      <c r="W146" s="528">
        <v>10142.92</v>
      </c>
      <c r="X146" s="528">
        <v>32461</v>
      </c>
      <c r="Y146" s="528">
        <v>1733457.1899999997</v>
      </c>
      <c r="Z146" s="528">
        <v>782520.70999999857</v>
      </c>
      <c r="AA146" s="528">
        <v>0</v>
      </c>
      <c r="AB146" s="528">
        <v>174725.18</v>
      </c>
      <c r="AC146" s="528">
        <v>48979.049999999639</v>
      </c>
      <c r="AD146" s="528">
        <v>135975.10999999999</v>
      </c>
      <c r="AE146" s="528">
        <v>0</v>
      </c>
      <c r="AF146" s="528">
        <v>17250.320000000036</v>
      </c>
      <c r="AG146" s="528">
        <v>-194.73000000000047</v>
      </c>
      <c r="AH146" s="528">
        <v>0</v>
      </c>
      <c r="AI146" s="528">
        <v>0</v>
      </c>
      <c r="AJ146" s="528">
        <v>0</v>
      </c>
      <c r="AK146" s="528">
        <v>18375.989999999998</v>
      </c>
      <c r="AL146" s="528">
        <v>7821.8</v>
      </c>
      <c r="AM146" s="528">
        <v>19205.510000000002</v>
      </c>
      <c r="AN146" s="528">
        <v>3814.66</v>
      </c>
      <c r="AO146" s="528">
        <v>28249.570000000007</v>
      </c>
      <c r="AP146" s="528">
        <v>5246.96</v>
      </c>
      <c r="AQ146" s="528">
        <v>32592.710000000003</v>
      </c>
      <c r="AR146" s="528">
        <v>84705.050000000047</v>
      </c>
      <c r="AS146" s="528">
        <v>691.13</v>
      </c>
      <c r="AT146" s="528">
        <v>0</v>
      </c>
      <c r="AU146" s="528">
        <v>30288.949999999993</v>
      </c>
      <c r="AV146" s="528">
        <v>5139.75</v>
      </c>
      <c r="AW146" s="528">
        <v>10230</v>
      </c>
      <c r="AX146" s="528">
        <v>109746.61000000002</v>
      </c>
      <c r="AY146" s="528">
        <v>82895.909999999989</v>
      </c>
      <c r="AZ146" s="528">
        <v>16724.120000000003</v>
      </c>
      <c r="BA146" s="528">
        <v>226594.95</v>
      </c>
      <c r="BB146" s="528">
        <v>2700</v>
      </c>
      <c r="BC146" s="528">
        <v>0</v>
      </c>
      <c r="BD146" s="528">
        <v>0</v>
      </c>
      <c r="BE146" s="528">
        <v>1844279.309999998</v>
      </c>
      <c r="BF146" s="528">
        <v>5400.4000000001761</v>
      </c>
      <c r="BG146" s="528">
        <v>-110822.11999999825</v>
      </c>
      <c r="BH146" s="528">
        <v>-105421.71999999808</v>
      </c>
      <c r="BI146" s="528">
        <v>0</v>
      </c>
      <c r="BJ146" s="528">
        <v>0</v>
      </c>
      <c r="BK146" s="528">
        <v>0</v>
      </c>
      <c r="BL146" s="528">
        <v>0</v>
      </c>
      <c r="BM146" s="528">
        <v>0</v>
      </c>
      <c r="BN146" s="528">
        <v>0</v>
      </c>
      <c r="BO146" s="528">
        <v>0</v>
      </c>
      <c r="BP146" s="528">
        <v>0</v>
      </c>
      <c r="BQ146" s="528">
        <v>0</v>
      </c>
      <c r="BR146" s="528">
        <v>0</v>
      </c>
      <c r="BS146" s="528">
        <v>0</v>
      </c>
      <c r="BT146" s="528">
        <v>0</v>
      </c>
      <c r="BU146" s="528">
        <v>0</v>
      </c>
      <c r="BV146" s="528">
        <v>0</v>
      </c>
      <c r="BW146" s="528">
        <v>0</v>
      </c>
      <c r="BX146" s="528">
        <v>0</v>
      </c>
      <c r="BY146" s="528">
        <v>0</v>
      </c>
      <c r="BZ146" s="528">
        <v>0</v>
      </c>
      <c r="CA146" s="528">
        <v>0</v>
      </c>
      <c r="CB146" s="528">
        <v>0</v>
      </c>
      <c r="CC146" s="528">
        <v>0</v>
      </c>
      <c r="CD146" s="528">
        <v>-105421.71999999808</v>
      </c>
      <c r="CE146" s="528">
        <v>0</v>
      </c>
      <c r="CF146" s="528">
        <v>0</v>
      </c>
      <c r="CG146" s="528">
        <v>0</v>
      </c>
      <c r="CH146" s="528">
        <v>0</v>
      </c>
      <c r="CI146" s="528">
        <f t="shared" si="2"/>
        <v>-105421.71999999808</v>
      </c>
      <c r="CJ146" s="528">
        <v>130271.46</v>
      </c>
      <c r="CK146" s="528">
        <v>0</v>
      </c>
      <c r="CL146" s="528">
        <v>0</v>
      </c>
      <c r="CM146" s="528">
        <v>130271.46</v>
      </c>
      <c r="CN146" s="528">
        <v>0</v>
      </c>
      <c r="CO146" s="528">
        <v>0</v>
      </c>
      <c r="CP146" s="528">
        <v>8561.19</v>
      </c>
      <c r="CQ146" s="528">
        <v>0</v>
      </c>
      <c r="CR146" s="528">
        <v>-230268.36000000002</v>
      </c>
      <c r="CS146" s="528">
        <v>-91435.710000000021</v>
      </c>
      <c r="CT146" s="528">
        <v>0</v>
      </c>
      <c r="CU146" s="528">
        <v>0</v>
      </c>
      <c r="CV146" s="528">
        <v>0</v>
      </c>
      <c r="CW146" s="528">
        <v>0</v>
      </c>
      <c r="CX146" s="528"/>
      <c r="CY146" s="528"/>
      <c r="CZ146" s="528"/>
      <c r="DA146" s="528">
        <v>0</v>
      </c>
      <c r="DB146" s="528">
        <v>0</v>
      </c>
      <c r="DC146" s="528">
        <v>35903.5</v>
      </c>
      <c r="DD146" s="528">
        <v>346.33</v>
      </c>
      <c r="DE146" s="528">
        <v>0</v>
      </c>
      <c r="DF146" s="528">
        <v>0</v>
      </c>
      <c r="DG146" s="528">
        <v>-21323.34</v>
      </c>
      <c r="DH146" s="528">
        <v>-28912.32</v>
      </c>
      <c r="DI146" s="528">
        <v>0</v>
      </c>
      <c r="DJ146" s="528">
        <v>0</v>
      </c>
      <c r="DK146" s="528">
        <v>-13985.829999999998</v>
      </c>
      <c r="DL146" s="528">
        <v>0</v>
      </c>
      <c r="DM146" s="528">
        <v>0</v>
      </c>
      <c r="DN146" s="528">
        <v>0</v>
      </c>
      <c r="DO146" s="528">
        <v>0</v>
      </c>
      <c r="DP146" s="528">
        <v>0</v>
      </c>
      <c r="DQ146" s="529">
        <v>-0.17999999997846317</v>
      </c>
      <c r="DR146" s="530">
        <v>1159255.639999998</v>
      </c>
      <c r="DS146" s="531">
        <v>685023.66999999993</v>
      </c>
      <c r="DT146" s="530">
        <v>82895.909999999989</v>
      </c>
      <c r="DU146" s="530">
        <v>35525.24</v>
      </c>
      <c r="DV146" s="530">
        <v>12030.07</v>
      </c>
      <c r="DW146" s="530">
        <v>0</v>
      </c>
    </row>
    <row r="147" spans="1:127" s="103" customFormat="1">
      <c r="A147" s="525">
        <v>3329</v>
      </c>
      <c r="B147" s="526" t="s">
        <v>919</v>
      </c>
      <c r="C147" s="525">
        <v>3329</v>
      </c>
      <c r="D147" s="527" t="s">
        <v>1284</v>
      </c>
      <c r="E147" s="527" t="s">
        <v>538</v>
      </c>
      <c r="F147" s="527" t="s">
        <v>5</v>
      </c>
      <c r="G147" s="527" t="s">
        <v>958</v>
      </c>
      <c r="H147" s="528">
        <v>1395185.99</v>
      </c>
      <c r="I147" s="528">
        <v>0</v>
      </c>
      <c r="J147" s="528">
        <v>109209.64</v>
      </c>
      <c r="K147" s="528">
        <v>0</v>
      </c>
      <c r="L147" s="528">
        <v>141690</v>
      </c>
      <c r="M147" s="528">
        <v>0</v>
      </c>
      <c r="N147" s="528">
        <v>0</v>
      </c>
      <c r="O147" s="528">
        <v>0</v>
      </c>
      <c r="P147" s="528">
        <v>16076.300000000008</v>
      </c>
      <c r="Q147" s="528">
        <v>0</v>
      </c>
      <c r="R147" s="528">
        <v>0</v>
      </c>
      <c r="S147" s="528">
        <v>0</v>
      </c>
      <c r="T147" s="528">
        <v>12561.95</v>
      </c>
      <c r="U147" s="528">
        <v>0</v>
      </c>
      <c r="V147" s="528">
        <v>0</v>
      </c>
      <c r="W147" s="528">
        <v>6772.5</v>
      </c>
      <c r="X147" s="528">
        <v>40754</v>
      </c>
      <c r="Y147" s="528">
        <v>1722250.38</v>
      </c>
      <c r="Z147" s="528">
        <v>670393.95000000019</v>
      </c>
      <c r="AA147" s="528">
        <v>5418.2000000000007</v>
      </c>
      <c r="AB147" s="528">
        <v>4522.7299999999996</v>
      </c>
      <c r="AC147" s="528">
        <v>351832.99000000081</v>
      </c>
      <c r="AD147" s="528">
        <v>3059.0600000000004</v>
      </c>
      <c r="AE147" s="528">
        <v>0</v>
      </c>
      <c r="AF147" s="528">
        <v>275931.6299999996</v>
      </c>
      <c r="AG147" s="528">
        <v>-1341.269999999995</v>
      </c>
      <c r="AH147" s="528">
        <v>6546</v>
      </c>
      <c r="AI147" s="528">
        <v>0</v>
      </c>
      <c r="AJ147" s="528">
        <v>0</v>
      </c>
      <c r="AK147" s="528">
        <v>18584.900000000001</v>
      </c>
      <c r="AL147" s="528">
        <v>1641.67</v>
      </c>
      <c r="AM147" s="528">
        <v>1869.3499999999997</v>
      </c>
      <c r="AN147" s="528">
        <v>2577.1999999999998</v>
      </c>
      <c r="AO147" s="528">
        <v>30946.47</v>
      </c>
      <c r="AP147" s="528">
        <v>3444.98</v>
      </c>
      <c r="AQ147" s="528">
        <v>6987.23</v>
      </c>
      <c r="AR147" s="528">
        <v>40111.01999999999</v>
      </c>
      <c r="AS147" s="528">
        <v>25187.120000000003</v>
      </c>
      <c r="AT147" s="528">
        <v>310.29999999999995</v>
      </c>
      <c r="AU147" s="528">
        <v>23807.000000000004</v>
      </c>
      <c r="AV147" s="528">
        <v>5139.75</v>
      </c>
      <c r="AW147" s="528">
        <v>0</v>
      </c>
      <c r="AX147" s="528">
        <v>110930.74</v>
      </c>
      <c r="AY147" s="528">
        <v>40791.57</v>
      </c>
      <c r="AZ147" s="528">
        <v>5214.5600000000004</v>
      </c>
      <c r="BA147" s="528">
        <v>101827.15999999999</v>
      </c>
      <c r="BB147" s="528">
        <v>0</v>
      </c>
      <c r="BC147" s="528">
        <v>0</v>
      </c>
      <c r="BD147" s="528">
        <v>0</v>
      </c>
      <c r="BE147" s="528">
        <v>1735734.3100000005</v>
      </c>
      <c r="BF147" s="528">
        <v>80397.540000000125</v>
      </c>
      <c r="BG147" s="528">
        <v>-13483.930000000633</v>
      </c>
      <c r="BH147" s="528">
        <v>66913.609999999491</v>
      </c>
      <c r="BI147" s="528">
        <v>0</v>
      </c>
      <c r="BJ147" s="528">
        <v>0</v>
      </c>
      <c r="BK147" s="528">
        <v>0</v>
      </c>
      <c r="BL147" s="528">
        <v>0</v>
      </c>
      <c r="BM147" s="528">
        <v>0</v>
      </c>
      <c r="BN147" s="528">
        <v>0</v>
      </c>
      <c r="BO147" s="528">
        <v>0</v>
      </c>
      <c r="BP147" s="528">
        <v>0</v>
      </c>
      <c r="BQ147" s="528">
        <v>0</v>
      </c>
      <c r="BR147" s="528">
        <v>0</v>
      </c>
      <c r="BS147" s="528">
        <v>0</v>
      </c>
      <c r="BT147" s="528">
        <v>0</v>
      </c>
      <c r="BU147" s="528">
        <v>0</v>
      </c>
      <c r="BV147" s="528">
        <v>0</v>
      </c>
      <c r="BW147" s="528">
        <v>0</v>
      </c>
      <c r="BX147" s="528">
        <v>0</v>
      </c>
      <c r="BY147" s="528">
        <v>0</v>
      </c>
      <c r="BZ147" s="528">
        <v>0</v>
      </c>
      <c r="CA147" s="528">
        <v>0</v>
      </c>
      <c r="CB147" s="528">
        <v>0</v>
      </c>
      <c r="CC147" s="528">
        <v>0</v>
      </c>
      <c r="CD147" s="528">
        <v>66913.609999999491</v>
      </c>
      <c r="CE147" s="528">
        <v>0</v>
      </c>
      <c r="CF147" s="528">
        <v>0</v>
      </c>
      <c r="CG147" s="528">
        <v>0</v>
      </c>
      <c r="CH147" s="528">
        <v>0</v>
      </c>
      <c r="CI147" s="528">
        <f t="shared" si="2"/>
        <v>66913.609999999491</v>
      </c>
      <c r="CJ147" s="528">
        <v>0</v>
      </c>
      <c r="CK147" s="528">
        <v>0</v>
      </c>
      <c r="CL147" s="528">
        <v>0</v>
      </c>
      <c r="CM147" s="528">
        <v>0</v>
      </c>
      <c r="CN147" s="528">
        <v>0</v>
      </c>
      <c r="CO147" s="528">
        <v>0</v>
      </c>
      <c r="CP147" s="528">
        <v>0</v>
      </c>
      <c r="CQ147" s="528">
        <v>0</v>
      </c>
      <c r="CR147" s="528">
        <v>0</v>
      </c>
      <c r="CS147" s="528">
        <v>0</v>
      </c>
      <c r="CT147" s="528">
        <v>0</v>
      </c>
      <c r="CU147" s="528">
        <v>0</v>
      </c>
      <c r="CV147" s="528">
        <v>0</v>
      </c>
      <c r="CW147" s="528">
        <v>0</v>
      </c>
      <c r="CX147" s="528"/>
      <c r="CY147" s="528"/>
      <c r="CZ147" s="528"/>
      <c r="DA147" s="528">
        <v>99154.489999999569</v>
      </c>
      <c r="DB147" s="528">
        <v>99154.489999999569</v>
      </c>
      <c r="DC147" s="528">
        <v>0</v>
      </c>
      <c r="DD147" s="528">
        <v>2688.35</v>
      </c>
      <c r="DE147" s="528">
        <v>0</v>
      </c>
      <c r="DF147" s="528">
        <v>0</v>
      </c>
      <c r="DG147" s="528">
        <v>-5924.64</v>
      </c>
      <c r="DH147" s="528">
        <v>-29004.59</v>
      </c>
      <c r="DI147" s="528">
        <v>0</v>
      </c>
      <c r="DJ147" s="528">
        <v>0</v>
      </c>
      <c r="DK147" s="528">
        <v>-32240.880000000001</v>
      </c>
      <c r="DL147" s="528">
        <v>0</v>
      </c>
      <c r="DM147" s="528">
        <v>0</v>
      </c>
      <c r="DN147" s="528">
        <v>0</v>
      </c>
      <c r="DO147" s="528">
        <v>0</v>
      </c>
      <c r="DP147" s="528">
        <v>0</v>
      </c>
      <c r="DQ147" s="529">
        <v>4.220055416226387E-10</v>
      </c>
      <c r="DR147" s="530">
        <v>1309817.2900000005</v>
      </c>
      <c r="DS147" s="531">
        <v>425917.02</v>
      </c>
      <c r="DT147" s="530">
        <v>40791.57</v>
      </c>
      <c r="DU147" s="530">
        <v>28638.250000000007</v>
      </c>
      <c r="DV147" s="530">
        <v>0</v>
      </c>
      <c r="DW147" s="530">
        <v>0</v>
      </c>
    </row>
    <row r="148" spans="1:127" s="103" customFormat="1">
      <c r="A148" s="525">
        <v>2183</v>
      </c>
      <c r="B148" s="526" t="s">
        <v>767</v>
      </c>
      <c r="C148" s="525">
        <v>2183</v>
      </c>
      <c r="D148" s="527" t="s">
        <v>1284</v>
      </c>
      <c r="E148" s="527" t="s">
        <v>538</v>
      </c>
      <c r="F148" s="527" t="s">
        <v>5</v>
      </c>
      <c r="G148" s="527" t="s">
        <v>535</v>
      </c>
      <c r="H148" s="528">
        <v>2329595.0099999998</v>
      </c>
      <c r="I148" s="528">
        <v>0</v>
      </c>
      <c r="J148" s="528">
        <v>177454.75</v>
      </c>
      <c r="K148" s="528">
        <v>0</v>
      </c>
      <c r="L148" s="528">
        <v>222000</v>
      </c>
      <c r="M148" s="528">
        <v>0</v>
      </c>
      <c r="N148" s="528">
        <v>0</v>
      </c>
      <c r="O148" s="528">
        <v>0</v>
      </c>
      <c r="P148" s="528">
        <v>61956.529999999984</v>
      </c>
      <c r="Q148" s="528">
        <v>31653.82</v>
      </c>
      <c r="R148" s="528">
        <v>0</v>
      </c>
      <c r="S148" s="528">
        <v>0</v>
      </c>
      <c r="T148" s="528">
        <v>5427.83</v>
      </c>
      <c r="U148" s="528">
        <v>0</v>
      </c>
      <c r="V148" s="528">
        <v>0</v>
      </c>
      <c r="W148" s="528">
        <v>3318.33</v>
      </c>
      <c r="X148" s="528">
        <v>54539</v>
      </c>
      <c r="Y148" s="528">
        <v>2885945.2699999996</v>
      </c>
      <c r="Z148" s="528">
        <v>1224831.3099999975</v>
      </c>
      <c r="AA148" s="528">
        <v>0</v>
      </c>
      <c r="AB148" s="528">
        <v>300710.37</v>
      </c>
      <c r="AC148" s="528">
        <v>92090.480000001495</v>
      </c>
      <c r="AD148" s="528">
        <v>267449.88</v>
      </c>
      <c r="AE148" s="528">
        <v>308.85000000000002</v>
      </c>
      <c r="AF148" s="528">
        <v>72726.229999999516</v>
      </c>
      <c r="AG148" s="528">
        <v>7183.6400000000176</v>
      </c>
      <c r="AH148" s="528">
        <v>7831.03</v>
      </c>
      <c r="AI148" s="528">
        <v>0</v>
      </c>
      <c r="AJ148" s="528">
        <v>0</v>
      </c>
      <c r="AK148" s="528">
        <v>26407.33</v>
      </c>
      <c r="AL148" s="528">
        <v>0</v>
      </c>
      <c r="AM148" s="528">
        <v>366.48999999999978</v>
      </c>
      <c r="AN148" s="528">
        <v>6045.6</v>
      </c>
      <c r="AO148" s="528">
        <v>45051.109999999979</v>
      </c>
      <c r="AP148" s="528">
        <v>37394.07</v>
      </c>
      <c r="AQ148" s="528">
        <v>18583.34</v>
      </c>
      <c r="AR148" s="528">
        <v>136924.08000000013</v>
      </c>
      <c r="AS148" s="528">
        <v>22560.17</v>
      </c>
      <c r="AT148" s="528">
        <v>0</v>
      </c>
      <c r="AU148" s="528">
        <v>2228.86</v>
      </c>
      <c r="AV148" s="528">
        <v>9471</v>
      </c>
      <c r="AW148" s="528">
        <v>3820</v>
      </c>
      <c r="AX148" s="528">
        <v>88002.85</v>
      </c>
      <c r="AY148" s="528">
        <v>165991.68999999994</v>
      </c>
      <c r="AZ148" s="528">
        <v>39423.5</v>
      </c>
      <c r="BA148" s="528">
        <v>145846.14000000001</v>
      </c>
      <c r="BB148" s="528">
        <v>0</v>
      </c>
      <c r="BC148" s="528">
        <v>0</v>
      </c>
      <c r="BD148" s="528">
        <v>0</v>
      </c>
      <c r="BE148" s="528">
        <v>2721248.0199999986</v>
      </c>
      <c r="BF148" s="528">
        <v>80479.270000000135</v>
      </c>
      <c r="BG148" s="528">
        <v>164697.25000000093</v>
      </c>
      <c r="BH148" s="528">
        <v>245176.52000000107</v>
      </c>
      <c r="BI148" s="528">
        <v>8207.5</v>
      </c>
      <c r="BJ148" s="528">
        <v>0</v>
      </c>
      <c r="BK148" s="528">
        <v>0</v>
      </c>
      <c r="BL148" s="528">
        <v>8207.5</v>
      </c>
      <c r="BM148" s="528">
        <v>0</v>
      </c>
      <c r="BN148" s="528">
        <v>8207.5</v>
      </c>
      <c r="BO148" s="528">
        <v>0</v>
      </c>
      <c r="BP148" s="528">
        <v>0</v>
      </c>
      <c r="BQ148" s="528">
        <v>8207.5</v>
      </c>
      <c r="BR148" s="528">
        <v>0</v>
      </c>
      <c r="BS148" s="528">
        <v>0</v>
      </c>
      <c r="BT148" s="528">
        <v>0</v>
      </c>
      <c r="BU148" s="528">
        <v>0</v>
      </c>
      <c r="BV148" s="528">
        <v>0</v>
      </c>
      <c r="BW148" s="528">
        <v>0</v>
      </c>
      <c r="BX148" s="528">
        <v>0</v>
      </c>
      <c r="BY148" s="528">
        <v>0</v>
      </c>
      <c r="BZ148" s="528">
        <v>0</v>
      </c>
      <c r="CA148" s="528">
        <v>0</v>
      </c>
      <c r="CB148" s="528">
        <v>0</v>
      </c>
      <c r="CC148" s="528">
        <v>0</v>
      </c>
      <c r="CD148" s="528">
        <v>245176.52000000107</v>
      </c>
      <c r="CE148" s="528">
        <v>0</v>
      </c>
      <c r="CF148" s="528">
        <v>0</v>
      </c>
      <c r="CG148" s="528">
        <v>0</v>
      </c>
      <c r="CH148" s="528">
        <v>0</v>
      </c>
      <c r="CI148" s="528">
        <f t="shared" si="2"/>
        <v>245176.52000000107</v>
      </c>
      <c r="CJ148" s="528">
        <v>465882.7</v>
      </c>
      <c r="CK148" s="528">
        <v>0</v>
      </c>
      <c r="CL148" s="528">
        <v>0</v>
      </c>
      <c r="CM148" s="528">
        <v>465882.7</v>
      </c>
      <c r="CN148" s="528">
        <v>0</v>
      </c>
      <c r="CO148" s="528">
        <v>0</v>
      </c>
      <c r="CP148" s="528">
        <v>7892.93</v>
      </c>
      <c r="CQ148" s="528">
        <v>0</v>
      </c>
      <c r="CR148" s="528">
        <v>-183961.12</v>
      </c>
      <c r="CS148" s="528">
        <v>289814.51</v>
      </c>
      <c r="CT148" s="528">
        <v>0</v>
      </c>
      <c r="CU148" s="528">
        <v>0</v>
      </c>
      <c r="CV148" s="528">
        <v>0</v>
      </c>
      <c r="CW148" s="528">
        <v>0</v>
      </c>
      <c r="CX148" s="528"/>
      <c r="CY148" s="528"/>
      <c r="CZ148" s="528"/>
      <c r="DA148" s="528">
        <v>0</v>
      </c>
      <c r="DB148" s="528">
        <v>0</v>
      </c>
      <c r="DC148" s="528">
        <v>0</v>
      </c>
      <c r="DD148" s="528">
        <v>1867.12</v>
      </c>
      <c r="DE148" s="528">
        <v>0</v>
      </c>
      <c r="DF148" s="528">
        <v>0</v>
      </c>
      <c r="DG148" s="528">
        <v>-12101.22</v>
      </c>
      <c r="DH148" s="528">
        <v>-34403.9</v>
      </c>
      <c r="DI148" s="528">
        <v>0</v>
      </c>
      <c r="DJ148" s="528">
        <v>0</v>
      </c>
      <c r="DK148" s="528">
        <v>-44638</v>
      </c>
      <c r="DL148" s="528">
        <v>0</v>
      </c>
      <c r="DM148" s="528">
        <v>0</v>
      </c>
      <c r="DN148" s="528">
        <v>0</v>
      </c>
      <c r="DO148" s="528">
        <v>0</v>
      </c>
      <c r="DP148" s="528">
        <v>0</v>
      </c>
      <c r="DQ148" s="529">
        <v>9.9999999511055648E-3</v>
      </c>
      <c r="DR148" s="530">
        <v>1965300.7599999984</v>
      </c>
      <c r="DS148" s="531">
        <v>755947.26000000024</v>
      </c>
      <c r="DT148" s="530">
        <v>165991.68999999994</v>
      </c>
      <c r="DU148" s="530">
        <v>99038.179999999978</v>
      </c>
      <c r="DV148" s="530">
        <v>0</v>
      </c>
      <c r="DW148" s="530">
        <v>0</v>
      </c>
    </row>
    <row r="149" spans="1:127" s="103" customFormat="1">
      <c r="A149" s="525">
        <v>3372</v>
      </c>
      <c r="B149" s="526" t="s">
        <v>769</v>
      </c>
      <c r="C149" s="525">
        <v>3372</v>
      </c>
      <c r="D149" s="527" t="s">
        <v>1284</v>
      </c>
      <c r="E149" s="527" t="s">
        <v>538</v>
      </c>
      <c r="F149" s="527" t="s">
        <v>5</v>
      </c>
      <c r="G149" s="527" t="s">
        <v>535</v>
      </c>
      <c r="H149" s="528">
        <v>3460206.83</v>
      </c>
      <c r="I149" s="528">
        <v>0</v>
      </c>
      <c r="J149" s="528">
        <v>132931.54</v>
      </c>
      <c r="K149" s="528">
        <v>0</v>
      </c>
      <c r="L149" s="528">
        <v>396600</v>
      </c>
      <c r="M149" s="528">
        <v>4599.5</v>
      </c>
      <c r="N149" s="528">
        <v>0</v>
      </c>
      <c r="O149" s="528">
        <v>0</v>
      </c>
      <c r="P149" s="528">
        <v>8795.7100000000482</v>
      </c>
      <c r="Q149" s="528">
        <v>38269.550000000003</v>
      </c>
      <c r="R149" s="528">
        <v>0</v>
      </c>
      <c r="S149" s="528">
        <v>0</v>
      </c>
      <c r="T149" s="528">
        <v>34433.79</v>
      </c>
      <c r="U149" s="528">
        <v>390469.54</v>
      </c>
      <c r="V149" s="528">
        <v>0</v>
      </c>
      <c r="W149" s="528">
        <v>6536.25</v>
      </c>
      <c r="X149" s="528">
        <v>87358</v>
      </c>
      <c r="Y149" s="528">
        <v>4560200.71</v>
      </c>
      <c r="Z149" s="528">
        <v>2105017.6600000043</v>
      </c>
      <c r="AA149" s="528">
        <v>0</v>
      </c>
      <c r="AB149" s="528">
        <v>621972.35000000009</v>
      </c>
      <c r="AC149" s="528">
        <v>-2.0954757928848267E-9</v>
      </c>
      <c r="AD149" s="528">
        <v>363359.94</v>
      </c>
      <c r="AE149" s="528">
        <v>0</v>
      </c>
      <c r="AF149" s="528">
        <v>118439.90999999852</v>
      </c>
      <c r="AG149" s="528">
        <v>7374.5300000000043</v>
      </c>
      <c r="AH149" s="528">
        <v>23695.699999999997</v>
      </c>
      <c r="AI149" s="528">
        <v>0</v>
      </c>
      <c r="AJ149" s="528">
        <v>0</v>
      </c>
      <c r="AK149" s="528">
        <v>21265.579999999998</v>
      </c>
      <c r="AL149" s="528">
        <v>0</v>
      </c>
      <c r="AM149" s="528">
        <v>52889.04</v>
      </c>
      <c r="AN149" s="528">
        <v>6911.54</v>
      </c>
      <c r="AO149" s="528">
        <v>60845.159999999989</v>
      </c>
      <c r="AP149" s="528">
        <v>5776.96</v>
      </c>
      <c r="AQ149" s="528">
        <v>10177.709999999999</v>
      </c>
      <c r="AR149" s="528">
        <v>206255.8800000003</v>
      </c>
      <c r="AS149" s="528">
        <v>17547.75</v>
      </c>
      <c r="AT149" s="528">
        <v>0</v>
      </c>
      <c r="AU149" s="528">
        <v>27857.549999999981</v>
      </c>
      <c r="AV149" s="528">
        <v>16339.7</v>
      </c>
      <c r="AW149" s="528">
        <v>0</v>
      </c>
      <c r="AX149" s="528">
        <v>245490.35</v>
      </c>
      <c r="AY149" s="528">
        <v>214218.8</v>
      </c>
      <c r="AZ149" s="528">
        <v>51103.229999999996</v>
      </c>
      <c r="BA149" s="528">
        <v>124198.45999999999</v>
      </c>
      <c r="BB149" s="528">
        <v>0</v>
      </c>
      <c r="BC149" s="528">
        <v>0</v>
      </c>
      <c r="BD149" s="528">
        <v>0</v>
      </c>
      <c r="BE149" s="528">
        <v>4300737.8000000017</v>
      </c>
      <c r="BF149" s="528">
        <v>213584.18999999971</v>
      </c>
      <c r="BG149" s="528">
        <v>259462.90999999829</v>
      </c>
      <c r="BH149" s="528">
        <v>473047.099999998</v>
      </c>
      <c r="BI149" s="528">
        <v>0</v>
      </c>
      <c r="BJ149" s="528">
        <v>0</v>
      </c>
      <c r="BK149" s="528">
        <v>0</v>
      </c>
      <c r="BL149" s="528">
        <v>0</v>
      </c>
      <c r="BM149" s="528">
        <v>0</v>
      </c>
      <c r="BN149" s="528">
        <v>0</v>
      </c>
      <c r="BO149" s="528">
        <v>0</v>
      </c>
      <c r="BP149" s="528">
        <v>0</v>
      </c>
      <c r="BQ149" s="528">
        <v>0</v>
      </c>
      <c r="BR149" s="528">
        <v>0</v>
      </c>
      <c r="BS149" s="528">
        <v>0</v>
      </c>
      <c r="BT149" s="528">
        <v>0</v>
      </c>
      <c r="BU149" s="528">
        <v>0</v>
      </c>
      <c r="BV149" s="528">
        <v>0</v>
      </c>
      <c r="BW149" s="528">
        <v>0</v>
      </c>
      <c r="BX149" s="528">
        <v>0</v>
      </c>
      <c r="BY149" s="528">
        <v>0</v>
      </c>
      <c r="BZ149" s="528">
        <v>0</v>
      </c>
      <c r="CA149" s="528">
        <v>0</v>
      </c>
      <c r="CB149" s="528">
        <v>0</v>
      </c>
      <c r="CC149" s="528">
        <v>0</v>
      </c>
      <c r="CD149" s="528">
        <v>473047.099999998</v>
      </c>
      <c r="CE149" s="528">
        <v>0</v>
      </c>
      <c r="CF149" s="528">
        <v>0</v>
      </c>
      <c r="CG149" s="528">
        <v>0</v>
      </c>
      <c r="CH149" s="528">
        <v>0</v>
      </c>
      <c r="CI149" s="528">
        <f t="shared" si="2"/>
        <v>473047.099999998</v>
      </c>
      <c r="CJ149" s="528">
        <v>835373.22</v>
      </c>
      <c r="CK149" s="528">
        <v>7677.96</v>
      </c>
      <c r="CL149" s="528">
        <v>0</v>
      </c>
      <c r="CM149" s="528">
        <v>827695.26</v>
      </c>
      <c r="CN149" s="528">
        <v>0</v>
      </c>
      <c r="CO149" s="528">
        <v>0</v>
      </c>
      <c r="CP149" s="528">
        <v>5003.62</v>
      </c>
      <c r="CQ149" s="528">
        <v>0</v>
      </c>
      <c r="CR149" s="528">
        <v>-264663.73</v>
      </c>
      <c r="CS149" s="528">
        <v>568035.15</v>
      </c>
      <c r="CT149" s="528">
        <v>0</v>
      </c>
      <c r="CU149" s="528">
        <v>0</v>
      </c>
      <c r="CV149" s="528">
        <v>0</v>
      </c>
      <c r="CW149" s="528">
        <v>0</v>
      </c>
      <c r="CX149" s="528"/>
      <c r="CY149" s="528"/>
      <c r="CZ149" s="528"/>
      <c r="DA149" s="528">
        <v>0</v>
      </c>
      <c r="DB149" s="528">
        <v>0</v>
      </c>
      <c r="DC149" s="528">
        <v>0</v>
      </c>
      <c r="DD149" s="528">
        <v>8253.94</v>
      </c>
      <c r="DE149" s="528">
        <v>0</v>
      </c>
      <c r="DF149" s="528">
        <v>0</v>
      </c>
      <c r="DG149" s="528">
        <v>-41181</v>
      </c>
      <c r="DH149" s="528">
        <v>-62060.73</v>
      </c>
      <c r="DI149" s="528">
        <v>0</v>
      </c>
      <c r="DJ149" s="528">
        <v>0</v>
      </c>
      <c r="DK149" s="528">
        <v>-94987.790000000008</v>
      </c>
      <c r="DL149" s="528">
        <v>0</v>
      </c>
      <c r="DM149" s="528">
        <v>0</v>
      </c>
      <c r="DN149" s="528">
        <v>0</v>
      </c>
      <c r="DO149" s="528">
        <v>0</v>
      </c>
      <c r="DP149" s="528">
        <v>0</v>
      </c>
      <c r="DQ149" s="529">
        <v>-0.26000000012572855</v>
      </c>
      <c r="DR149" s="530">
        <v>3216164.3900000011</v>
      </c>
      <c r="DS149" s="531">
        <v>1084573.4100000006</v>
      </c>
      <c r="DT149" s="530">
        <v>214218.8</v>
      </c>
      <c r="DU149" s="530">
        <v>81499.050000000047</v>
      </c>
      <c r="DV149" s="530">
        <v>390469.54</v>
      </c>
      <c r="DW149" s="530">
        <v>0</v>
      </c>
    </row>
    <row r="150" spans="1:127" s="103" customFormat="1">
      <c r="A150" s="525">
        <v>3375</v>
      </c>
      <c r="B150" s="526" t="s">
        <v>771</v>
      </c>
      <c r="C150" s="525">
        <v>3375</v>
      </c>
      <c r="D150" s="527" t="s">
        <v>1284</v>
      </c>
      <c r="E150" s="527" t="s">
        <v>538</v>
      </c>
      <c r="F150" s="527" t="s">
        <v>5</v>
      </c>
      <c r="G150" s="527" t="s">
        <v>535</v>
      </c>
      <c r="H150" s="528">
        <v>2547469.7000000002</v>
      </c>
      <c r="I150" s="528">
        <v>0</v>
      </c>
      <c r="J150" s="528">
        <v>0</v>
      </c>
      <c r="K150" s="528">
        <v>0</v>
      </c>
      <c r="L150" s="528">
        <v>0</v>
      </c>
      <c r="M150" s="528">
        <v>0</v>
      </c>
      <c r="N150" s="528">
        <v>23689.59</v>
      </c>
      <c r="O150" s="528">
        <v>0</v>
      </c>
      <c r="P150" s="528">
        <v>123205</v>
      </c>
      <c r="Q150" s="528">
        <v>137023.19</v>
      </c>
      <c r="R150" s="528">
        <v>0</v>
      </c>
      <c r="S150" s="528">
        <v>0</v>
      </c>
      <c r="T150" s="528">
        <v>19596.64</v>
      </c>
      <c r="U150" s="528">
        <v>0</v>
      </c>
      <c r="V150" s="528">
        <v>0</v>
      </c>
      <c r="W150" s="528">
        <v>0</v>
      </c>
      <c r="X150" s="528">
        <v>0</v>
      </c>
      <c r="Y150" s="528">
        <v>2850984.12</v>
      </c>
      <c r="Z150" s="528">
        <v>1419557.81</v>
      </c>
      <c r="AA150" s="528">
        <v>0</v>
      </c>
      <c r="AB150" s="528">
        <v>427281.42</v>
      </c>
      <c r="AC150" s="528">
        <v>82179.520000000004</v>
      </c>
      <c r="AD150" s="528">
        <v>98503.33</v>
      </c>
      <c r="AE150" s="528">
        <v>0</v>
      </c>
      <c r="AF150" s="528">
        <v>67669.94</v>
      </c>
      <c r="AG150" s="528">
        <v>611</v>
      </c>
      <c r="AH150" s="528">
        <v>1550</v>
      </c>
      <c r="AI150" s="528">
        <v>2202</v>
      </c>
      <c r="AJ150" s="528">
        <v>0</v>
      </c>
      <c r="AK150" s="528">
        <v>48238.39</v>
      </c>
      <c r="AL150" s="528">
        <v>24891.35</v>
      </c>
      <c r="AM150" s="528">
        <v>1715.53</v>
      </c>
      <c r="AN150" s="528">
        <v>5487.07</v>
      </c>
      <c r="AO150" s="528">
        <v>35190.910000000003</v>
      </c>
      <c r="AP150" s="528">
        <v>3789.47</v>
      </c>
      <c r="AQ150" s="528">
        <v>13338.05</v>
      </c>
      <c r="AR150" s="528">
        <v>100376.5</v>
      </c>
      <c r="AS150" s="528">
        <v>0</v>
      </c>
      <c r="AT150" s="528">
        <v>0</v>
      </c>
      <c r="AU150" s="528">
        <v>45240.189999999995</v>
      </c>
      <c r="AV150" s="528">
        <v>15576.35</v>
      </c>
      <c r="AW150" s="528">
        <v>0</v>
      </c>
      <c r="AX150" s="528">
        <v>213384.93</v>
      </c>
      <c r="AY150" s="528">
        <v>59447.73</v>
      </c>
      <c r="AZ150" s="528">
        <v>13039.12</v>
      </c>
      <c r="BA150" s="528">
        <v>108669.33</v>
      </c>
      <c r="BB150" s="528">
        <v>0</v>
      </c>
      <c r="BC150" s="528">
        <v>0</v>
      </c>
      <c r="BD150" s="528">
        <v>0</v>
      </c>
      <c r="BE150" s="528">
        <v>2787939.9400000004</v>
      </c>
      <c r="BF150" s="528">
        <v>336398.80000000016</v>
      </c>
      <c r="BG150" s="528">
        <v>63044.179999999702</v>
      </c>
      <c r="BH150" s="528">
        <v>399442.97999999986</v>
      </c>
      <c r="BI150" s="528">
        <v>0</v>
      </c>
      <c r="BJ150" s="528">
        <v>0</v>
      </c>
      <c r="BK150" s="528">
        <v>0</v>
      </c>
      <c r="BL150" s="528">
        <v>0</v>
      </c>
      <c r="BM150" s="528">
        <v>0</v>
      </c>
      <c r="BN150" s="528">
        <v>0</v>
      </c>
      <c r="BO150" s="528">
        <v>0</v>
      </c>
      <c r="BP150" s="528">
        <v>0</v>
      </c>
      <c r="BQ150" s="528">
        <v>0</v>
      </c>
      <c r="BR150" s="528">
        <v>0</v>
      </c>
      <c r="BS150" s="528">
        <v>0</v>
      </c>
      <c r="BT150" s="528">
        <v>0</v>
      </c>
      <c r="BU150" s="528">
        <v>0</v>
      </c>
      <c r="BV150" s="528">
        <v>0</v>
      </c>
      <c r="BW150" s="528">
        <v>0</v>
      </c>
      <c r="BX150" s="528">
        <v>0</v>
      </c>
      <c r="BY150" s="528">
        <v>0</v>
      </c>
      <c r="BZ150" s="528">
        <v>0</v>
      </c>
      <c r="CA150" s="528">
        <v>0</v>
      </c>
      <c r="CB150" s="528">
        <v>0</v>
      </c>
      <c r="CC150" s="528">
        <v>0</v>
      </c>
      <c r="CD150" s="528">
        <v>399442.97999999986</v>
      </c>
      <c r="CE150" s="528">
        <v>0</v>
      </c>
      <c r="CF150" s="528">
        <v>0</v>
      </c>
      <c r="CG150" s="528">
        <v>0</v>
      </c>
      <c r="CH150" s="528">
        <v>0</v>
      </c>
      <c r="CI150" s="528">
        <v>399442.97999999986</v>
      </c>
      <c r="CJ150" s="528">
        <v>722546.86</v>
      </c>
      <c r="CK150" s="528">
        <v>375926.61</v>
      </c>
      <c r="CL150" s="528">
        <v>0</v>
      </c>
      <c r="CM150" s="528">
        <v>346620.25</v>
      </c>
      <c r="CN150" s="528">
        <v>0</v>
      </c>
      <c r="CO150" s="528">
        <v>0</v>
      </c>
      <c r="CP150" s="528">
        <v>7758.25</v>
      </c>
      <c r="CQ150" s="528">
        <v>0</v>
      </c>
      <c r="CR150" s="528">
        <v>0</v>
      </c>
      <c r="CS150" s="528">
        <v>354378.5</v>
      </c>
      <c r="CT150" s="528">
        <v>0</v>
      </c>
      <c r="CU150" s="528">
        <v>0</v>
      </c>
      <c r="CV150" s="528">
        <v>0</v>
      </c>
      <c r="CW150" s="528">
        <v>0</v>
      </c>
      <c r="CX150" s="528"/>
      <c r="CY150" s="528"/>
      <c r="CZ150" s="528"/>
      <c r="DA150" s="528">
        <v>0</v>
      </c>
      <c r="DB150" s="528">
        <v>0</v>
      </c>
      <c r="DC150" s="528">
        <v>0</v>
      </c>
      <c r="DD150" s="528">
        <v>116774.75999999998</v>
      </c>
      <c r="DE150" s="528">
        <v>0</v>
      </c>
      <c r="DF150" s="528">
        <v>0</v>
      </c>
      <c r="DG150" s="528">
        <v>-28018.83</v>
      </c>
      <c r="DH150" s="528">
        <v>-43691.58</v>
      </c>
      <c r="DI150" s="528">
        <v>0</v>
      </c>
      <c r="DJ150" s="528">
        <v>0</v>
      </c>
      <c r="DK150" s="528">
        <v>45064.349999999977</v>
      </c>
      <c r="DL150" s="528">
        <v>0</v>
      </c>
      <c r="DM150" s="528">
        <v>0</v>
      </c>
      <c r="DN150" s="528">
        <v>0</v>
      </c>
      <c r="DO150" s="528">
        <v>0</v>
      </c>
      <c r="DP150" s="528">
        <v>0</v>
      </c>
      <c r="DQ150" s="529">
        <v>0.13000000000465661</v>
      </c>
      <c r="DR150" s="530">
        <v>2095803.02</v>
      </c>
      <c r="DS150" s="531">
        <v>692136.92000000039</v>
      </c>
      <c r="DT150" s="530">
        <v>59447.73</v>
      </c>
      <c r="DU150" s="530">
        <v>279824.83</v>
      </c>
      <c r="DV150" s="530">
        <v>0</v>
      </c>
      <c r="DW150" s="530">
        <v>0</v>
      </c>
    </row>
    <row r="151" spans="1:127" s="103" customFormat="1">
      <c r="A151" s="525">
        <v>3331</v>
      </c>
      <c r="B151" s="526" t="s">
        <v>773</v>
      </c>
      <c r="C151" s="525">
        <v>3331</v>
      </c>
      <c r="D151" s="527" t="s">
        <v>1284</v>
      </c>
      <c r="E151" s="527" t="s">
        <v>538</v>
      </c>
      <c r="F151" s="527" t="s">
        <v>5</v>
      </c>
      <c r="G151" s="527" t="s">
        <v>535</v>
      </c>
      <c r="H151" s="528">
        <v>1434504.64</v>
      </c>
      <c r="I151" s="528">
        <v>0</v>
      </c>
      <c r="J151" s="528">
        <v>29199.38</v>
      </c>
      <c r="K151" s="528">
        <v>0</v>
      </c>
      <c r="L151" s="528">
        <v>111000</v>
      </c>
      <c r="M151" s="528">
        <v>4656.93</v>
      </c>
      <c r="N151" s="528">
        <v>0</v>
      </c>
      <c r="O151" s="528">
        <v>0</v>
      </c>
      <c r="P151" s="528">
        <v>28836.770000000008</v>
      </c>
      <c r="Q151" s="528">
        <v>18709.64</v>
      </c>
      <c r="R151" s="528">
        <v>0</v>
      </c>
      <c r="S151" s="528">
        <v>0</v>
      </c>
      <c r="T151" s="528">
        <v>7413.74</v>
      </c>
      <c r="U151" s="528">
        <v>0</v>
      </c>
      <c r="V151" s="528">
        <v>0</v>
      </c>
      <c r="W151" s="528">
        <v>3118.71</v>
      </c>
      <c r="X151" s="528">
        <v>45601</v>
      </c>
      <c r="Y151" s="528">
        <v>1683040.8099999996</v>
      </c>
      <c r="Z151" s="528">
        <v>782916.99999999988</v>
      </c>
      <c r="AA151" s="528">
        <v>0</v>
      </c>
      <c r="AB151" s="528">
        <v>251027.48</v>
      </c>
      <c r="AC151" s="528">
        <v>53207.380000000237</v>
      </c>
      <c r="AD151" s="528">
        <v>92377.29</v>
      </c>
      <c r="AE151" s="528">
        <v>0</v>
      </c>
      <c r="AF151" s="528">
        <v>55904.049999999974</v>
      </c>
      <c r="AG151" s="528">
        <v>-568.2599999999984</v>
      </c>
      <c r="AH151" s="528">
        <v>12495.349999999999</v>
      </c>
      <c r="AI151" s="528">
        <v>0</v>
      </c>
      <c r="AJ151" s="528">
        <v>0</v>
      </c>
      <c r="AK151" s="528">
        <v>19167.84</v>
      </c>
      <c r="AL151" s="528">
        <v>293.70999999999998</v>
      </c>
      <c r="AM151" s="528">
        <v>956.44</v>
      </c>
      <c r="AN151" s="528">
        <v>2988.67</v>
      </c>
      <c r="AO151" s="528">
        <v>22665.47</v>
      </c>
      <c r="AP151" s="528">
        <v>8213.56</v>
      </c>
      <c r="AQ151" s="528">
        <v>4745.38</v>
      </c>
      <c r="AR151" s="528">
        <v>57233.580000000016</v>
      </c>
      <c r="AS151" s="528">
        <v>0</v>
      </c>
      <c r="AT151" s="528">
        <v>0</v>
      </c>
      <c r="AU151" s="528">
        <v>8735.08</v>
      </c>
      <c r="AV151" s="528">
        <v>0</v>
      </c>
      <c r="AW151" s="528">
        <v>6095</v>
      </c>
      <c r="AX151" s="528">
        <v>118593.44</v>
      </c>
      <c r="AY151" s="528">
        <v>11609.67</v>
      </c>
      <c r="AZ151" s="528">
        <v>11178.62</v>
      </c>
      <c r="BA151" s="528">
        <v>109848.48</v>
      </c>
      <c r="BB151" s="528">
        <v>0</v>
      </c>
      <c r="BC151" s="528">
        <v>0</v>
      </c>
      <c r="BD151" s="528">
        <v>0</v>
      </c>
      <c r="BE151" s="528">
        <v>1629685.2300000002</v>
      </c>
      <c r="BF151" s="528">
        <v>25482.689999999944</v>
      </c>
      <c r="BG151" s="528">
        <v>53355.579999999376</v>
      </c>
      <c r="BH151" s="528">
        <v>78838.26999999932</v>
      </c>
      <c r="BI151" s="528">
        <v>0</v>
      </c>
      <c r="BJ151" s="528">
        <v>0</v>
      </c>
      <c r="BK151" s="528">
        <v>0</v>
      </c>
      <c r="BL151" s="528">
        <v>0</v>
      </c>
      <c r="BM151" s="528">
        <v>0</v>
      </c>
      <c r="BN151" s="528">
        <v>0</v>
      </c>
      <c r="BO151" s="528">
        <v>0</v>
      </c>
      <c r="BP151" s="528">
        <v>0</v>
      </c>
      <c r="BQ151" s="528">
        <v>0</v>
      </c>
      <c r="BR151" s="528">
        <v>0</v>
      </c>
      <c r="BS151" s="528">
        <v>0</v>
      </c>
      <c r="BT151" s="528">
        <v>0</v>
      </c>
      <c r="BU151" s="528">
        <v>0</v>
      </c>
      <c r="BV151" s="528">
        <v>0</v>
      </c>
      <c r="BW151" s="528">
        <v>0</v>
      </c>
      <c r="BX151" s="528">
        <v>0</v>
      </c>
      <c r="BY151" s="528">
        <v>0</v>
      </c>
      <c r="BZ151" s="528">
        <v>0</v>
      </c>
      <c r="CA151" s="528">
        <v>0</v>
      </c>
      <c r="CB151" s="528">
        <v>0</v>
      </c>
      <c r="CC151" s="528">
        <v>0</v>
      </c>
      <c r="CD151" s="528">
        <v>78838.26999999932</v>
      </c>
      <c r="CE151" s="528">
        <v>0</v>
      </c>
      <c r="CF151" s="528">
        <v>0</v>
      </c>
      <c r="CG151" s="528">
        <v>0</v>
      </c>
      <c r="CH151" s="528">
        <v>0</v>
      </c>
      <c r="CI151" s="528">
        <f t="shared" si="2"/>
        <v>78838.26999999932</v>
      </c>
      <c r="CJ151" s="528">
        <v>132957.19</v>
      </c>
      <c r="CK151" s="528">
        <v>0</v>
      </c>
      <c r="CL151" s="528">
        <v>0</v>
      </c>
      <c r="CM151" s="528">
        <v>132957.19</v>
      </c>
      <c r="CN151" s="528">
        <v>0</v>
      </c>
      <c r="CO151" s="528">
        <v>0</v>
      </c>
      <c r="CP151" s="528">
        <v>2805.81</v>
      </c>
      <c r="CQ151" s="528">
        <v>1007.67</v>
      </c>
      <c r="CR151" s="528">
        <v>-27336.070000000007</v>
      </c>
      <c r="CS151" s="528">
        <v>109434.6</v>
      </c>
      <c r="CT151" s="528">
        <v>0</v>
      </c>
      <c r="CU151" s="528">
        <v>0</v>
      </c>
      <c r="CV151" s="528">
        <v>0</v>
      </c>
      <c r="CW151" s="528">
        <v>0</v>
      </c>
      <c r="CX151" s="528"/>
      <c r="CY151" s="528"/>
      <c r="CZ151" s="528"/>
      <c r="DA151" s="528">
        <v>0</v>
      </c>
      <c r="DB151" s="528">
        <v>0</v>
      </c>
      <c r="DC151" s="528">
        <v>0</v>
      </c>
      <c r="DD151" s="528">
        <v>1095.6600000000001</v>
      </c>
      <c r="DE151" s="528">
        <v>0</v>
      </c>
      <c r="DF151" s="528">
        <v>0</v>
      </c>
      <c r="DG151" s="528">
        <v>0</v>
      </c>
      <c r="DH151" s="528">
        <v>-31691.99</v>
      </c>
      <c r="DI151" s="528">
        <v>0</v>
      </c>
      <c r="DJ151" s="528">
        <v>0</v>
      </c>
      <c r="DK151" s="528">
        <v>-30596.33</v>
      </c>
      <c r="DL151" s="528">
        <v>0</v>
      </c>
      <c r="DM151" s="528">
        <v>0</v>
      </c>
      <c r="DN151" s="528">
        <v>0</v>
      </c>
      <c r="DO151" s="528">
        <v>0</v>
      </c>
      <c r="DP151" s="528">
        <v>0</v>
      </c>
      <c r="DQ151" s="529">
        <v>0</v>
      </c>
      <c r="DR151" s="530">
        <v>1234864.9400000002</v>
      </c>
      <c r="DS151" s="531">
        <v>394820.29000000004</v>
      </c>
      <c r="DT151" s="530">
        <v>11609.67</v>
      </c>
      <c r="DU151" s="530">
        <v>54960.15</v>
      </c>
      <c r="DV151" s="530">
        <v>0</v>
      </c>
      <c r="DW151" s="530">
        <v>0</v>
      </c>
    </row>
    <row r="152" spans="1:127" s="103" customFormat="1">
      <c r="A152" s="525">
        <v>3406</v>
      </c>
      <c r="B152" s="526" t="s">
        <v>921</v>
      </c>
      <c r="C152" s="525">
        <v>3406</v>
      </c>
      <c r="D152" s="527" t="s">
        <v>1284</v>
      </c>
      <c r="E152" s="527" t="s">
        <v>538</v>
      </c>
      <c r="F152" s="527" t="s">
        <v>5</v>
      </c>
      <c r="G152" s="527" t="s">
        <v>958</v>
      </c>
      <c r="H152" s="528">
        <v>1725004.35</v>
      </c>
      <c r="I152" s="528">
        <v>0</v>
      </c>
      <c r="J152" s="528">
        <v>47357.2</v>
      </c>
      <c r="K152" s="528">
        <v>0</v>
      </c>
      <c r="L152" s="528">
        <v>232190</v>
      </c>
      <c r="M152" s="528">
        <v>2400</v>
      </c>
      <c r="N152" s="528">
        <v>0</v>
      </c>
      <c r="O152" s="528">
        <v>0</v>
      </c>
      <c r="P152" s="528">
        <v>23080.35</v>
      </c>
      <c r="Q152" s="528">
        <v>26477.1</v>
      </c>
      <c r="R152" s="528">
        <v>0</v>
      </c>
      <c r="S152" s="528">
        <v>0</v>
      </c>
      <c r="T152" s="528">
        <v>12896.050000000003</v>
      </c>
      <c r="U152" s="528">
        <v>0</v>
      </c>
      <c r="V152" s="528">
        <v>0</v>
      </c>
      <c r="W152" s="528">
        <v>4302.71</v>
      </c>
      <c r="X152" s="528">
        <v>30076</v>
      </c>
      <c r="Y152" s="528">
        <v>2103783.7600000002</v>
      </c>
      <c r="Z152" s="528">
        <v>1008405.2699999978</v>
      </c>
      <c r="AA152" s="528">
        <v>35128.17</v>
      </c>
      <c r="AB152" s="528">
        <v>262402</v>
      </c>
      <c r="AC152" s="528">
        <v>0</v>
      </c>
      <c r="AD152" s="528">
        <v>207689.38</v>
      </c>
      <c r="AE152" s="528">
        <v>0</v>
      </c>
      <c r="AF152" s="528">
        <v>29774.22</v>
      </c>
      <c r="AG152" s="528">
        <v>0</v>
      </c>
      <c r="AH152" s="528">
        <v>6468.2999999999993</v>
      </c>
      <c r="AI152" s="528">
        <v>0</v>
      </c>
      <c r="AJ152" s="528">
        <v>0</v>
      </c>
      <c r="AK152" s="528">
        <v>34020.460000000006</v>
      </c>
      <c r="AL152" s="528">
        <v>4894.369999999999</v>
      </c>
      <c r="AM152" s="528">
        <v>31343.81</v>
      </c>
      <c r="AN152" s="528">
        <v>7210.7899999999981</v>
      </c>
      <c r="AO152" s="528">
        <v>3719.5600000000036</v>
      </c>
      <c r="AP152" s="528">
        <v>3842.48</v>
      </c>
      <c r="AQ152" s="528">
        <v>5647.02</v>
      </c>
      <c r="AR152" s="528">
        <v>59131.830000000016</v>
      </c>
      <c r="AS152" s="528">
        <v>0</v>
      </c>
      <c r="AT152" s="528">
        <v>0</v>
      </c>
      <c r="AU152" s="528">
        <v>17217.020000000004</v>
      </c>
      <c r="AV152" s="528">
        <v>0</v>
      </c>
      <c r="AW152" s="528">
        <v>4628.3999999999996</v>
      </c>
      <c r="AX152" s="528">
        <v>100649.11</v>
      </c>
      <c r="AY152" s="528">
        <v>25401.95</v>
      </c>
      <c r="AZ152" s="528">
        <v>6016.8</v>
      </c>
      <c r="BA152" s="528">
        <v>127249.09999999998</v>
      </c>
      <c r="BB152" s="528">
        <v>0</v>
      </c>
      <c r="BC152" s="528">
        <v>0</v>
      </c>
      <c r="BD152" s="528">
        <v>0</v>
      </c>
      <c r="BE152" s="528">
        <v>1980840.0399999982</v>
      </c>
      <c r="BF152" s="528">
        <v>147532.44999999995</v>
      </c>
      <c r="BG152" s="528">
        <v>122943.72000000207</v>
      </c>
      <c r="BH152" s="528">
        <v>270476.17000000202</v>
      </c>
      <c r="BI152" s="528">
        <v>0</v>
      </c>
      <c r="BJ152" s="528">
        <v>0</v>
      </c>
      <c r="BK152" s="528">
        <v>0</v>
      </c>
      <c r="BL152" s="528">
        <v>0</v>
      </c>
      <c r="BM152" s="528">
        <v>0</v>
      </c>
      <c r="BN152" s="528">
        <v>0</v>
      </c>
      <c r="BO152" s="528">
        <v>0</v>
      </c>
      <c r="BP152" s="528">
        <v>0</v>
      </c>
      <c r="BQ152" s="528">
        <v>0</v>
      </c>
      <c r="BR152" s="528">
        <v>0</v>
      </c>
      <c r="BS152" s="528">
        <v>0</v>
      </c>
      <c r="BT152" s="528">
        <v>0</v>
      </c>
      <c r="BU152" s="528">
        <v>0</v>
      </c>
      <c r="BV152" s="528">
        <v>0</v>
      </c>
      <c r="BW152" s="528">
        <v>0</v>
      </c>
      <c r="BX152" s="528">
        <v>0</v>
      </c>
      <c r="BY152" s="528">
        <v>0</v>
      </c>
      <c r="BZ152" s="528">
        <v>0</v>
      </c>
      <c r="CA152" s="528">
        <v>0</v>
      </c>
      <c r="CB152" s="528">
        <v>0</v>
      </c>
      <c r="CC152" s="528">
        <v>0</v>
      </c>
      <c r="CD152" s="528">
        <v>270476.17000000202</v>
      </c>
      <c r="CE152" s="528">
        <v>0</v>
      </c>
      <c r="CF152" s="528">
        <v>0</v>
      </c>
      <c r="CG152" s="528">
        <v>0</v>
      </c>
      <c r="CH152" s="528">
        <v>0</v>
      </c>
      <c r="CI152" s="528">
        <f t="shared" si="2"/>
        <v>270476.17000000202</v>
      </c>
      <c r="CJ152" s="528">
        <v>0</v>
      </c>
      <c r="CK152" s="528">
        <v>0</v>
      </c>
      <c r="CL152" s="528">
        <v>0</v>
      </c>
      <c r="CM152" s="528">
        <v>0</v>
      </c>
      <c r="CN152" s="528">
        <v>0</v>
      </c>
      <c r="CO152" s="528">
        <v>0</v>
      </c>
      <c r="CP152" s="528">
        <v>0</v>
      </c>
      <c r="CQ152" s="528">
        <v>0</v>
      </c>
      <c r="CR152" s="528">
        <v>0</v>
      </c>
      <c r="CS152" s="528">
        <v>0</v>
      </c>
      <c r="CT152" s="528">
        <v>0</v>
      </c>
      <c r="CU152" s="528">
        <v>0</v>
      </c>
      <c r="CV152" s="528">
        <v>0</v>
      </c>
      <c r="CW152" s="528">
        <v>0</v>
      </c>
      <c r="CX152" s="528"/>
      <c r="CY152" s="528"/>
      <c r="CZ152" s="528"/>
      <c r="DA152" s="528">
        <v>290611.73000000214</v>
      </c>
      <c r="DB152" s="528">
        <v>290611.73000000214</v>
      </c>
      <c r="DC152" s="528">
        <v>0</v>
      </c>
      <c r="DD152" s="528">
        <v>5980.56</v>
      </c>
      <c r="DE152" s="528">
        <v>0</v>
      </c>
      <c r="DF152" s="528">
        <v>0</v>
      </c>
      <c r="DG152" s="528">
        <v>0</v>
      </c>
      <c r="DH152" s="528">
        <v>-26116.12</v>
      </c>
      <c r="DI152" s="528">
        <v>0</v>
      </c>
      <c r="DJ152" s="528">
        <v>0</v>
      </c>
      <c r="DK152" s="528">
        <v>-20135.559999999998</v>
      </c>
      <c r="DL152" s="528">
        <v>0</v>
      </c>
      <c r="DM152" s="528">
        <v>0</v>
      </c>
      <c r="DN152" s="528">
        <v>0</v>
      </c>
      <c r="DO152" s="528">
        <v>0</v>
      </c>
      <c r="DP152" s="528">
        <v>0</v>
      </c>
      <c r="DQ152" s="529">
        <v>-2.1536834537982941E-9</v>
      </c>
      <c r="DR152" s="530">
        <v>1543399.0399999979</v>
      </c>
      <c r="DS152" s="531">
        <v>437441.00000000023</v>
      </c>
      <c r="DT152" s="530">
        <v>25401.95</v>
      </c>
      <c r="DU152" s="530">
        <v>62453.5</v>
      </c>
      <c r="DV152" s="530">
        <v>0</v>
      </c>
      <c r="DW152" s="530">
        <v>0</v>
      </c>
    </row>
    <row r="153" spans="1:127" s="103" customFormat="1">
      <c r="A153" s="525">
        <v>3386</v>
      </c>
      <c r="B153" s="526" t="s">
        <v>775</v>
      </c>
      <c r="C153" s="525">
        <v>3386</v>
      </c>
      <c r="D153" s="527" t="s">
        <v>1284</v>
      </c>
      <c r="E153" s="527" t="s">
        <v>538</v>
      </c>
      <c r="F153" s="527" t="s">
        <v>5</v>
      </c>
      <c r="G153" s="527" t="s">
        <v>535</v>
      </c>
      <c r="H153" s="528">
        <v>1491688.89</v>
      </c>
      <c r="I153" s="528">
        <v>0</v>
      </c>
      <c r="J153" s="528">
        <v>100097.35</v>
      </c>
      <c r="K153" s="528">
        <v>0</v>
      </c>
      <c r="L153" s="528">
        <v>157100</v>
      </c>
      <c r="M153" s="528">
        <v>971.29</v>
      </c>
      <c r="N153" s="528">
        <v>0</v>
      </c>
      <c r="O153" s="528">
        <v>0</v>
      </c>
      <c r="P153" s="528">
        <v>20674.8</v>
      </c>
      <c r="Q153" s="528">
        <v>0</v>
      </c>
      <c r="R153" s="528">
        <v>0</v>
      </c>
      <c r="S153" s="528">
        <v>0</v>
      </c>
      <c r="T153" s="528">
        <v>5355.8499999999985</v>
      </c>
      <c r="U153" s="528">
        <v>0</v>
      </c>
      <c r="V153" s="528">
        <v>0</v>
      </c>
      <c r="W153" s="528">
        <v>7981.67</v>
      </c>
      <c r="X153" s="528">
        <v>31863</v>
      </c>
      <c r="Y153" s="528">
        <v>1815732.85</v>
      </c>
      <c r="Z153" s="528">
        <v>845037.24000000092</v>
      </c>
      <c r="AA153" s="528">
        <v>0</v>
      </c>
      <c r="AB153" s="528">
        <v>411382.01</v>
      </c>
      <c r="AC153" s="528">
        <v>63408.050000000425</v>
      </c>
      <c r="AD153" s="528">
        <v>18847.760000000002</v>
      </c>
      <c r="AE153" s="528">
        <v>0</v>
      </c>
      <c r="AF153" s="528">
        <v>54126.619999999879</v>
      </c>
      <c r="AG153" s="528">
        <v>1432.4399999999696</v>
      </c>
      <c r="AH153" s="528">
        <v>4680</v>
      </c>
      <c r="AI153" s="528">
        <v>0</v>
      </c>
      <c r="AJ153" s="528">
        <v>0</v>
      </c>
      <c r="AK153" s="528">
        <v>37635.640000000007</v>
      </c>
      <c r="AL153" s="528">
        <v>0</v>
      </c>
      <c r="AM153" s="528">
        <v>4221.6400000000003</v>
      </c>
      <c r="AN153" s="528">
        <v>2814.7</v>
      </c>
      <c r="AO153" s="528">
        <v>33218.04</v>
      </c>
      <c r="AP153" s="528">
        <v>0</v>
      </c>
      <c r="AQ153" s="528">
        <v>5278.4400000000005</v>
      </c>
      <c r="AR153" s="528">
        <v>46104.999999999993</v>
      </c>
      <c r="AS153" s="528">
        <v>0</v>
      </c>
      <c r="AT153" s="528">
        <v>0</v>
      </c>
      <c r="AU153" s="528">
        <v>63193.17</v>
      </c>
      <c r="AV153" s="528">
        <v>9500.7099999999991</v>
      </c>
      <c r="AW153" s="528">
        <v>3220</v>
      </c>
      <c r="AX153" s="528">
        <v>88096.549999999988</v>
      </c>
      <c r="AY153" s="528">
        <v>11816.319999999998</v>
      </c>
      <c r="AZ153" s="528">
        <v>1728.48</v>
      </c>
      <c r="BA153" s="528">
        <v>159327.47</v>
      </c>
      <c r="BB153" s="528">
        <v>0</v>
      </c>
      <c r="BC153" s="528">
        <v>0</v>
      </c>
      <c r="BD153" s="528">
        <v>0</v>
      </c>
      <c r="BE153" s="528">
        <v>1865070.280000001</v>
      </c>
      <c r="BF153" s="528">
        <v>258292.92999999979</v>
      </c>
      <c r="BG153" s="528">
        <v>-49337.430000000866</v>
      </c>
      <c r="BH153" s="528">
        <v>208955.49999999892</v>
      </c>
      <c r="BI153" s="528">
        <v>0</v>
      </c>
      <c r="BJ153" s="528">
        <v>0</v>
      </c>
      <c r="BK153" s="528">
        <v>0</v>
      </c>
      <c r="BL153" s="528">
        <v>0</v>
      </c>
      <c r="BM153" s="528">
        <v>0</v>
      </c>
      <c r="BN153" s="528">
        <v>0</v>
      </c>
      <c r="BO153" s="528">
        <v>0</v>
      </c>
      <c r="BP153" s="528">
        <v>0</v>
      </c>
      <c r="BQ153" s="528">
        <v>0</v>
      </c>
      <c r="BR153" s="528">
        <v>0</v>
      </c>
      <c r="BS153" s="528">
        <v>0</v>
      </c>
      <c r="BT153" s="528">
        <v>0</v>
      </c>
      <c r="BU153" s="528">
        <v>0</v>
      </c>
      <c r="BV153" s="528">
        <v>0</v>
      </c>
      <c r="BW153" s="528">
        <v>0</v>
      </c>
      <c r="BX153" s="528">
        <v>0</v>
      </c>
      <c r="BY153" s="528">
        <v>0</v>
      </c>
      <c r="BZ153" s="528">
        <v>0</v>
      </c>
      <c r="CA153" s="528">
        <v>0</v>
      </c>
      <c r="CB153" s="528">
        <v>0</v>
      </c>
      <c r="CC153" s="528">
        <v>0</v>
      </c>
      <c r="CD153" s="528">
        <v>208955.49999999892</v>
      </c>
      <c r="CE153" s="528">
        <v>0</v>
      </c>
      <c r="CF153" s="528">
        <v>0</v>
      </c>
      <c r="CG153" s="528">
        <v>0</v>
      </c>
      <c r="CH153" s="528">
        <v>0</v>
      </c>
      <c r="CI153" s="528">
        <f t="shared" si="2"/>
        <v>208955.49999999892</v>
      </c>
      <c r="CJ153" s="528">
        <v>119873.93</v>
      </c>
      <c r="CK153" s="528">
        <v>0</v>
      </c>
      <c r="CL153" s="528">
        <v>0</v>
      </c>
      <c r="CM153" s="528">
        <v>119873.93</v>
      </c>
      <c r="CN153" s="528">
        <v>0</v>
      </c>
      <c r="CO153" s="528">
        <v>0</v>
      </c>
      <c r="CP153" s="528">
        <v>1667.88</v>
      </c>
      <c r="CQ153" s="528">
        <v>0</v>
      </c>
      <c r="CR153" s="528">
        <v>108008.33000000002</v>
      </c>
      <c r="CS153" s="528">
        <v>229550.14</v>
      </c>
      <c r="CT153" s="528">
        <v>0</v>
      </c>
      <c r="CU153" s="528">
        <v>0</v>
      </c>
      <c r="CV153" s="528">
        <v>0</v>
      </c>
      <c r="CW153" s="528">
        <v>0</v>
      </c>
      <c r="CX153" s="528"/>
      <c r="CY153" s="528"/>
      <c r="CZ153" s="528"/>
      <c r="DA153" s="528">
        <v>0</v>
      </c>
      <c r="DB153" s="528">
        <v>0</v>
      </c>
      <c r="DC153" s="528">
        <v>0</v>
      </c>
      <c r="DD153" s="528">
        <v>7504.29</v>
      </c>
      <c r="DE153" s="528">
        <v>0</v>
      </c>
      <c r="DF153" s="528">
        <v>0</v>
      </c>
      <c r="DG153" s="528">
        <v>0</v>
      </c>
      <c r="DH153" s="528">
        <v>-28099.14</v>
      </c>
      <c r="DI153" s="528">
        <v>0</v>
      </c>
      <c r="DJ153" s="528">
        <v>0</v>
      </c>
      <c r="DK153" s="528">
        <v>-20594.849999999999</v>
      </c>
      <c r="DL153" s="528">
        <v>0</v>
      </c>
      <c r="DM153" s="528">
        <v>0</v>
      </c>
      <c r="DN153" s="528">
        <v>0</v>
      </c>
      <c r="DO153" s="528">
        <v>0</v>
      </c>
      <c r="DP153" s="528">
        <v>0</v>
      </c>
      <c r="DQ153" s="529">
        <v>0.20999999999185093</v>
      </c>
      <c r="DR153" s="530">
        <v>1394234.1200000013</v>
      </c>
      <c r="DS153" s="531">
        <v>470836.15999999968</v>
      </c>
      <c r="DT153" s="530">
        <v>11816.319999999998</v>
      </c>
      <c r="DU153" s="530">
        <v>26030.649999999998</v>
      </c>
      <c r="DV153" s="530">
        <v>0</v>
      </c>
      <c r="DW153" s="530">
        <v>0</v>
      </c>
    </row>
    <row r="154" spans="1:127" s="103" customFormat="1">
      <c r="A154" s="525">
        <v>3363</v>
      </c>
      <c r="B154" s="526" t="s">
        <v>777</v>
      </c>
      <c r="C154" s="525">
        <v>3363</v>
      </c>
      <c r="D154" s="527" t="s">
        <v>1284</v>
      </c>
      <c r="E154" s="527" t="s">
        <v>538</v>
      </c>
      <c r="F154" s="527" t="s">
        <v>5</v>
      </c>
      <c r="G154" s="527" t="s">
        <v>535</v>
      </c>
      <c r="H154" s="528">
        <v>1820273.8</v>
      </c>
      <c r="I154" s="528">
        <v>0</v>
      </c>
      <c r="J154" s="528">
        <v>19814.03</v>
      </c>
      <c r="K154" s="528">
        <v>0</v>
      </c>
      <c r="L154" s="528">
        <v>166050</v>
      </c>
      <c r="M154" s="528">
        <v>3456.93</v>
      </c>
      <c r="N154" s="528">
        <v>0</v>
      </c>
      <c r="O154" s="528">
        <v>16183.44</v>
      </c>
      <c r="P154" s="528">
        <v>0</v>
      </c>
      <c r="Q154" s="528">
        <v>0</v>
      </c>
      <c r="R154" s="528">
        <v>0</v>
      </c>
      <c r="S154" s="528">
        <v>0</v>
      </c>
      <c r="T154" s="528">
        <v>53591.43</v>
      </c>
      <c r="U154" s="528">
        <v>18233.57</v>
      </c>
      <c r="V154" s="528">
        <v>0</v>
      </c>
      <c r="W154" s="528">
        <v>7201.88</v>
      </c>
      <c r="X154" s="528">
        <v>62759</v>
      </c>
      <c r="Y154" s="528">
        <v>2167564.0799999996</v>
      </c>
      <c r="Z154" s="528">
        <v>977544.26</v>
      </c>
      <c r="AA154" s="528">
        <v>0</v>
      </c>
      <c r="AB154" s="528">
        <v>367613.19</v>
      </c>
      <c r="AC154" s="528">
        <v>45128.75</v>
      </c>
      <c r="AD154" s="528">
        <v>244421.06</v>
      </c>
      <c r="AE154" s="528">
        <v>0</v>
      </c>
      <c r="AF154" s="528">
        <v>106475.71</v>
      </c>
      <c r="AG154" s="528">
        <v>378</v>
      </c>
      <c r="AH154" s="528">
        <v>2750</v>
      </c>
      <c r="AI154" s="528">
        <v>0</v>
      </c>
      <c r="AJ154" s="528">
        <v>0</v>
      </c>
      <c r="AK154" s="528">
        <v>17436.14</v>
      </c>
      <c r="AL154" s="528">
        <v>0</v>
      </c>
      <c r="AM154" s="528">
        <v>40070.620000000003</v>
      </c>
      <c r="AN154" s="528">
        <v>5160.37</v>
      </c>
      <c r="AO154" s="528">
        <v>53261.34</v>
      </c>
      <c r="AP154" s="528">
        <v>3073.98</v>
      </c>
      <c r="AQ154" s="528">
        <v>30560.99</v>
      </c>
      <c r="AR154" s="528">
        <v>65582.91</v>
      </c>
      <c r="AS154" s="528">
        <v>8237.7000000000007</v>
      </c>
      <c r="AT154" s="528">
        <v>0</v>
      </c>
      <c r="AU154" s="528">
        <v>22819.66</v>
      </c>
      <c r="AV154" s="528">
        <v>9471</v>
      </c>
      <c r="AW154" s="528">
        <v>2800</v>
      </c>
      <c r="AX154" s="528">
        <v>103236.01</v>
      </c>
      <c r="AY154" s="528">
        <v>51834.97</v>
      </c>
      <c r="AZ154" s="528">
        <v>34329.56</v>
      </c>
      <c r="BA154" s="528">
        <v>90815.85</v>
      </c>
      <c r="BB154" s="528">
        <v>0</v>
      </c>
      <c r="BC154" s="528">
        <v>0</v>
      </c>
      <c r="BD154" s="528">
        <v>0</v>
      </c>
      <c r="BE154" s="528">
        <v>2283002.0700000003</v>
      </c>
      <c r="BF154" s="528">
        <v>248976.21000000008</v>
      </c>
      <c r="BG154" s="528">
        <v>-115437.99000000069</v>
      </c>
      <c r="BH154" s="528">
        <v>133538.21999999939</v>
      </c>
      <c r="BI154" s="528">
        <v>0</v>
      </c>
      <c r="BJ154" s="528">
        <v>0</v>
      </c>
      <c r="BK154" s="528">
        <v>0</v>
      </c>
      <c r="BL154" s="528">
        <v>0</v>
      </c>
      <c r="BM154" s="528">
        <v>0</v>
      </c>
      <c r="BN154" s="528">
        <v>0</v>
      </c>
      <c r="BO154" s="528">
        <v>0</v>
      </c>
      <c r="BP154" s="528">
        <v>0</v>
      </c>
      <c r="BQ154" s="528">
        <v>0</v>
      </c>
      <c r="BR154" s="528">
        <v>0</v>
      </c>
      <c r="BS154" s="528">
        <v>0</v>
      </c>
      <c r="BT154" s="528">
        <v>0</v>
      </c>
      <c r="BU154" s="528">
        <v>0</v>
      </c>
      <c r="BV154" s="528">
        <v>0</v>
      </c>
      <c r="BW154" s="528">
        <v>0</v>
      </c>
      <c r="BX154" s="528">
        <v>0</v>
      </c>
      <c r="BY154" s="528">
        <v>0</v>
      </c>
      <c r="BZ154" s="528">
        <v>0</v>
      </c>
      <c r="CA154" s="528">
        <v>0</v>
      </c>
      <c r="CB154" s="528">
        <v>0</v>
      </c>
      <c r="CC154" s="528">
        <v>0</v>
      </c>
      <c r="CD154" s="528">
        <v>133538.21999999939</v>
      </c>
      <c r="CE154" s="528">
        <v>0</v>
      </c>
      <c r="CF154" s="528">
        <v>0</v>
      </c>
      <c r="CG154" s="528">
        <v>0</v>
      </c>
      <c r="CH154" s="528">
        <v>0</v>
      </c>
      <c r="CI154" s="528">
        <f t="shared" si="2"/>
        <v>133538.21999999939</v>
      </c>
      <c r="CJ154" s="528">
        <v>305538.65999999997</v>
      </c>
      <c r="CK154" s="528">
        <v>180338.1</v>
      </c>
      <c r="CL154" s="528">
        <v>0</v>
      </c>
      <c r="CM154" s="528">
        <v>125200.55999999997</v>
      </c>
      <c r="CN154" s="528">
        <v>0</v>
      </c>
      <c r="CO154" s="528">
        <v>0</v>
      </c>
      <c r="CP154" s="528">
        <v>5861.74</v>
      </c>
      <c r="CQ154" s="528">
        <v>0</v>
      </c>
      <c r="CR154" s="528">
        <v>0</v>
      </c>
      <c r="CS154" s="528">
        <v>131062.29999999997</v>
      </c>
      <c r="CT154" s="528">
        <v>8506.9500000000007</v>
      </c>
      <c r="CU154" s="528">
        <v>0</v>
      </c>
      <c r="CV154" s="528">
        <v>0</v>
      </c>
      <c r="CW154" s="528">
        <v>8506.9500000000007</v>
      </c>
      <c r="CX154" s="528"/>
      <c r="CY154" s="528"/>
      <c r="CZ154" s="528"/>
      <c r="DA154" s="528">
        <v>0</v>
      </c>
      <c r="DB154" s="528">
        <v>8506.9500000000007</v>
      </c>
      <c r="DC154" s="528">
        <v>0</v>
      </c>
      <c r="DD154" s="528">
        <v>0</v>
      </c>
      <c r="DE154" s="528">
        <v>0</v>
      </c>
      <c r="DF154" s="528">
        <v>0</v>
      </c>
      <c r="DG154" s="528">
        <v>-12750.49</v>
      </c>
      <c r="DH154" s="528">
        <v>0</v>
      </c>
      <c r="DI154" s="528">
        <v>0</v>
      </c>
      <c r="DJ154" s="528">
        <v>0</v>
      </c>
      <c r="DK154" s="528">
        <v>-12750.49</v>
      </c>
      <c r="DL154" s="528">
        <v>0</v>
      </c>
      <c r="DM154" s="528">
        <v>6577.03</v>
      </c>
      <c r="DN154" s="528">
        <v>142.44</v>
      </c>
      <c r="DO154" s="528">
        <v>0</v>
      </c>
      <c r="DP154" s="528">
        <v>0</v>
      </c>
      <c r="DQ154" s="529">
        <v>0.19999999995343387</v>
      </c>
      <c r="DR154" s="530">
        <v>1741560.97</v>
      </c>
      <c r="DS154" s="531">
        <v>541441.10000000033</v>
      </c>
      <c r="DT154" s="530">
        <v>51834.97</v>
      </c>
      <c r="DU154" s="530">
        <v>69774.87</v>
      </c>
      <c r="DV154" s="530">
        <v>18233.57</v>
      </c>
      <c r="DW154" s="530">
        <v>6719.4699999999993</v>
      </c>
    </row>
    <row r="155" spans="1:127" s="103" customFormat="1">
      <c r="A155" s="525">
        <v>3355</v>
      </c>
      <c r="B155" s="526" t="s">
        <v>779</v>
      </c>
      <c r="C155" s="525">
        <v>3355</v>
      </c>
      <c r="D155" s="527" t="s">
        <v>1284</v>
      </c>
      <c r="E155" s="527" t="s">
        <v>538</v>
      </c>
      <c r="F155" s="527" t="s">
        <v>5</v>
      </c>
      <c r="G155" s="527" t="s">
        <v>535</v>
      </c>
      <c r="H155" s="528">
        <v>2147562.06</v>
      </c>
      <c r="I155" s="528">
        <v>0</v>
      </c>
      <c r="J155" s="528">
        <v>117686.49</v>
      </c>
      <c r="K155" s="528">
        <v>0</v>
      </c>
      <c r="L155" s="528">
        <v>155040</v>
      </c>
      <c r="M155" s="528">
        <v>124367.51000000001</v>
      </c>
      <c r="N155" s="528">
        <v>0</v>
      </c>
      <c r="O155" s="528">
        <v>0</v>
      </c>
      <c r="P155" s="528">
        <v>123290.06000000001</v>
      </c>
      <c r="Q155" s="528">
        <v>44650.22</v>
      </c>
      <c r="R155" s="528">
        <v>0</v>
      </c>
      <c r="S155" s="528">
        <v>0</v>
      </c>
      <c r="T155" s="528">
        <v>16170.89</v>
      </c>
      <c r="U155" s="528">
        <v>0</v>
      </c>
      <c r="V155" s="528">
        <v>0</v>
      </c>
      <c r="W155" s="528">
        <v>1864.8</v>
      </c>
      <c r="X155" s="528">
        <v>75549</v>
      </c>
      <c r="Y155" s="528">
        <v>2806181.0300000007</v>
      </c>
      <c r="Z155" s="528">
        <v>1066828.4999999977</v>
      </c>
      <c r="AA155" s="528">
        <v>0</v>
      </c>
      <c r="AB155" s="528">
        <v>466950.05</v>
      </c>
      <c r="AC155" s="528">
        <v>56295.780000001483</v>
      </c>
      <c r="AD155" s="528">
        <v>127607.28</v>
      </c>
      <c r="AE155" s="528">
        <v>0</v>
      </c>
      <c r="AF155" s="528">
        <v>25262.149999999441</v>
      </c>
      <c r="AG155" s="528">
        <v>0</v>
      </c>
      <c r="AH155" s="528">
        <v>5870</v>
      </c>
      <c r="AI155" s="528">
        <v>0</v>
      </c>
      <c r="AJ155" s="528">
        <v>0</v>
      </c>
      <c r="AK155" s="528">
        <v>0</v>
      </c>
      <c r="AL155" s="528">
        <v>2988.69</v>
      </c>
      <c r="AM155" s="528">
        <v>45166</v>
      </c>
      <c r="AN155" s="528">
        <v>9413.9500000000007</v>
      </c>
      <c r="AO155" s="528">
        <v>49628.02</v>
      </c>
      <c r="AP155" s="528">
        <v>6200.96</v>
      </c>
      <c r="AQ155" s="528">
        <v>6000.27</v>
      </c>
      <c r="AR155" s="528">
        <v>69091.58</v>
      </c>
      <c r="AS155" s="528">
        <v>602.37</v>
      </c>
      <c r="AT155" s="528">
        <v>360.59999999999991</v>
      </c>
      <c r="AU155" s="528">
        <v>302604.33999999997</v>
      </c>
      <c r="AV155" s="528">
        <v>9471</v>
      </c>
      <c r="AW155" s="528">
        <v>0</v>
      </c>
      <c r="AX155" s="528">
        <v>203937.19</v>
      </c>
      <c r="AY155" s="528">
        <v>9744.5999999999985</v>
      </c>
      <c r="AZ155" s="528">
        <v>10278.700000000001</v>
      </c>
      <c r="BA155" s="528">
        <v>221663.59</v>
      </c>
      <c r="BB155" s="528">
        <v>0</v>
      </c>
      <c r="BC155" s="528">
        <v>0</v>
      </c>
      <c r="BD155" s="528">
        <v>437.04</v>
      </c>
      <c r="BE155" s="528">
        <v>2696402.6599999988</v>
      </c>
      <c r="BF155" s="528">
        <v>281256.39000000036</v>
      </c>
      <c r="BG155" s="528">
        <v>109778.37000000197</v>
      </c>
      <c r="BH155" s="528">
        <v>391034.76000000234</v>
      </c>
      <c r="BI155" s="528">
        <v>0</v>
      </c>
      <c r="BJ155" s="528">
        <v>0</v>
      </c>
      <c r="BK155" s="528">
        <v>437.04</v>
      </c>
      <c r="BL155" s="528">
        <v>437.04</v>
      </c>
      <c r="BM155" s="528">
        <v>0</v>
      </c>
      <c r="BN155" s="528">
        <v>437.04</v>
      </c>
      <c r="BO155" s="528">
        <v>0</v>
      </c>
      <c r="BP155" s="528">
        <v>0</v>
      </c>
      <c r="BQ155" s="528">
        <v>437.04</v>
      </c>
      <c r="BR155" s="528">
        <v>0</v>
      </c>
      <c r="BS155" s="528">
        <v>0</v>
      </c>
      <c r="BT155" s="528">
        <v>0</v>
      </c>
      <c r="BU155" s="528">
        <v>0</v>
      </c>
      <c r="BV155" s="528">
        <v>0</v>
      </c>
      <c r="BW155" s="528">
        <v>0</v>
      </c>
      <c r="BX155" s="528">
        <v>0</v>
      </c>
      <c r="BY155" s="528">
        <v>0</v>
      </c>
      <c r="BZ155" s="528">
        <v>0</v>
      </c>
      <c r="CA155" s="528">
        <v>0</v>
      </c>
      <c r="CB155" s="528">
        <v>0</v>
      </c>
      <c r="CC155" s="528">
        <v>0</v>
      </c>
      <c r="CD155" s="528">
        <v>391034.76000000234</v>
      </c>
      <c r="CE155" s="528">
        <v>0</v>
      </c>
      <c r="CF155" s="528">
        <v>0</v>
      </c>
      <c r="CG155" s="528">
        <v>0</v>
      </c>
      <c r="CH155" s="528">
        <v>0</v>
      </c>
      <c r="CI155" s="528">
        <f t="shared" si="2"/>
        <v>391034.76000000234</v>
      </c>
      <c r="CJ155" s="528">
        <v>660494.53</v>
      </c>
      <c r="CK155" s="528">
        <v>0</v>
      </c>
      <c r="CL155" s="528">
        <v>0</v>
      </c>
      <c r="CM155" s="528">
        <v>660494.53</v>
      </c>
      <c r="CN155" s="528">
        <v>0</v>
      </c>
      <c r="CO155" s="528">
        <v>0</v>
      </c>
      <c r="CP155" s="528">
        <v>2986.22</v>
      </c>
      <c r="CQ155" s="528">
        <v>19474.760000000002</v>
      </c>
      <c r="CR155" s="528">
        <v>-257315</v>
      </c>
      <c r="CS155" s="528">
        <v>425640.51</v>
      </c>
      <c r="CT155" s="528">
        <v>0</v>
      </c>
      <c r="CU155" s="528">
        <v>0</v>
      </c>
      <c r="CV155" s="528">
        <v>0</v>
      </c>
      <c r="CW155" s="528">
        <v>0</v>
      </c>
      <c r="CX155" s="528"/>
      <c r="CY155" s="528"/>
      <c r="CZ155" s="528"/>
      <c r="DA155" s="528">
        <v>0</v>
      </c>
      <c r="DB155" s="528">
        <v>0</v>
      </c>
      <c r="DC155" s="528">
        <v>0</v>
      </c>
      <c r="DD155" s="528">
        <v>8072.49</v>
      </c>
      <c r="DE155" s="528">
        <v>0</v>
      </c>
      <c r="DF155" s="528">
        <v>0</v>
      </c>
      <c r="DG155" s="528">
        <v>0</v>
      </c>
      <c r="DH155" s="528">
        <v>-42678.3</v>
      </c>
      <c r="DI155" s="528">
        <v>0</v>
      </c>
      <c r="DJ155" s="528">
        <v>0</v>
      </c>
      <c r="DK155" s="528">
        <v>-34605.810000000005</v>
      </c>
      <c r="DL155" s="528">
        <v>0</v>
      </c>
      <c r="DM155" s="528">
        <v>0</v>
      </c>
      <c r="DN155" s="528">
        <v>0</v>
      </c>
      <c r="DO155" s="528">
        <v>0</v>
      </c>
      <c r="DP155" s="528">
        <v>0</v>
      </c>
      <c r="DQ155" s="529">
        <v>5.9999999997671694E-2</v>
      </c>
      <c r="DR155" s="530">
        <v>1742943.7599999986</v>
      </c>
      <c r="DS155" s="531">
        <v>953458.90000000014</v>
      </c>
      <c r="DT155" s="530">
        <v>9744.5999999999985</v>
      </c>
      <c r="DU155" s="530">
        <v>184111.17000000004</v>
      </c>
      <c r="DV155" s="530">
        <v>0</v>
      </c>
      <c r="DW155" s="530">
        <v>0</v>
      </c>
    </row>
    <row r="156" spans="1:127" s="103" customFormat="1">
      <c r="A156" s="525">
        <v>3342</v>
      </c>
      <c r="B156" s="526" t="s">
        <v>923</v>
      </c>
      <c r="C156" s="525">
        <v>3342</v>
      </c>
      <c r="D156" s="527" t="s">
        <v>1284</v>
      </c>
      <c r="E156" s="527" t="s">
        <v>538</v>
      </c>
      <c r="F156" s="527" t="s">
        <v>5</v>
      </c>
      <c r="G156" s="527" t="s">
        <v>958</v>
      </c>
      <c r="H156" s="528">
        <v>2356634.7000000002</v>
      </c>
      <c r="I156" s="528">
        <v>0</v>
      </c>
      <c r="J156" s="528">
        <v>140517.01</v>
      </c>
      <c r="K156" s="528">
        <v>0</v>
      </c>
      <c r="L156" s="528">
        <v>329880</v>
      </c>
      <c r="M156" s="528">
        <v>8656.93</v>
      </c>
      <c r="N156" s="528">
        <v>0</v>
      </c>
      <c r="O156" s="528">
        <v>0</v>
      </c>
      <c r="P156" s="528">
        <v>25523.29</v>
      </c>
      <c r="Q156" s="528">
        <v>57025.42</v>
      </c>
      <c r="R156" s="528">
        <v>0</v>
      </c>
      <c r="S156" s="528">
        <v>0</v>
      </c>
      <c r="T156" s="528">
        <v>0</v>
      </c>
      <c r="U156" s="528">
        <v>0</v>
      </c>
      <c r="V156" s="528">
        <v>0</v>
      </c>
      <c r="W156" s="528">
        <v>5359.17</v>
      </c>
      <c r="X156" s="528">
        <v>58610</v>
      </c>
      <c r="Y156" s="528">
        <v>2982206.52</v>
      </c>
      <c r="Z156" s="528">
        <v>1168572.6999999997</v>
      </c>
      <c r="AA156" s="528">
        <v>1603</v>
      </c>
      <c r="AB156" s="528">
        <v>507980.29000000004</v>
      </c>
      <c r="AC156" s="528">
        <v>44786.960000001476</v>
      </c>
      <c r="AD156" s="528">
        <v>246060.49000000002</v>
      </c>
      <c r="AE156" s="528">
        <v>0</v>
      </c>
      <c r="AF156" s="528">
        <v>105150.91999999894</v>
      </c>
      <c r="AG156" s="528">
        <v>1236.2000000000007</v>
      </c>
      <c r="AH156" s="528">
        <v>5181.5</v>
      </c>
      <c r="AI156" s="528">
        <v>0</v>
      </c>
      <c r="AJ156" s="528">
        <v>0</v>
      </c>
      <c r="AK156" s="528">
        <v>4380.28</v>
      </c>
      <c r="AL156" s="528">
        <v>0</v>
      </c>
      <c r="AM156" s="528">
        <v>63932</v>
      </c>
      <c r="AN156" s="528">
        <v>17530.77</v>
      </c>
      <c r="AO156" s="528">
        <v>35229.82</v>
      </c>
      <c r="AP156" s="528">
        <v>7949.95</v>
      </c>
      <c r="AQ156" s="528">
        <v>10982.32</v>
      </c>
      <c r="AR156" s="528">
        <v>66071.049999999988</v>
      </c>
      <c r="AS156" s="528">
        <v>29123.41</v>
      </c>
      <c r="AT156" s="528">
        <v>0</v>
      </c>
      <c r="AU156" s="528">
        <v>68658.710000000006</v>
      </c>
      <c r="AV156" s="528">
        <v>18081</v>
      </c>
      <c r="AW156" s="528">
        <v>15353.900000000001</v>
      </c>
      <c r="AX156" s="528">
        <v>188696.38</v>
      </c>
      <c r="AY156" s="528">
        <v>224557.38999999998</v>
      </c>
      <c r="AZ156" s="528">
        <v>6031.42</v>
      </c>
      <c r="BA156" s="528">
        <v>87138.980000000025</v>
      </c>
      <c r="BB156" s="528">
        <v>0</v>
      </c>
      <c r="BC156" s="528">
        <v>0</v>
      </c>
      <c r="BD156" s="528">
        <v>1049.1199999999999</v>
      </c>
      <c r="BE156" s="528">
        <v>2925338.5599999996</v>
      </c>
      <c r="BF156" s="528">
        <v>464359.97000000009</v>
      </c>
      <c r="BG156" s="528">
        <v>56867.960000000428</v>
      </c>
      <c r="BH156" s="528">
        <v>521227.93000000052</v>
      </c>
      <c r="BI156" s="528">
        <v>0</v>
      </c>
      <c r="BJ156" s="528">
        <v>0</v>
      </c>
      <c r="BK156" s="528">
        <v>1049.1199999999999</v>
      </c>
      <c r="BL156" s="528">
        <v>1049.1199999999999</v>
      </c>
      <c r="BM156" s="528">
        <v>0</v>
      </c>
      <c r="BN156" s="528">
        <v>1049.1199999999999</v>
      </c>
      <c r="BO156" s="528">
        <v>0</v>
      </c>
      <c r="BP156" s="528">
        <v>0</v>
      </c>
      <c r="BQ156" s="528">
        <v>1049.1199999999999</v>
      </c>
      <c r="BR156" s="528">
        <v>0</v>
      </c>
      <c r="BS156" s="528">
        <v>0</v>
      </c>
      <c r="BT156" s="528">
        <v>0</v>
      </c>
      <c r="BU156" s="528">
        <v>0</v>
      </c>
      <c r="BV156" s="528">
        <v>0</v>
      </c>
      <c r="BW156" s="528">
        <v>0</v>
      </c>
      <c r="BX156" s="528">
        <v>0</v>
      </c>
      <c r="BY156" s="528">
        <v>0</v>
      </c>
      <c r="BZ156" s="528">
        <v>0</v>
      </c>
      <c r="CA156" s="528">
        <v>0</v>
      </c>
      <c r="CB156" s="528">
        <v>0</v>
      </c>
      <c r="CC156" s="528">
        <v>0</v>
      </c>
      <c r="CD156" s="528">
        <v>521227.93000000052</v>
      </c>
      <c r="CE156" s="528">
        <v>0</v>
      </c>
      <c r="CF156" s="528">
        <v>0</v>
      </c>
      <c r="CG156" s="528">
        <v>0</v>
      </c>
      <c r="CH156" s="528">
        <v>0</v>
      </c>
      <c r="CI156" s="528">
        <f t="shared" si="2"/>
        <v>521227.93000000052</v>
      </c>
      <c r="CJ156" s="528">
        <v>0</v>
      </c>
      <c r="CK156" s="528">
        <v>0</v>
      </c>
      <c r="CL156" s="528">
        <v>0</v>
      </c>
      <c r="CM156" s="528">
        <v>0</v>
      </c>
      <c r="CN156" s="528">
        <v>1000</v>
      </c>
      <c r="CO156" s="528">
        <v>0</v>
      </c>
      <c r="CP156" s="528">
        <v>0</v>
      </c>
      <c r="CQ156" s="528">
        <v>0</v>
      </c>
      <c r="CR156" s="528">
        <v>14508</v>
      </c>
      <c r="CS156" s="528">
        <v>15508</v>
      </c>
      <c r="CT156" s="528">
        <v>15508</v>
      </c>
      <c r="CU156" s="528">
        <v>0</v>
      </c>
      <c r="CV156" s="528">
        <v>0</v>
      </c>
      <c r="CW156" s="528">
        <v>15508</v>
      </c>
      <c r="CX156" s="528"/>
      <c r="CY156" s="528"/>
      <c r="CZ156" s="528"/>
      <c r="DA156" s="528">
        <v>532448.43000000017</v>
      </c>
      <c r="DB156" s="528">
        <v>547956.43000000017</v>
      </c>
      <c r="DC156" s="528">
        <v>0</v>
      </c>
      <c r="DD156" s="528">
        <v>14797.18</v>
      </c>
      <c r="DE156" s="528">
        <v>0</v>
      </c>
      <c r="DF156" s="528">
        <v>0</v>
      </c>
      <c r="DG156" s="528">
        <v>-7932.75</v>
      </c>
      <c r="DH156" s="528">
        <v>-49100.93</v>
      </c>
      <c r="DI156" s="528">
        <v>0</v>
      </c>
      <c r="DJ156" s="528">
        <v>0</v>
      </c>
      <c r="DK156" s="528">
        <v>-42236.5</v>
      </c>
      <c r="DL156" s="528">
        <v>0</v>
      </c>
      <c r="DM156" s="528">
        <v>0</v>
      </c>
      <c r="DN156" s="528">
        <v>0</v>
      </c>
      <c r="DO156" s="528">
        <v>0</v>
      </c>
      <c r="DP156" s="528">
        <v>0</v>
      </c>
      <c r="DQ156" s="529">
        <v>0</v>
      </c>
      <c r="DR156" s="530">
        <v>2075390.56</v>
      </c>
      <c r="DS156" s="531">
        <v>849947.99999999953</v>
      </c>
      <c r="DT156" s="530">
        <v>224557.38999999998</v>
      </c>
      <c r="DU156" s="530">
        <v>82548.709999999992</v>
      </c>
      <c r="DV156" s="530">
        <v>0</v>
      </c>
      <c r="DW156" s="530">
        <v>0</v>
      </c>
    </row>
    <row r="157" spans="1:127" s="103" customFormat="1">
      <c r="A157" s="525">
        <v>3367</v>
      </c>
      <c r="B157" s="526" t="s">
        <v>781</v>
      </c>
      <c r="C157" s="525">
        <v>3367</v>
      </c>
      <c r="D157" s="527" t="s">
        <v>1284</v>
      </c>
      <c r="E157" s="527" t="s">
        <v>538</v>
      </c>
      <c r="F157" s="527" t="s">
        <v>5</v>
      </c>
      <c r="G157" s="527" t="s">
        <v>535</v>
      </c>
      <c r="H157" s="528">
        <v>1342937.4</v>
      </c>
      <c r="I157" s="528">
        <v>0</v>
      </c>
      <c r="J157" s="528">
        <v>32123.54</v>
      </c>
      <c r="K157" s="528">
        <v>0</v>
      </c>
      <c r="L157" s="528">
        <v>128190</v>
      </c>
      <c r="M157" s="528">
        <v>856.93</v>
      </c>
      <c r="N157" s="528">
        <v>0</v>
      </c>
      <c r="O157" s="528">
        <v>0</v>
      </c>
      <c r="P157" s="528">
        <v>49244.940000000068</v>
      </c>
      <c r="Q157" s="528">
        <v>25479.83</v>
      </c>
      <c r="R157" s="528">
        <v>0</v>
      </c>
      <c r="S157" s="528">
        <v>0</v>
      </c>
      <c r="T157" s="528">
        <v>1351</v>
      </c>
      <c r="U157" s="528">
        <v>0</v>
      </c>
      <c r="V157" s="528">
        <v>0</v>
      </c>
      <c r="W157" s="528">
        <v>2055.63</v>
      </c>
      <c r="X157" s="528">
        <v>37824</v>
      </c>
      <c r="Y157" s="528">
        <v>1620063.27</v>
      </c>
      <c r="Z157" s="528">
        <v>645736.46999999892</v>
      </c>
      <c r="AA157" s="528">
        <v>5206.3500000000004</v>
      </c>
      <c r="AB157" s="528">
        <v>-3506.7200000000007</v>
      </c>
      <c r="AC157" s="528">
        <v>334362.34000000003</v>
      </c>
      <c r="AD157" s="528">
        <v>0</v>
      </c>
      <c r="AE157" s="528">
        <v>0</v>
      </c>
      <c r="AF157" s="528">
        <v>218015.71999999994</v>
      </c>
      <c r="AG157" s="528">
        <v>1711.9300000000026</v>
      </c>
      <c r="AH157" s="528">
        <v>0</v>
      </c>
      <c r="AI157" s="528">
        <v>0</v>
      </c>
      <c r="AJ157" s="528">
        <v>0</v>
      </c>
      <c r="AK157" s="528">
        <v>0</v>
      </c>
      <c r="AL157" s="528">
        <v>0</v>
      </c>
      <c r="AM157" s="528">
        <v>0</v>
      </c>
      <c r="AN157" s="528">
        <v>0</v>
      </c>
      <c r="AO157" s="528">
        <v>20431.86</v>
      </c>
      <c r="AP157" s="528">
        <v>3141.82</v>
      </c>
      <c r="AQ157" s="528">
        <v>2954.26</v>
      </c>
      <c r="AR157" s="528">
        <v>259505.39</v>
      </c>
      <c r="AS157" s="528">
        <v>434.5</v>
      </c>
      <c r="AT157" s="528">
        <v>120.19999999999997</v>
      </c>
      <c r="AU157" s="528">
        <v>557.67000000000007</v>
      </c>
      <c r="AV157" s="528">
        <v>5139.75</v>
      </c>
      <c r="AW157" s="528">
        <v>0</v>
      </c>
      <c r="AX157" s="528">
        <v>119322.73000000001</v>
      </c>
      <c r="AY157" s="528">
        <v>0</v>
      </c>
      <c r="AZ157" s="528">
        <v>5164.42</v>
      </c>
      <c r="BA157" s="528">
        <v>14516.189999999999</v>
      </c>
      <c r="BB157" s="528">
        <v>0</v>
      </c>
      <c r="BC157" s="528">
        <v>0</v>
      </c>
      <c r="BD157" s="528">
        <v>0</v>
      </c>
      <c r="BE157" s="528">
        <v>1632814.8799999987</v>
      </c>
      <c r="BF157" s="528">
        <v>48321.86999999977</v>
      </c>
      <c r="BG157" s="528">
        <v>-12751.609999998705</v>
      </c>
      <c r="BH157" s="528">
        <v>35570.260000001064</v>
      </c>
      <c r="BI157" s="528">
        <v>0</v>
      </c>
      <c r="BJ157" s="528">
        <v>0</v>
      </c>
      <c r="BK157" s="528">
        <v>0</v>
      </c>
      <c r="BL157" s="528">
        <v>0</v>
      </c>
      <c r="BM157" s="528">
        <v>0</v>
      </c>
      <c r="BN157" s="528">
        <v>0</v>
      </c>
      <c r="BO157" s="528">
        <v>0</v>
      </c>
      <c r="BP157" s="528">
        <v>0</v>
      </c>
      <c r="BQ157" s="528">
        <v>0</v>
      </c>
      <c r="BR157" s="528">
        <v>0</v>
      </c>
      <c r="BS157" s="528">
        <v>0</v>
      </c>
      <c r="BT157" s="528">
        <v>0</v>
      </c>
      <c r="BU157" s="528">
        <v>0</v>
      </c>
      <c r="BV157" s="528">
        <v>0</v>
      </c>
      <c r="BW157" s="528">
        <v>0</v>
      </c>
      <c r="BX157" s="528">
        <v>0</v>
      </c>
      <c r="BY157" s="528">
        <v>0</v>
      </c>
      <c r="BZ157" s="528">
        <v>0</v>
      </c>
      <c r="CA157" s="528">
        <v>0</v>
      </c>
      <c r="CB157" s="528">
        <v>0</v>
      </c>
      <c r="CC157" s="528">
        <v>0</v>
      </c>
      <c r="CD157" s="528">
        <v>35570.260000001064</v>
      </c>
      <c r="CE157" s="528">
        <v>0</v>
      </c>
      <c r="CF157" s="528">
        <v>0</v>
      </c>
      <c r="CG157" s="528">
        <v>0</v>
      </c>
      <c r="CH157" s="528">
        <v>0</v>
      </c>
      <c r="CI157" s="528">
        <f t="shared" si="2"/>
        <v>35570.260000001064</v>
      </c>
      <c r="CJ157" s="528">
        <v>255194.78</v>
      </c>
      <c r="CK157" s="528">
        <v>0</v>
      </c>
      <c r="CL157" s="528">
        <v>0</v>
      </c>
      <c r="CM157" s="528">
        <v>255194.78</v>
      </c>
      <c r="CN157" s="528">
        <v>0</v>
      </c>
      <c r="CO157" s="528">
        <v>0</v>
      </c>
      <c r="CP157" s="528">
        <v>1200.69</v>
      </c>
      <c r="CQ157" s="528">
        <v>0</v>
      </c>
      <c r="CR157" s="528">
        <v>-199944.58</v>
      </c>
      <c r="CS157" s="528">
        <v>56450.890000000014</v>
      </c>
      <c r="CT157" s="528">
        <v>0</v>
      </c>
      <c r="CU157" s="528">
        <v>0</v>
      </c>
      <c r="CV157" s="528">
        <v>0</v>
      </c>
      <c r="CW157" s="528">
        <v>0</v>
      </c>
      <c r="CX157" s="528"/>
      <c r="CY157" s="528"/>
      <c r="CZ157" s="528"/>
      <c r="DA157" s="528">
        <v>0</v>
      </c>
      <c r="DB157" s="528">
        <v>0</v>
      </c>
      <c r="DC157" s="528">
        <v>0</v>
      </c>
      <c r="DD157" s="528">
        <v>4056.44</v>
      </c>
      <c r="DE157" s="528">
        <v>0</v>
      </c>
      <c r="DF157" s="528">
        <v>0</v>
      </c>
      <c r="DG157" s="528">
        <v>0</v>
      </c>
      <c r="DH157" s="528">
        <v>-24937.07</v>
      </c>
      <c r="DI157" s="528">
        <v>0</v>
      </c>
      <c r="DJ157" s="528">
        <v>0</v>
      </c>
      <c r="DK157" s="528">
        <v>-20880.63</v>
      </c>
      <c r="DL157" s="528">
        <v>0</v>
      </c>
      <c r="DM157" s="528">
        <v>0</v>
      </c>
      <c r="DN157" s="528">
        <v>0</v>
      </c>
      <c r="DO157" s="528">
        <v>0</v>
      </c>
      <c r="DP157" s="528">
        <v>0</v>
      </c>
      <c r="DQ157" s="529">
        <v>0</v>
      </c>
      <c r="DR157" s="530">
        <v>1201526.0899999989</v>
      </c>
      <c r="DS157" s="531">
        <v>431288.7899999998</v>
      </c>
      <c r="DT157" s="530">
        <v>0</v>
      </c>
      <c r="DU157" s="530">
        <v>76075.770000000077</v>
      </c>
      <c r="DV157" s="530">
        <v>0</v>
      </c>
      <c r="DW157" s="530">
        <v>0</v>
      </c>
    </row>
    <row r="158" spans="1:127" s="103" customFormat="1">
      <c r="A158" s="525">
        <v>3010</v>
      </c>
      <c r="B158" s="526" t="s">
        <v>783</v>
      </c>
      <c r="C158" s="525">
        <v>3010</v>
      </c>
      <c r="D158" s="527" t="s">
        <v>1284</v>
      </c>
      <c r="E158" s="527" t="s">
        <v>538</v>
      </c>
      <c r="F158" s="527" t="s">
        <v>5</v>
      </c>
      <c r="G158" s="527" t="s">
        <v>535</v>
      </c>
      <c r="H158" s="528">
        <v>2546154.33</v>
      </c>
      <c r="I158" s="528">
        <v>0</v>
      </c>
      <c r="J158" s="528">
        <v>131882.99</v>
      </c>
      <c r="K158" s="528">
        <v>0</v>
      </c>
      <c r="L158" s="528">
        <v>293057</v>
      </c>
      <c r="M158" s="528">
        <v>200</v>
      </c>
      <c r="N158" s="528">
        <v>0</v>
      </c>
      <c r="O158" s="528">
        <v>0</v>
      </c>
      <c r="P158" s="528">
        <v>39971.630000000005</v>
      </c>
      <c r="Q158" s="528">
        <v>0</v>
      </c>
      <c r="R158" s="528">
        <v>0</v>
      </c>
      <c r="S158" s="528">
        <v>0</v>
      </c>
      <c r="T158" s="528">
        <v>43290.2</v>
      </c>
      <c r="U158" s="528">
        <v>5000</v>
      </c>
      <c r="V158" s="528">
        <v>0</v>
      </c>
      <c r="W158" s="528">
        <v>4443.13</v>
      </c>
      <c r="X158" s="528">
        <v>72520</v>
      </c>
      <c r="Y158" s="528">
        <v>3136519.2800000003</v>
      </c>
      <c r="Z158" s="528">
        <v>1114631.919999999</v>
      </c>
      <c r="AA158" s="528">
        <v>5305.96</v>
      </c>
      <c r="AB158" s="528">
        <v>609287.61</v>
      </c>
      <c r="AC158" s="528">
        <v>1.3969838619232178E-9</v>
      </c>
      <c r="AD158" s="528">
        <v>104.17</v>
      </c>
      <c r="AE158" s="528">
        <v>0</v>
      </c>
      <c r="AF158" s="528">
        <v>591568.77</v>
      </c>
      <c r="AG158" s="528">
        <v>38612.60000000002</v>
      </c>
      <c r="AH158" s="528">
        <v>7579.7</v>
      </c>
      <c r="AI158" s="528">
        <v>0</v>
      </c>
      <c r="AJ158" s="528">
        <v>0</v>
      </c>
      <c r="AK158" s="528">
        <v>16035.970000000001</v>
      </c>
      <c r="AL158" s="528">
        <v>19.95</v>
      </c>
      <c r="AM158" s="528">
        <v>0</v>
      </c>
      <c r="AN158" s="528">
        <v>10049.959999999999</v>
      </c>
      <c r="AO158" s="528">
        <v>44369.91</v>
      </c>
      <c r="AP158" s="528">
        <v>15367.06</v>
      </c>
      <c r="AQ158" s="528">
        <v>38625.380000000005</v>
      </c>
      <c r="AR158" s="528">
        <v>140238.72999999998</v>
      </c>
      <c r="AS158" s="528">
        <v>788.33</v>
      </c>
      <c r="AT158" s="528">
        <v>0</v>
      </c>
      <c r="AU158" s="528">
        <v>25658.429999999993</v>
      </c>
      <c r="AV158" s="528">
        <v>9471</v>
      </c>
      <c r="AW158" s="528">
        <v>1502</v>
      </c>
      <c r="AX158" s="528">
        <v>115265.12</v>
      </c>
      <c r="AY158" s="528">
        <v>143499.28</v>
      </c>
      <c r="AZ158" s="528">
        <v>10504.33</v>
      </c>
      <c r="BA158" s="528">
        <v>103606.08000000003</v>
      </c>
      <c r="BB158" s="528">
        <v>156618</v>
      </c>
      <c r="BC158" s="528">
        <v>0</v>
      </c>
      <c r="BD158" s="528">
        <v>0</v>
      </c>
      <c r="BE158" s="528">
        <v>3198710.2600000012</v>
      </c>
      <c r="BF158" s="528">
        <v>602578.22999999975</v>
      </c>
      <c r="BG158" s="528">
        <v>-62190.980000000913</v>
      </c>
      <c r="BH158" s="528">
        <v>540387.24999999884</v>
      </c>
      <c r="BI158" s="528">
        <v>8702.5</v>
      </c>
      <c r="BJ158" s="528">
        <v>0</v>
      </c>
      <c r="BK158" s="528">
        <v>0</v>
      </c>
      <c r="BL158" s="528">
        <v>8702.5</v>
      </c>
      <c r="BM158" s="528">
        <v>0</v>
      </c>
      <c r="BN158" s="528">
        <v>0</v>
      </c>
      <c r="BO158" s="528">
        <v>0</v>
      </c>
      <c r="BP158" s="528">
        <v>0</v>
      </c>
      <c r="BQ158" s="528">
        <v>0</v>
      </c>
      <c r="BR158" s="528">
        <v>0</v>
      </c>
      <c r="BS158" s="528">
        <v>8702.5</v>
      </c>
      <c r="BT158" s="528">
        <v>8702.5</v>
      </c>
      <c r="BU158" s="528">
        <v>0</v>
      </c>
      <c r="BV158" s="528">
        <v>0</v>
      </c>
      <c r="BW158" s="528">
        <v>0</v>
      </c>
      <c r="BX158" s="528">
        <v>0</v>
      </c>
      <c r="BY158" s="528">
        <v>0</v>
      </c>
      <c r="BZ158" s="528">
        <v>0</v>
      </c>
      <c r="CA158" s="528">
        <v>0</v>
      </c>
      <c r="CB158" s="528">
        <v>0</v>
      </c>
      <c r="CC158" s="528">
        <v>0</v>
      </c>
      <c r="CD158" s="528">
        <v>540387.24999999884</v>
      </c>
      <c r="CE158" s="528">
        <v>0</v>
      </c>
      <c r="CF158" s="528">
        <v>8702.5</v>
      </c>
      <c r="CG158" s="528">
        <v>0</v>
      </c>
      <c r="CH158" s="528">
        <v>0</v>
      </c>
      <c r="CI158" s="528">
        <f t="shared" si="2"/>
        <v>549089.74999999884</v>
      </c>
      <c r="CJ158" s="528">
        <v>734017.94</v>
      </c>
      <c r="CK158" s="528">
        <v>0</v>
      </c>
      <c r="CL158" s="528">
        <v>0</v>
      </c>
      <c r="CM158" s="528">
        <v>734017.94</v>
      </c>
      <c r="CN158" s="528">
        <v>0</v>
      </c>
      <c r="CO158" s="528">
        <v>0</v>
      </c>
      <c r="CP158" s="528">
        <v>25357.18</v>
      </c>
      <c r="CQ158" s="528">
        <v>0</v>
      </c>
      <c r="CR158" s="528">
        <v>-186276.76</v>
      </c>
      <c r="CS158" s="528">
        <v>573098.36</v>
      </c>
      <c r="CT158" s="528">
        <v>0</v>
      </c>
      <c r="CU158" s="528">
        <v>0</v>
      </c>
      <c r="CV158" s="528">
        <v>0</v>
      </c>
      <c r="CW158" s="528">
        <v>0</v>
      </c>
      <c r="CX158" s="528"/>
      <c r="CY158" s="528"/>
      <c r="CZ158" s="528"/>
      <c r="DA158" s="528">
        <v>0</v>
      </c>
      <c r="DB158" s="528">
        <v>0</v>
      </c>
      <c r="DC158" s="528">
        <v>0</v>
      </c>
      <c r="DD158" s="528">
        <v>17910.25</v>
      </c>
      <c r="DE158" s="528">
        <v>0</v>
      </c>
      <c r="DF158" s="528">
        <v>0</v>
      </c>
      <c r="DG158" s="528">
        <v>-38562.089999999997</v>
      </c>
      <c r="DH158" s="528">
        <v>-3356.77</v>
      </c>
      <c r="DI158" s="528">
        <v>0</v>
      </c>
      <c r="DJ158" s="528">
        <v>0</v>
      </c>
      <c r="DK158" s="528">
        <v>-24008.609999999997</v>
      </c>
      <c r="DL158" s="528">
        <v>0</v>
      </c>
      <c r="DM158" s="528">
        <v>0</v>
      </c>
      <c r="DN158" s="528">
        <v>0</v>
      </c>
      <c r="DO158" s="528">
        <v>0</v>
      </c>
      <c r="DP158" s="528">
        <v>0</v>
      </c>
      <c r="DQ158" s="529">
        <v>0</v>
      </c>
      <c r="DR158" s="530">
        <v>2359511.0300000003</v>
      </c>
      <c r="DS158" s="531">
        <v>839199.23000000091</v>
      </c>
      <c r="DT158" s="530">
        <v>143499.28</v>
      </c>
      <c r="DU158" s="530">
        <v>83261.83</v>
      </c>
      <c r="DV158" s="530">
        <v>5000</v>
      </c>
      <c r="DW158" s="530">
        <v>0</v>
      </c>
    </row>
    <row r="159" spans="1:127" s="103" customFormat="1">
      <c r="A159" s="525">
        <v>4625</v>
      </c>
      <c r="B159" s="526" t="s">
        <v>785</v>
      </c>
      <c r="C159" s="525">
        <v>4625</v>
      </c>
      <c r="D159" s="527" t="s">
        <v>1284</v>
      </c>
      <c r="E159" s="527" t="s">
        <v>564</v>
      </c>
      <c r="F159" s="527" t="s">
        <v>5</v>
      </c>
      <c r="G159" s="527" t="s">
        <v>535</v>
      </c>
      <c r="H159" s="528">
        <v>5299987</v>
      </c>
      <c r="I159" s="528">
        <v>0</v>
      </c>
      <c r="J159" s="528">
        <v>74838.97</v>
      </c>
      <c r="K159" s="528">
        <v>0</v>
      </c>
      <c r="L159" s="528">
        <v>376826</v>
      </c>
      <c r="M159" s="528">
        <v>210192.27</v>
      </c>
      <c r="N159" s="528">
        <v>115250</v>
      </c>
      <c r="O159" s="528">
        <v>0</v>
      </c>
      <c r="P159" s="528">
        <v>27995.989999999983</v>
      </c>
      <c r="Q159" s="528">
        <v>0</v>
      </c>
      <c r="R159" s="528">
        <v>0</v>
      </c>
      <c r="S159" s="528">
        <v>0</v>
      </c>
      <c r="T159" s="528">
        <v>11846.719999999998</v>
      </c>
      <c r="U159" s="528">
        <v>0</v>
      </c>
      <c r="V159" s="528">
        <v>0</v>
      </c>
      <c r="W159" s="528">
        <v>26343.88</v>
      </c>
      <c r="X159" s="528">
        <v>0</v>
      </c>
      <c r="Y159" s="528">
        <v>6143280.8299999991</v>
      </c>
      <c r="Z159" s="528">
        <v>3242896.41</v>
      </c>
      <c r="AA159" s="528">
        <v>0</v>
      </c>
      <c r="AB159" s="528">
        <v>625925.57999999996</v>
      </c>
      <c r="AC159" s="528">
        <v>220393.10000000003</v>
      </c>
      <c r="AD159" s="528">
        <v>485067.89</v>
      </c>
      <c r="AE159" s="528">
        <v>0</v>
      </c>
      <c r="AF159" s="528">
        <v>94732.449999999895</v>
      </c>
      <c r="AG159" s="528">
        <v>40237.410000000003</v>
      </c>
      <c r="AH159" s="528">
        <v>28053.410000000003</v>
      </c>
      <c r="AI159" s="528">
        <v>0</v>
      </c>
      <c r="AJ159" s="528">
        <v>0</v>
      </c>
      <c r="AK159" s="528">
        <v>376192.75000000012</v>
      </c>
      <c r="AL159" s="528">
        <v>660</v>
      </c>
      <c r="AM159" s="528">
        <v>2686.6099999999997</v>
      </c>
      <c r="AN159" s="528">
        <v>13590.67</v>
      </c>
      <c r="AO159" s="528">
        <v>74142.01999999999</v>
      </c>
      <c r="AP159" s="528">
        <v>13885.92</v>
      </c>
      <c r="AQ159" s="528">
        <v>16489.75</v>
      </c>
      <c r="AR159" s="528">
        <v>81269.499999999971</v>
      </c>
      <c r="AS159" s="528">
        <v>107763.79</v>
      </c>
      <c r="AT159" s="528">
        <v>44767.76999999999</v>
      </c>
      <c r="AU159" s="528">
        <v>212969.84999999977</v>
      </c>
      <c r="AV159" s="528">
        <v>4715.26</v>
      </c>
      <c r="AW159" s="528">
        <v>0</v>
      </c>
      <c r="AX159" s="528">
        <v>131202.98000000004</v>
      </c>
      <c r="AY159" s="528">
        <v>154570.74</v>
      </c>
      <c r="AZ159" s="528">
        <v>21566.51</v>
      </c>
      <c r="BA159" s="528">
        <v>49367.070000000007</v>
      </c>
      <c r="BB159" s="528">
        <v>0</v>
      </c>
      <c r="BC159" s="528">
        <v>0</v>
      </c>
      <c r="BD159" s="528">
        <v>0</v>
      </c>
      <c r="BE159" s="528">
        <v>6043147.4400000004</v>
      </c>
      <c r="BF159" s="528">
        <v>311754.89999999991</v>
      </c>
      <c r="BG159" s="528">
        <v>100133.38999999873</v>
      </c>
      <c r="BH159" s="528">
        <v>411888.28999999864</v>
      </c>
      <c r="BI159" s="528">
        <v>0</v>
      </c>
      <c r="BJ159" s="528">
        <v>0</v>
      </c>
      <c r="BK159" s="528">
        <v>0</v>
      </c>
      <c r="BL159" s="528">
        <v>0</v>
      </c>
      <c r="BM159" s="528">
        <v>0</v>
      </c>
      <c r="BN159" s="528">
        <v>0</v>
      </c>
      <c r="BO159" s="528">
        <v>0</v>
      </c>
      <c r="BP159" s="528">
        <v>0</v>
      </c>
      <c r="BQ159" s="528">
        <v>0</v>
      </c>
      <c r="BR159" s="528">
        <v>0</v>
      </c>
      <c r="BS159" s="528">
        <v>0</v>
      </c>
      <c r="BT159" s="528">
        <v>0</v>
      </c>
      <c r="BU159" s="528">
        <v>0</v>
      </c>
      <c r="BV159" s="528">
        <v>0</v>
      </c>
      <c r="BW159" s="528">
        <v>0</v>
      </c>
      <c r="BX159" s="528">
        <v>0</v>
      </c>
      <c r="BY159" s="528">
        <v>0</v>
      </c>
      <c r="BZ159" s="528">
        <v>0</v>
      </c>
      <c r="CA159" s="528">
        <v>0</v>
      </c>
      <c r="CB159" s="528">
        <v>0</v>
      </c>
      <c r="CC159" s="528">
        <v>0</v>
      </c>
      <c r="CD159" s="528">
        <v>411888.28999999864</v>
      </c>
      <c r="CE159" s="528">
        <v>0</v>
      </c>
      <c r="CF159" s="528">
        <v>0</v>
      </c>
      <c r="CG159" s="528">
        <v>0</v>
      </c>
      <c r="CH159" s="528">
        <v>0</v>
      </c>
      <c r="CI159" s="528">
        <f t="shared" si="2"/>
        <v>411888.28999999864</v>
      </c>
      <c r="CJ159" s="528">
        <v>391081.01</v>
      </c>
      <c r="CK159" s="528">
        <v>0</v>
      </c>
      <c r="CL159" s="528">
        <v>0</v>
      </c>
      <c r="CM159" s="528">
        <v>391081.01</v>
      </c>
      <c r="CN159" s="528">
        <v>0</v>
      </c>
      <c r="CO159" s="528">
        <v>0</v>
      </c>
      <c r="CP159" s="528">
        <v>13522.71</v>
      </c>
      <c r="CQ159" s="528">
        <v>5010.57</v>
      </c>
      <c r="CR159" s="528">
        <v>-7276.6100000000006</v>
      </c>
      <c r="CS159" s="528">
        <v>402337.68000000005</v>
      </c>
      <c r="CT159" s="528">
        <v>0</v>
      </c>
      <c r="CU159" s="528">
        <v>0</v>
      </c>
      <c r="CV159" s="528">
        <v>0</v>
      </c>
      <c r="CW159" s="528">
        <v>0</v>
      </c>
      <c r="CX159" s="528"/>
      <c r="CY159" s="528"/>
      <c r="CZ159" s="528"/>
      <c r="DA159" s="528">
        <v>0</v>
      </c>
      <c r="DB159" s="528">
        <v>0</v>
      </c>
      <c r="DC159" s="528">
        <v>0</v>
      </c>
      <c r="DD159" s="528">
        <v>9550.6</v>
      </c>
      <c r="DE159" s="528">
        <v>0</v>
      </c>
      <c r="DF159" s="528">
        <v>0</v>
      </c>
      <c r="DG159" s="528">
        <v>0</v>
      </c>
      <c r="DH159" s="528">
        <v>0</v>
      </c>
      <c r="DI159" s="528">
        <v>0</v>
      </c>
      <c r="DJ159" s="528">
        <v>0</v>
      </c>
      <c r="DK159" s="528">
        <v>9550.6</v>
      </c>
      <c r="DL159" s="528">
        <v>0</v>
      </c>
      <c r="DM159" s="528">
        <v>0</v>
      </c>
      <c r="DN159" s="528">
        <v>0</v>
      </c>
      <c r="DO159" s="528">
        <v>0</v>
      </c>
      <c r="DP159" s="528">
        <v>0</v>
      </c>
      <c r="DQ159" s="529">
        <v>9.9999999511055648E-3</v>
      </c>
      <c r="DR159" s="530">
        <v>4709252.8400000008</v>
      </c>
      <c r="DS159" s="531">
        <v>1333894.5999999996</v>
      </c>
      <c r="DT159" s="530">
        <v>154570.74</v>
      </c>
      <c r="DU159" s="530">
        <v>39842.709999999977</v>
      </c>
      <c r="DV159" s="530">
        <v>0</v>
      </c>
      <c r="DW159" s="530">
        <v>0</v>
      </c>
    </row>
    <row r="160" spans="1:127" s="103" customFormat="1">
      <c r="A160" s="525">
        <v>3377</v>
      </c>
      <c r="B160" s="526" t="s">
        <v>787</v>
      </c>
      <c r="C160" s="525">
        <v>3377</v>
      </c>
      <c r="D160" s="527" t="s">
        <v>1284</v>
      </c>
      <c r="E160" s="527" t="s">
        <v>538</v>
      </c>
      <c r="F160" s="527" t="s">
        <v>5</v>
      </c>
      <c r="G160" s="527" t="s">
        <v>535</v>
      </c>
      <c r="H160" s="528">
        <v>1317708.3</v>
      </c>
      <c r="I160" s="528">
        <v>0</v>
      </c>
      <c r="J160" s="528">
        <v>23696.77</v>
      </c>
      <c r="K160" s="528">
        <v>0</v>
      </c>
      <c r="L160" s="528">
        <v>193490</v>
      </c>
      <c r="M160" s="528">
        <v>1428.22</v>
      </c>
      <c r="N160" s="528">
        <v>0</v>
      </c>
      <c r="O160" s="528">
        <v>0</v>
      </c>
      <c r="P160" s="528">
        <v>8598.6400000000012</v>
      </c>
      <c r="Q160" s="528">
        <v>0</v>
      </c>
      <c r="R160" s="528">
        <v>0</v>
      </c>
      <c r="S160" s="528">
        <v>0</v>
      </c>
      <c r="T160" s="528">
        <v>5126.83</v>
      </c>
      <c r="U160" s="528">
        <v>19480.23</v>
      </c>
      <c r="V160" s="528">
        <v>0</v>
      </c>
      <c r="W160" s="528">
        <v>8143.75</v>
      </c>
      <c r="X160" s="528">
        <v>28198</v>
      </c>
      <c r="Y160" s="528">
        <v>1605870.74</v>
      </c>
      <c r="Z160" s="528">
        <v>737273.24</v>
      </c>
      <c r="AA160" s="528">
        <v>0</v>
      </c>
      <c r="AB160" s="528">
        <v>227122.71</v>
      </c>
      <c r="AC160" s="528">
        <v>55814.13</v>
      </c>
      <c r="AD160" s="528">
        <v>114858.79</v>
      </c>
      <c r="AE160" s="528">
        <v>0</v>
      </c>
      <c r="AF160" s="528">
        <v>37464.720000000001</v>
      </c>
      <c r="AG160" s="528">
        <v>550</v>
      </c>
      <c r="AH160" s="528">
        <v>2328.25</v>
      </c>
      <c r="AI160" s="528">
        <v>0</v>
      </c>
      <c r="AJ160" s="528">
        <v>4269.25</v>
      </c>
      <c r="AK160" s="528">
        <v>20501.73</v>
      </c>
      <c r="AL160" s="528">
        <v>992.36</v>
      </c>
      <c r="AM160" s="528">
        <v>585</v>
      </c>
      <c r="AN160" s="528">
        <v>3278.97</v>
      </c>
      <c r="AO160" s="528">
        <v>22154.01</v>
      </c>
      <c r="AP160" s="528">
        <v>4080.97</v>
      </c>
      <c r="AQ160" s="528">
        <v>9906.32</v>
      </c>
      <c r="AR160" s="528">
        <v>54271.83</v>
      </c>
      <c r="AS160" s="528">
        <v>0</v>
      </c>
      <c r="AT160" s="528">
        <v>0</v>
      </c>
      <c r="AU160" s="528">
        <v>97381.94</v>
      </c>
      <c r="AV160" s="528">
        <v>0</v>
      </c>
      <c r="AW160" s="528">
        <v>3890.2</v>
      </c>
      <c r="AX160" s="528">
        <v>110967.36</v>
      </c>
      <c r="AY160" s="528">
        <v>41522.85</v>
      </c>
      <c r="AZ160" s="528">
        <v>7163.23</v>
      </c>
      <c r="BA160" s="528">
        <v>63400.31</v>
      </c>
      <c r="BB160" s="528">
        <v>0</v>
      </c>
      <c r="BC160" s="528">
        <v>0</v>
      </c>
      <c r="BD160" s="528">
        <v>0</v>
      </c>
      <c r="BE160" s="528">
        <v>1619778.1700000002</v>
      </c>
      <c r="BF160" s="528">
        <v>258039.07000000007</v>
      </c>
      <c r="BG160" s="528">
        <v>-13907.430000000168</v>
      </c>
      <c r="BH160" s="528">
        <v>244131.6399999999</v>
      </c>
      <c r="BI160" s="528">
        <v>0</v>
      </c>
      <c r="BJ160" s="528">
        <v>0</v>
      </c>
      <c r="BK160" s="528">
        <v>0</v>
      </c>
      <c r="BL160" s="528">
        <v>0</v>
      </c>
      <c r="BM160" s="528">
        <v>0</v>
      </c>
      <c r="BN160" s="528">
        <v>0</v>
      </c>
      <c r="BO160" s="528">
        <v>0</v>
      </c>
      <c r="BP160" s="528">
        <v>0</v>
      </c>
      <c r="BQ160" s="528">
        <v>0</v>
      </c>
      <c r="BR160" s="528">
        <v>0</v>
      </c>
      <c r="BS160" s="528">
        <v>0</v>
      </c>
      <c r="BT160" s="528">
        <v>0</v>
      </c>
      <c r="BU160" s="528">
        <v>0</v>
      </c>
      <c r="BV160" s="528">
        <v>0</v>
      </c>
      <c r="BW160" s="528">
        <v>0</v>
      </c>
      <c r="BX160" s="528">
        <v>0</v>
      </c>
      <c r="BY160" s="528">
        <v>0</v>
      </c>
      <c r="BZ160" s="528">
        <v>0</v>
      </c>
      <c r="CA160" s="528">
        <v>0</v>
      </c>
      <c r="CB160" s="528">
        <v>0</v>
      </c>
      <c r="CC160" s="528">
        <v>0</v>
      </c>
      <c r="CD160" s="528">
        <v>244131.6399999999</v>
      </c>
      <c r="CE160" s="528">
        <v>0</v>
      </c>
      <c r="CF160" s="528">
        <v>0</v>
      </c>
      <c r="CG160" s="528">
        <v>0</v>
      </c>
      <c r="CH160" s="528">
        <v>0</v>
      </c>
      <c r="CI160" s="528">
        <f t="shared" si="2"/>
        <v>244131.6399999999</v>
      </c>
      <c r="CJ160" s="528">
        <v>378436.09</v>
      </c>
      <c r="CK160" s="528">
        <v>8196.7199999999993</v>
      </c>
      <c r="CL160" s="528">
        <v>0</v>
      </c>
      <c r="CM160" s="528">
        <v>370239.37000000005</v>
      </c>
      <c r="CN160" s="528">
        <v>0</v>
      </c>
      <c r="CO160" s="528">
        <v>0</v>
      </c>
      <c r="CP160" s="528">
        <v>2628.42</v>
      </c>
      <c r="CQ160" s="528">
        <v>0</v>
      </c>
      <c r="CR160" s="528">
        <v>-99811.99</v>
      </c>
      <c r="CS160" s="528">
        <v>273055.80000000005</v>
      </c>
      <c r="CT160" s="528">
        <v>0</v>
      </c>
      <c r="CU160" s="528">
        <v>0</v>
      </c>
      <c r="CV160" s="528">
        <v>0</v>
      </c>
      <c r="CW160" s="528">
        <v>0</v>
      </c>
      <c r="CX160" s="528"/>
      <c r="CY160" s="528"/>
      <c r="CZ160" s="528"/>
      <c r="DA160" s="528">
        <v>0</v>
      </c>
      <c r="DB160" s="528">
        <v>0</v>
      </c>
      <c r="DC160" s="528">
        <v>0</v>
      </c>
      <c r="DD160" s="528">
        <v>3.2</v>
      </c>
      <c r="DE160" s="528">
        <v>0</v>
      </c>
      <c r="DF160" s="528">
        <v>0</v>
      </c>
      <c r="DG160" s="528">
        <v>-4089.79</v>
      </c>
      <c r="DH160" s="528">
        <v>-24837.94</v>
      </c>
      <c r="DI160" s="528">
        <v>0</v>
      </c>
      <c r="DJ160" s="528">
        <v>0</v>
      </c>
      <c r="DK160" s="528">
        <v>-28924.53</v>
      </c>
      <c r="DL160" s="528">
        <v>0</v>
      </c>
      <c r="DM160" s="528">
        <v>0</v>
      </c>
      <c r="DN160" s="528">
        <v>0</v>
      </c>
      <c r="DO160" s="528">
        <v>0</v>
      </c>
      <c r="DP160" s="528">
        <v>0</v>
      </c>
      <c r="DQ160" s="529">
        <v>0.36999999993713573</v>
      </c>
      <c r="DR160" s="530">
        <v>1173083.5899999999</v>
      </c>
      <c r="DS160" s="531">
        <v>446694.58000000031</v>
      </c>
      <c r="DT160" s="530">
        <v>41522.85</v>
      </c>
      <c r="DU160" s="530">
        <v>13725.470000000001</v>
      </c>
      <c r="DV160" s="530">
        <v>19480.23</v>
      </c>
      <c r="DW160" s="530">
        <v>0</v>
      </c>
    </row>
    <row r="161" spans="1:127" s="103" customFormat="1">
      <c r="A161" s="525">
        <v>3371</v>
      </c>
      <c r="B161" s="526" t="s">
        <v>789</v>
      </c>
      <c r="C161" s="525">
        <v>3371</v>
      </c>
      <c r="D161" s="527" t="s">
        <v>1284</v>
      </c>
      <c r="E161" s="527" t="s">
        <v>538</v>
      </c>
      <c r="F161" s="527" t="s">
        <v>5</v>
      </c>
      <c r="G161" s="527" t="s">
        <v>535</v>
      </c>
      <c r="H161" s="528">
        <v>1465130.96</v>
      </c>
      <c r="I161" s="528">
        <v>0</v>
      </c>
      <c r="J161" s="528">
        <v>56720.23</v>
      </c>
      <c r="K161" s="528">
        <v>0</v>
      </c>
      <c r="L161" s="528">
        <v>82420</v>
      </c>
      <c r="M161" s="528">
        <v>5000</v>
      </c>
      <c r="N161" s="528">
        <v>491.43</v>
      </c>
      <c r="O161" s="528">
        <v>0</v>
      </c>
      <c r="P161" s="528">
        <v>117807.65</v>
      </c>
      <c r="Q161" s="528">
        <v>0</v>
      </c>
      <c r="R161" s="528">
        <v>0</v>
      </c>
      <c r="S161" s="528">
        <v>0</v>
      </c>
      <c r="T161" s="528">
        <v>401.86</v>
      </c>
      <c r="U161" s="528">
        <v>0</v>
      </c>
      <c r="V161" s="528">
        <v>0</v>
      </c>
      <c r="W161" s="528">
        <v>3006.25</v>
      </c>
      <c r="X161" s="528">
        <v>110975</v>
      </c>
      <c r="Y161" s="528">
        <v>1841953.38</v>
      </c>
      <c r="Z161" s="528">
        <v>775860.19</v>
      </c>
      <c r="AA161" s="528">
        <v>0</v>
      </c>
      <c r="AB161" s="528">
        <v>288528.45</v>
      </c>
      <c r="AC161" s="528">
        <v>71556.7</v>
      </c>
      <c r="AD161" s="528">
        <v>94841.600000000006</v>
      </c>
      <c r="AE161" s="528">
        <v>53613.68</v>
      </c>
      <c r="AF161" s="528">
        <v>58094.95</v>
      </c>
      <c r="AG161" s="528">
        <v>4826.3999999999996</v>
      </c>
      <c r="AH161" s="528">
        <v>4504.6000000000004</v>
      </c>
      <c r="AI161" s="528">
        <v>0</v>
      </c>
      <c r="AJ161" s="528">
        <v>0</v>
      </c>
      <c r="AK161" s="528">
        <v>12792.050000000001</v>
      </c>
      <c r="AL161" s="528">
        <v>2363.6799999999998</v>
      </c>
      <c r="AM161" s="528">
        <v>3715.66</v>
      </c>
      <c r="AN161" s="528">
        <v>4385.1000000000004</v>
      </c>
      <c r="AO161" s="528">
        <v>26001.18</v>
      </c>
      <c r="AP161" s="528">
        <v>18761.88</v>
      </c>
      <c r="AQ161" s="528">
        <v>6568.58</v>
      </c>
      <c r="AR161" s="528">
        <v>17184.730000000003</v>
      </c>
      <c r="AS161" s="528">
        <v>11237.74</v>
      </c>
      <c r="AT161" s="528">
        <v>0</v>
      </c>
      <c r="AU161" s="528">
        <v>28681.279999999999</v>
      </c>
      <c r="AV161" s="528">
        <v>5139.75</v>
      </c>
      <c r="AW161" s="528">
        <v>0</v>
      </c>
      <c r="AX161" s="528">
        <v>53739.53</v>
      </c>
      <c r="AY161" s="528">
        <v>22211.85</v>
      </c>
      <c r="AZ161" s="528">
        <v>52990.43</v>
      </c>
      <c r="BA161" s="528">
        <v>94241.86</v>
      </c>
      <c r="BB161" s="528">
        <v>0</v>
      </c>
      <c r="BC161" s="528">
        <v>0</v>
      </c>
      <c r="BD161" s="528">
        <v>0</v>
      </c>
      <c r="BE161" s="528">
        <v>1711841.8699999999</v>
      </c>
      <c r="BF161" s="528">
        <v>91234.800000000076</v>
      </c>
      <c r="BG161" s="528">
        <v>130111.51000000001</v>
      </c>
      <c r="BH161" s="528">
        <v>221346.31000000008</v>
      </c>
      <c r="BI161" s="528">
        <v>0</v>
      </c>
      <c r="BJ161" s="528">
        <v>0</v>
      </c>
      <c r="BK161" s="528">
        <v>0</v>
      </c>
      <c r="BL161" s="528">
        <v>0</v>
      </c>
      <c r="BM161" s="528">
        <v>0</v>
      </c>
      <c r="BN161" s="528">
        <v>0</v>
      </c>
      <c r="BO161" s="528">
        <v>0</v>
      </c>
      <c r="BP161" s="528">
        <v>0</v>
      </c>
      <c r="BQ161" s="528">
        <v>0</v>
      </c>
      <c r="BR161" s="528">
        <v>0</v>
      </c>
      <c r="BS161" s="528">
        <v>0</v>
      </c>
      <c r="BT161" s="528">
        <v>0</v>
      </c>
      <c r="BU161" s="528">
        <v>0</v>
      </c>
      <c r="BV161" s="528">
        <v>0</v>
      </c>
      <c r="BW161" s="528">
        <v>0</v>
      </c>
      <c r="BX161" s="528">
        <v>0</v>
      </c>
      <c r="BY161" s="528">
        <v>0</v>
      </c>
      <c r="BZ161" s="528">
        <v>0</v>
      </c>
      <c r="CA161" s="528">
        <v>0</v>
      </c>
      <c r="CB161" s="528">
        <v>0</v>
      </c>
      <c r="CC161" s="528">
        <v>0</v>
      </c>
      <c r="CD161" s="528">
        <v>221346.31000000008</v>
      </c>
      <c r="CE161" s="528">
        <v>0</v>
      </c>
      <c r="CF161" s="528">
        <v>0</v>
      </c>
      <c r="CG161" s="528">
        <v>0</v>
      </c>
      <c r="CH161" s="528">
        <v>0</v>
      </c>
      <c r="CI161" s="528">
        <f t="shared" si="2"/>
        <v>221346.31000000008</v>
      </c>
      <c r="CJ161" s="528">
        <v>279501.89</v>
      </c>
      <c r="CK161" s="528">
        <v>117846.54</v>
      </c>
      <c r="CL161" s="528">
        <v>253.09</v>
      </c>
      <c r="CM161" s="528">
        <v>161908.44000000003</v>
      </c>
      <c r="CN161" s="528">
        <v>0</v>
      </c>
      <c r="CO161" s="528">
        <v>0</v>
      </c>
      <c r="CP161" s="528">
        <v>3533.51</v>
      </c>
      <c r="CQ161" s="528">
        <v>-1904.22</v>
      </c>
      <c r="CR161" s="528">
        <v>3406.76</v>
      </c>
      <c r="CS161" s="528">
        <v>166944.49000000005</v>
      </c>
      <c r="CT161" s="528">
        <v>0</v>
      </c>
      <c r="CU161" s="528">
        <v>0</v>
      </c>
      <c r="CV161" s="528">
        <v>0</v>
      </c>
      <c r="CW161" s="528">
        <v>0</v>
      </c>
      <c r="CX161" s="528"/>
      <c r="CY161" s="528"/>
      <c r="CZ161" s="528"/>
      <c r="DA161" s="528">
        <v>0</v>
      </c>
      <c r="DB161" s="528">
        <v>0</v>
      </c>
      <c r="DC161" s="528">
        <v>0</v>
      </c>
      <c r="DD161" s="528">
        <v>0</v>
      </c>
      <c r="DE161" s="528">
        <v>0</v>
      </c>
      <c r="DF161" s="528">
        <v>0</v>
      </c>
      <c r="DG161" s="528">
        <v>-6715.92</v>
      </c>
      <c r="DH161" s="528">
        <v>0</v>
      </c>
      <c r="DI161" s="528">
        <v>0</v>
      </c>
      <c r="DJ161" s="528">
        <v>0</v>
      </c>
      <c r="DK161" s="528">
        <v>-6715.92</v>
      </c>
      <c r="DL161" s="528">
        <v>61117.8</v>
      </c>
      <c r="DM161" s="528">
        <v>0</v>
      </c>
      <c r="DN161" s="528">
        <v>0</v>
      </c>
      <c r="DO161" s="528">
        <v>0</v>
      </c>
      <c r="DP161" s="528">
        <v>0</v>
      </c>
      <c r="DQ161" s="529">
        <v>-6.0000000055879354E-2</v>
      </c>
      <c r="DR161" s="530">
        <v>1347321.9699999997</v>
      </c>
      <c r="DS161" s="531">
        <v>364519.90000000014</v>
      </c>
      <c r="DT161" s="530">
        <v>22211.85</v>
      </c>
      <c r="DU161" s="530">
        <v>118209.51</v>
      </c>
      <c r="DV161" s="530">
        <v>0</v>
      </c>
      <c r="DW161" s="530">
        <v>61117.8</v>
      </c>
    </row>
    <row r="162" spans="1:127" s="103" customFormat="1">
      <c r="A162" s="525">
        <v>3307</v>
      </c>
      <c r="B162" s="526" t="s">
        <v>791</v>
      </c>
      <c r="C162" s="525">
        <v>3307</v>
      </c>
      <c r="D162" s="527" t="s">
        <v>1284</v>
      </c>
      <c r="E162" s="527" t="s">
        <v>538</v>
      </c>
      <c r="F162" s="527" t="s">
        <v>5</v>
      </c>
      <c r="G162" s="527" t="s">
        <v>535</v>
      </c>
      <c r="H162" s="528">
        <v>1836991</v>
      </c>
      <c r="I162" s="528">
        <v>0</v>
      </c>
      <c r="J162" s="528">
        <v>116231</v>
      </c>
      <c r="K162" s="528">
        <v>0</v>
      </c>
      <c r="L162" s="528">
        <v>141050</v>
      </c>
      <c r="M162" s="528">
        <v>0</v>
      </c>
      <c r="N162" s="528">
        <v>0</v>
      </c>
      <c r="O162" s="528">
        <v>0</v>
      </c>
      <c r="P162" s="528">
        <v>86932</v>
      </c>
      <c r="Q162" s="528">
        <v>30360</v>
      </c>
      <c r="R162" s="528">
        <v>0</v>
      </c>
      <c r="S162" s="528">
        <v>0</v>
      </c>
      <c r="T162" s="528">
        <v>59184</v>
      </c>
      <c r="U162" s="528">
        <v>0</v>
      </c>
      <c r="V162" s="528">
        <v>0</v>
      </c>
      <c r="W162" s="528">
        <v>7884</v>
      </c>
      <c r="X162" s="528">
        <v>19611</v>
      </c>
      <c r="Y162" s="528">
        <v>2298243</v>
      </c>
      <c r="Z162" s="528">
        <v>1046416</v>
      </c>
      <c r="AA162" s="528">
        <v>262</v>
      </c>
      <c r="AB162" s="528">
        <v>581</v>
      </c>
      <c r="AC162" s="528">
        <v>410550</v>
      </c>
      <c r="AD162" s="528">
        <v>0</v>
      </c>
      <c r="AE162" s="528">
        <v>0</v>
      </c>
      <c r="AF162" s="528">
        <v>195750</v>
      </c>
      <c r="AG162" s="528">
        <v>1189</v>
      </c>
      <c r="AH162" s="528">
        <v>1464</v>
      </c>
      <c r="AI162" s="528">
        <v>0</v>
      </c>
      <c r="AJ162" s="528">
        <v>0</v>
      </c>
      <c r="AK162" s="528">
        <v>35430</v>
      </c>
      <c r="AL162" s="528">
        <v>1736</v>
      </c>
      <c r="AM162" s="528">
        <v>572</v>
      </c>
      <c r="AN162" s="528">
        <v>6462</v>
      </c>
      <c r="AO162" s="528">
        <v>32810</v>
      </c>
      <c r="AP162" s="528">
        <v>4399</v>
      </c>
      <c r="AQ162" s="528">
        <v>26006</v>
      </c>
      <c r="AR162" s="528">
        <v>92075</v>
      </c>
      <c r="AS162" s="528">
        <v>0</v>
      </c>
      <c r="AT162" s="528">
        <v>7307</v>
      </c>
      <c r="AU162" s="528">
        <v>23522</v>
      </c>
      <c r="AV162" s="528">
        <v>9471</v>
      </c>
      <c r="AW162" s="528">
        <v>0</v>
      </c>
      <c r="AX162" s="528">
        <v>152812</v>
      </c>
      <c r="AY162" s="528">
        <v>94246</v>
      </c>
      <c r="AZ162" s="528">
        <v>9050</v>
      </c>
      <c r="BA162" s="528">
        <v>48506</v>
      </c>
      <c r="BB162" s="528">
        <v>0</v>
      </c>
      <c r="BC162" s="528">
        <v>0</v>
      </c>
      <c r="BD162" s="528">
        <v>0</v>
      </c>
      <c r="BE162" s="528">
        <v>2200616</v>
      </c>
      <c r="BF162" s="528">
        <v>208225</v>
      </c>
      <c r="BG162" s="528">
        <v>97627</v>
      </c>
      <c r="BH162" s="528">
        <v>305852</v>
      </c>
      <c r="BI162" s="528">
        <v>0</v>
      </c>
      <c r="BJ162" s="528">
        <v>0</v>
      </c>
      <c r="BK162" s="528">
        <v>0</v>
      </c>
      <c r="BL162" s="528">
        <v>0</v>
      </c>
      <c r="BM162" s="528">
        <v>0</v>
      </c>
      <c r="BN162" s="528">
        <v>0</v>
      </c>
      <c r="BO162" s="528">
        <v>0</v>
      </c>
      <c r="BP162" s="528">
        <v>0</v>
      </c>
      <c r="BQ162" s="528">
        <v>0</v>
      </c>
      <c r="BR162" s="528">
        <v>0</v>
      </c>
      <c r="BS162" s="528">
        <v>0</v>
      </c>
      <c r="BT162" s="528">
        <v>0</v>
      </c>
      <c r="BU162" s="528">
        <v>0</v>
      </c>
      <c r="BV162" s="528">
        <v>0</v>
      </c>
      <c r="BW162" s="528">
        <v>0</v>
      </c>
      <c r="BX162" s="528">
        <v>0</v>
      </c>
      <c r="BY162" s="528">
        <v>0</v>
      </c>
      <c r="BZ162" s="528">
        <v>0</v>
      </c>
      <c r="CA162" s="528">
        <v>0</v>
      </c>
      <c r="CB162" s="528">
        <v>0</v>
      </c>
      <c r="CC162" s="528">
        <v>0</v>
      </c>
      <c r="CD162" s="528">
        <v>305852</v>
      </c>
      <c r="CE162" s="528">
        <v>0</v>
      </c>
      <c r="CF162" s="528">
        <v>0</v>
      </c>
      <c r="CG162" s="528">
        <v>0</v>
      </c>
      <c r="CH162" s="528">
        <v>0</v>
      </c>
      <c r="CI162" s="528">
        <f t="shared" si="2"/>
        <v>305852</v>
      </c>
      <c r="CJ162" s="528">
        <v>516104</v>
      </c>
      <c r="CK162" s="528">
        <v>0</v>
      </c>
      <c r="CL162" s="528">
        <v>0</v>
      </c>
      <c r="CM162" s="528">
        <v>516104</v>
      </c>
      <c r="CN162" s="528">
        <v>0</v>
      </c>
      <c r="CO162" s="528">
        <v>0</v>
      </c>
      <c r="CP162" s="528">
        <v>0</v>
      </c>
      <c r="CQ162" s="528">
        <v>0</v>
      </c>
      <c r="CR162" s="528">
        <v>-217015</v>
      </c>
      <c r="CS162" s="528">
        <v>299089</v>
      </c>
      <c r="CT162" s="528">
        <v>0</v>
      </c>
      <c r="CU162" s="528">
        <v>0</v>
      </c>
      <c r="CV162" s="528">
        <v>0</v>
      </c>
      <c r="CW162" s="528">
        <v>0</v>
      </c>
      <c r="CX162" s="528"/>
      <c r="CY162" s="528"/>
      <c r="CZ162" s="528"/>
      <c r="DA162" s="528">
        <v>0</v>
      </c>
      <c r="DB162" s="528">
        <v>0</v>
      </c>
      <c r="DC162" s="528">
        <v>0</v>
      </c>
      <c r="DD162" s="528">
        <v>6762</v>
      </c>
      <c r="DE162" s="528">
        <v>0</v>
      </c>
      <c r="DF162" s="528">
        <v>0</v>
      </c>
      <c r="DG162" s="528">
        <v>0</v>
      </c>
      <c r="DH162" s="528">
        <v>0</v>
      </c>
      <c r="DI162" s="528">
        <v>0</v>
      </c>
      <c r="DJ162" s="528">
        <v>0</v>
      </c>
      <c r="DK162" s="528">
        <v>6762</v>
      </c>
      <c r="DL162" s="528">
        <v>0</v>
      </c>
      <c r="DM162" s="528">
        <v>0</v>
      </c>
      <c r="DN162" s="528">
        <v>0</v>
      </c>
      <c r="DO162" s="528">
        <v>0</v>
      </c>
      <c r="DP162" s="528">
        <v>0</v>
      </c>
      <c r="DQ162" s="529">
        <v>0.01</v>
      </c>
      <c r="DR162" s="530">
        <v>1654748</v>
      </c>
      <c r="DS162" s="531">
        <v>545868</v>
      </c>
      <c r="DT162" s="530">
        <v>94246</v>
      </c>
      <c r="DU162" s="530">
        <v>176476</v>
      </c>
      <c r="DV162" s="530">
        <v>0</v>
      </c>
      <c r="DW162" s="530">
        <v>0</v>
      </c>
    </row>
    <row r="163" spans="1:127" s="103" customFormat="1">
      <c r="A163" s="525">
        <v>3361</v>
      </c>
      <c r="B163" s="526" t="s">
        <v>793</v>
      </c>
      <c r="C163" s="525">
        <v>3361</v>
      </c>
      <c r="D163" s="527" t="s">
        <v>1284</v>
      </c>
      <c r="E163" s="527" t="s">
        <v>538</v>
      </c>
      <c r="F163" s="527" t="s">
        <v>5</v>
      </c>
      <c r="G163" s="527" t="s">
        <v>535</v>
      </c>
      <c r="H163" s="528">
        <v>2062659.83</v>
      </c>
      <c r="I163" s="528">
        <v>0</v>
      </c>
      <c r="J163" s="528">
        <v>28312.73</v>
      </c>
      <c r="K163" s="528">
        <v>0</v>
      </c>
      <c r="L163" s="528">
        <v>229400</v>
      </c>
      <c r="M163" s="528">
        <v>3256.93</v>
      </c>
      <c r="N163" s="528">
        <v>0</v>
      </c>
      <c r="O163" s="528">
        <v>0</v>
      </c>
      <c r="P163" s="528">
        <v>46592.229999999996</v>
      </c>
      <c r="Q163" s="528">
        <v>39590.47</v>
      </c>
      <c r="R163" s="528">
        <v>0</v>
      </c>
      <c r="S163" s="528">
        <v>0</v>
      </c>
      <c r="T163" s="528">
        <v>26147.370000000003</v>
      </c>
      <c r="U163" s="528">
        <v>4864.0200000000004</v>
      </c>
      <c r="V163" s="528">
        <v>0</v>
      </c>
      <c r="W163" s="528">
        <v>10275</v>
      </c>
      <c r="X163" s="528">
        <v>54911</v>
      </c>
      <c r="Y163" s="528">
        <v>2506009.5800000005</v>
      </c>
      <c r="Z163" s="528">
        <v>1165472.5699999984</v>
      </c>
      <c r="AA163" s="528">
        <v>0</v>
      </c>
      <c r="AB163" s="528">
        <v>441932.32</v>
      </c>
      <c r="AC163" s="528">
        <v>41731.160000000673</v>
      </c>
      <c r="AD163" s="528">
        <v>117894.35</v>
      </c>
      <c r="AE163" s="528">
        <v>0</v>
      </c>
      <c r="AF163" s="528">
        <v>80318.489999999816</v>
      </c>
      <c r="AG163" s="528">
        <v>0</v>
      </c>
      <c r="AH163" s="528">
        <v>755</v>
      </c>
      <c r="AI163" s="528">
        <v>0</v>
      </c>
      <c r="AJ163" s="528">
        <v>0</v>
      </c>
      <c r="AK163" s="528">
        <v>20331.610000000004</v>
      </c>
      <c r="AL163" s="528">
        <v>883.72</v>
      </c>
      <c r="AM163" s="528">
        <v>37403.050000000003</v>
      </c>
      <c r="AN163" s="528">
        <v>5480.31</v>
      </c>
      <c r="AO163" s="528">
        <v>34409.14</v>
      </c>
      <c r="AP163" s="528">
        <v>6942.96</v>
      </c>
      <c r="AQ163" s="528">
        <v>27115.73</v>
      </c>
      <c r="AR163" s="528">
        <v>191013.53000000009</v>
      </c>
      <c r="AS163" s="528">
        <v>0</v>
      </c>
      <c r="AT163" s="528">
        <v>0</v>
      </c>
      <c r="AU163" s="528">
        <v>66496.399999999994</v>
      </c>
      <c r="AV163" s="528">
        <v>14865.74</v>
      </c>
      <c r="AW163" s="528">
        <v>11160</v>
      </c>
      <c r="AX163" s="528">
        <v>147848.29999999999</v>
      </c>
      <c r="AY163" s="528">
        <v>128782.27</v>
      </c>
      <c r="AZ163" s="528">
        <v>26772.22</v>
      </c>
      <c r="BA163" s="528">
        <v>160393.25</v>
      </c>
      <c r="BB163" s="528">
        <v>0</v>
      </c>
      <c r="BC163" s="528">
        <v>0</v>
      </c>
      <c r="BD163" s="528">
        <v>0</v>
      </c>
      <c r="BE163" s="528">
        <v>2728002.1199999992</v>
      </c>
      <c r="BF163" s="528">
        <v>269641.91999999969</v>
      </c>
      <c r="BG163" s="528">
        <v>-221992.53999999864</v>
      </c>
      <c r="BH163" s="528">
        <v>47649.380000001052</v>
      </c>
      <c r="BI163" s="528">
        <v>0</v>
      </c>
      <c r="BJ163" s="528">
        <v>0</v>
      </c>
      <c r="BK163" s="528">
        <v>0</v>
      </c>
      <c r="BL163" s="528">
        <v>0</v>
      </c>
      <c r="BM163" s="528">
        <v>0</v>
      </c>
      <c r="BN163" s="528">
        <v>0</v>
      </c>
      <c r="BO163" s="528">
        <v>0</v>
      </c>
      <c r="BP163" s="528">
        <v>0</v>
      </c>
      <c r="BQ163" s="528">
        <v>0</v>
      </c>
      <c r="BR163" s="528">
        <v>0</v>
      </c>
      <c r="BS163" s="528">
        <v>0</v>
      </c>
      <c r="BT163" s="528">
        <v>0</v>
      </c>
      <c r="BU163" s="528">
        <v>0</v>
      </c>
      <c r="BV163" s="528">
        <v>0</v>
      </c>
      <c r="BW163" s="528">
        <v>0</v>
      </c>
      <c r="BX163" s="528">
        <v>0</v>
      </c>
      <c r="BY163" s="528">
        <v>0</v>
      </c>
      <c r="BZ163" s="528">
        <v>0</v>
      </c>
      <c r="CA163" s="528">
        <v>0</v>
      </c>
      <c r="CB163" s="528">
        <v>0</v>
      </c>
      <c r="CC163" s="528">
        <v>0</v>
      </c>
      <c r="CD163" s="528">
        <v>47649.380000001052</v>
      </c>
      <c r="CE163" s="528">
        <v>0</v>
      </c>
      <c r="CF163" s="528">
        <v>0</v>
      </c>
      <c r="CG163" s="528">
        <v>0</v>
      </c>
      <c r="CH163" s="528">
        <v>0</v>
      </c>
      <c r="CI163" s="528">
        <f t="shared" si="2"/>
        <v>47649.380000001052</v>
      </c>
      <c r="CJ163" s="528">
        <v>426386.2</v>
      </c>
      <c r="CK163" s="528">
        <v>0</v>
      </c>
      <c r="CL163" s="528">
        <v>0</v>
      </c>
      <c r="CM163" s="528">
        <v>426386.2</v>
      </c>
      <c r="CN163" s="528">
        <v>0</v>
      </c>
      <c r="CO163" s="528">
        <v>0</v>
      </c>
      <c r="CP163" s="528">
        <v>8199.91</v>
      </c>
      <c r="CQ163" s="528">
        <v>0</v>
      </c>
      <c r="CR163" s="528">
        <v>-344749.37</v>
      </c>
      <c r="CS163" s="528">
        <v>89836.739999999991</v>
      </c>
      <c r="CT163" s="528">
        <v>0</v>
      </c>
      <c r="CU163" s="528">
        <v>0</v>
      </c>
      <c r="CV163" s="528">
        <v>0</v>
      </c>
      <c r="CW163" s="528">
        <v>0</v>
      </c>
      <c r="CX163" s="528"/>
      <c r="CY163" s="528"/>
      <c r="CZ163" s="528"/>
      <c r="DA163" s="528">
        <v>0</v>
      </c>
      <c r="DB163" s="528">
        <v>0</v>
      </c>
      <c r="DC163" s="528">
        <v>16870.5</v>
      </c>
      <c r="DD163" s="528">
        <v>8271.4</v>
      </c>
      <c r="DE163" s="528">
        <v>0</v>
      </c>
      <c r="DF163" s="528">
        <v>0</v>
      </c>
      <c r="DG163" s="528">
        <v>-30741.09</v>
      </c>
      <c r="DH163" s="528">
        <v>-36588.18</v>
      </c>
      <c r="DI163" s="528">
        <v>0</v>
      </c>
      <c r="DJ163" s="528">
        <v>0</v>
      </c>
      <c r="DK163" s="528">
        <v>-42187.369999999995</v>
      </c>
      <c r="DL163" s="528">
        <v>0</v>
      </c>
      <c r="DM163" s="528">
        <v>0</v>
      </c>
      <c r="DN163" s="528">
        <v>0</v>
      </c>
      <c r="DO163" s="528">
        <v>0</v>
      </c>
      <c r="DP163" s="528">
        <v>0</v>
      </c>
      <c r="DQ163" s="529">
        <v>1.0000000009313226E-2</v>
      </c>
      <c r="DR163" s="530">
        <v>1847348.889999999</v>
      </c>
      <c r="DS163" s="531">
        <v>880653.23000000021</v>
      </c>
      <c r="DT163" s="530">
        <v>128782.27</v>
      </c>
      <c r="DU163" s="530">
        <v>112330.07</v>
      </c>
      <c r="DV163" s="530">
        <v>4864.0200000000004</v>
      </c>
      <c r="DW163" s="530">
        <v>0</v>
      </c>
    </row>
    <row r="164" spans="1:127" s="103" customFormat="1">
      <c r="A164" s="525">
        <v>3382</v>
      </c>
      <c r="B164" s="526" t="s">
        <v>925</v>
      </c>
      <c r="C164" s="525">
        <v>3382</v>
      </c>
      <c r="D164" s="527" t="s">
        <v>1284</v>
      </c>
      <c r="E164" s="527" t="s">
        <v>538</v>
      </c>
      <c r="F164" s="527" t="s">
        <v>5</v>
      </c>
      <c r="G164" s="527" t="s">
        <v>958</v>
      </c>
      <c r="H164" s="528">
        <v>1173539.9099999999</v>
      </c>
      <c r="I164" s="528">
        <v>0</v>
      </c>
      <c r="J164" s="528">
        <v>58880.37</v>
      </c>
      <c r="K164" s="528">
        <v>0</v>
      </c>
      <c r="L164" s="528">
        <v>99800</v>
      </c>
      <c r="M164" s="528">
        <v>2506.9299999999998</v>
      </c>
      <c r="N164" s="528">
        <v>0</v>
      </c>
      <c r="O164" s="528">
        <v>0</v>
      </c>
      <c r="P164" s="528">
        <v>15153.890000000001</v>
      </c>
      <c r="Q164" s="528">
        <v>22871.759999999998</v>
      </c>
      <c r="R164" s="528">
        <v>0</v>
      </c>
      <c r="S164" s="528">
        <v>0</v>
      </c>
      <c r="T164" s="528">
        <v>40691.189999999988</v>
      </c>
      <c r="U164" s="528">
        <v>0</v>
      </c>
      <c r="V164" s="528">
        <v>0</v>
      </c>
      <c r="W164" s="528">
        <v>1337.71</v>
      </c>
      <c r="X164" s="528">
        <v>47615</v>
      </c>
      <c r="Y164" s="528">
        <v>1462396.7599999998</v>
      </c>
      <c r="Z164" s="528">
        <v>609870.6300000007</v>
      </c>
      <c r="AA164" s="528">
        <v>0.47</v>
      </c>
      <c r="AB164" s="528">
        <v>792.47000000000014</v>
      </c>
      <c r="AC164" s="528">
        <v>227563.47999999989</v>
      </c>
      <c r="AD164" s="528">
        <v>0.27</v>
      </c>
      <c r="AE164" s="528">
        <v>0</v>
      </c>
      <c r="AF164" s="528">
        <v>279862.60999999993</v>
      </c>
      <c r="AG164" s="528">
        <v>13398.09</v>
      </c>
      <c r="AH164" s="528">
        <v>92</v>
      </c>
      <c r="AI164" s="528">
        <v>0</v>
      </c>
      <c r="AJ164" s="528">
        <v>352</v>
      </c>
      <c r="AK164" s="528">
        <v>22436.1</v>
      </c>
      <c r="AL164" s="528">
        <v>0</v>
      </c>
      <c r="AM164" s="528">
        <v>25382.100000000002</v>
      </c>
      <c r="AN164" s="528">
        <v>2826.55</v>
      </c>
      <c r="AO164" s="528">
        <v>31916.170000000009</v>
      </c>
      <c r="AP164" s="528">
        <v>4557.9799999999996</v>
      </c>
      <c r="AQ164" s="528">
        <v>9020.2400000000016</v>
      </c>
      <c r="AR164" s="528">
        <v>28127.899999999994</v>
      </c>
      <c r="AS164" s="528">
        <v>3076.6</v>
      </c>
      <c r="AT164" s="528">
        <v>150</v>
      </c>
      <c r="AU164" s="528">
        <v>26875.520000000004</v>
      </c>
      <c r="AV164" s="528">
        <v>0</v>
      </c>
      <c r="AW164" s="528">
        <v>0</v>
      </c>
      <c r="AX164" s="528">
        <v>87558.16</v>
      </c>
      <c r="AY164" s="528">
        <v>7112</v>
      </c>
      <c r="AZ164" s="528">
        <v>5064.1400000000003</v>
      </c>
      <c r="BA164" s="528">
        <v>125952.53</v>
      </c>
      <c r="BB164" s="528">
        <v>0</v>
      </c>
      <c r="BC164" s="528">
        <v>0</v>
      </c>
      <c r="BD164" s="528">
        <v>0</v>
      </c>
      <c r="BE164" s="528">
        <v>1511988.0100000005</v>
      </c>
      <c r="BF164" s="528">
        <v>90488.530000000115</v>
      </c>
      <c r="BG164" s="528">
        <v>-49591.250000000698</v>
      </c>
      <c r="BH164" s="528">
        <v>40897.279999999417</v>
      </c>
      <c r="BI164" s="528">
        <v>0</v>
      </c>
      <c r="BJ164" s="528">
        <v>0</v>
      </c>
      <c r="BK164" s="528">
        <v>0</v>
      </c>
      <c r="BL164" s="528">
        <v>0</v>
      </c>
      <c r="BM164" s="528">
        <v>0</v>
      </c>
      <c r="BN164" s="528">
        <v>0</v>
      </c>
      <c r="BO164" s="528">
        <v>0</v>
      </c>
      <c r="BP164" s="528">
        <v>0</v>
      </c>
      <c r="BQ164" s="528">
        <v>0</v>
      </c>
      <c r="BR164" s="528">
        <v>0</v>
      </c>
      <c r="BS164" s="528">
        <v>0</v>
      </c>
      <c r="BT164" s="528">
        <v>0</v>
      </c>
      <c r="BU164" s="528">
        <v>0</v>
      </c>
      <c r="BV164" s="528">
        <v>0</v>
      </c>
      <c r="BW164" s="528">
        <v>0</v>
      </c>
      <c r="BX164" s="528">
        <v>0</v>
      </c>
      <c r="BY164" s="528">
        <v>0</v>
      </c>
      <c r="BZ164" s="528">
        <v>0</v>
      </c>
      <c r="CA164" s="528">
        <v>0</v>
      </c>
      <c r="CB164" s="528">
        <v>0</v>
      </c>
      <c r="CC164" s="528">
        <v>0</v>
      </c>
      <c r="CD164" s="528">
        <v>40897.279999999417</v>
      </c>
      <c r="CE164" s="528">
        <v>0</v>
      </c>
      <c r="CF164" s="528">
        <v>0</v>
      </c>
      <c r="CG164" s="528">
        <v>0</v>
      </c>
      <c r="CH164" s="528">
        <v>0</v>
      </c>
      <c r="CI164" s="528">
        <f t="shared" si="2"/>
        <v>40897.279999999417</v>
      </c>
      <c r="CJ164" s="528">
        <v>0</v>
      </c>
      <c r="CK164" s="528">
        <v>0</v>
      </c>
      <c r="CL164" s="528">
        <v>0</v>
      </c>
      <c r="CM164" s="528">
        <v>0</v>
      </c>
      <c r="CN164" s="528">
        <v>0</v>
      </c>
      <c r="CO164" s="528">
        <v>0</v>
      </c>
      <c r="CP164" s="528">
        <v>0</v>
      </c>
      <c r="CQ164" s="528">
        <v>0</v>
      </c>
      <c r="CR164" s="528">
        <v>0</v>
      </c>
      <c r="CS164" s="528">
        <v>0</v>
      </c>
      <c r="CT164" s="528">
        <v>0</v>
      </c>
      <c r="CU164" s="528">
        <v>0</v>
      </c>
      <c r="CV164" s="528">
        <v>0</v>
      </c>
      <c r="CW164" s="528">
        <v>0</v>
      </c>
      <c r="CX164" s="528"/>
      <c r="CY164" s="528"/>
      <c r="CZ164" s="528"/>
      <c r="DA164" s="528">
        <v>67970.719999999259</v>
      </c>
      <c r="DB164" s="528">
        <v>67970.719999999259</v>
      </c>
      <c r="DC164" s="528">
        <v>0</v>
      </c>
      <c r="DD164" s="528">
        <v>3015.64</v>
      </c>
      <c r="DE164" s="528">
        <v>0</v>
      </c>
      <c r="DF164" s="528">
        <v>0</v>
      </c>
      <c r="DG164" s="528">
        <v>-5000</v>
      </c>
      <c r="DH164" s="528">
        <v>-25089.08</v>
      </c>
      <c r="DI164" s="528">
        <v>0</v>
      </c>
      <c r="DJ164" s="528">
        <v>0</v>
      </c>
      <c r="DK164" s="528">
        <v>-27073.440000000002</v>
      </c>
      <c r="DL164" s="528">
        <v>0</v>
      </c>
      <c r="DM164" s="528">
        <v>0</v>
      </c>
      <c r="DN164" s="528">
        <v>0</v>
      </c>
      <c r="DO164" s="528">
        <v>0</v>
      </c>
      <c r="DP164" s="528">
        <v>0</v>
      </c>
      <c r="DQ164" s="529">
        <v>7.4214767664670944E-10</v>
      </c>
      <c r="DR164" s="530">
        <v>1131488.0200000005</v>
      </c>
      <c r="DS164" s="531">
        <v>380499.99</v>
      </c>
      <c r="DT164" s="530">
        <v>7112</v>
      </c>
      <c r="DU164" s="530">
        <v>78716.84</v>
      </c>
      <c r="DV164" s="530">
        <v>0</v>
      </c>
      <c r="DW164" s="530">
        <v>0</v>
      </c>
    </row>
    <row r="165" spans="1:127" s="103" customFormat="1">
      <c r="A165" s="525">
        <v>3344</v>
      </c>
      <c r="B165" s="526" t="s">
        <v>795</v>
      </c>
      <c r="C165" s="525">
        <v>3344</v>
      </c>
      <c r="D165" s="527" t="s">
        <v>1284</v>
      </c>
      <c r="E165" s="527" t="s">
        <v>538</v>
      </c>
      <c r="F165" s="527" t="s">
        <v>5</v>
      </c>
      <c r="G165" s="527" t="s">
        <v>535</v>
      </c>
      <c r="H165" s="528">
        <v>2099481.2000000002</v>
      </c>
      <c r="I165" s="528">
        <v>0</v>
      </c>
      <c r="J165" s="528">
        <v>74803.59</v>
      </c>
      <c r="K165" s="528">
        <v>0</v>
      </c>
      <c r="L165" s="528">
        <v>118970</v>
      </c>
      <c r="M165" s="528">
        <v>1085.6400000000001</v>
      </c>
      <c r="N165" s="528">
        <v>0</v>
      </c>
      <c r="O165" s="528">
        <v>9788</v>
      </c>
      <c r="P165" s="528">
        <v>20171.750000000007</v>
      </c>
      <c r="Q165" s="528">
        <v>51056.83</v>
      </c>
      <c r="R165" s="528">
        <v>0</v>
      </c>
      <c r="S165" s="528">
        <v>0</v>
      </c>
      <c r="T165" s="528">
        <v>26067.11</v>
      </c>
      <c r="U165" s="528">
        <v>0</v>
      </c>
      <c r="V165" s="528">
        <v>0</v>
      </c>
      <c r="W165" s="528">
        <v>1941.46</v>
      </c>
      <c r="X165" s="528">
        <v>82186</v>
      </c>
      <c r="Y165" s="528">
        <v>2485551.58</v>
      </c>
      <c r="Z165" s="528">
        <v>1226496.3300000019</v>
      </c>
      <c r="AA165" s="528">
        <v>7.9936057773011271E-15</v>
      </c>
      <c r="AB165" s="528">
        <v>405597.19</v>
      </c>
      <c r="AC165" s="528">
        <v>95119.13000000047</v>
      </c>
      <c r="AD165" s="528">
        <v>139154.23000000001</v>
      </c>
      <c r="AE165" s="528">
        <v>0</v>
      </c>
      <c r="AF165" s="528">
        <v>89525.739999999816</v>
      </c>
      <c r="AG165" s="528">
        <v>3145.9300000000039</v>
      </c>
      <c r="AH165" s="528">
        <v>8400.42</v>
      </c>
      <c r="AI165" s="528">
        <v>0</v>
      </c>
      <c r="AJ165" s="528">
        <v>0</v>
      </c>
      <c r="AK165" s="528">
        <v>16722.259999999998</v>
      </c>
      <c r="AL165" s="528">
        <v>0</v>
      </c>
      <c r="AM165" s="528">
        <v>3858.44</v>
      </c>
      <c r="AN165" s="528">
        <v>8239.41</v>
      </c>
      <c r="AO165" s="528">
        <v>35755.070000000007</v>
      </c>
      <c r="AP165" s="528">
        <v>3047.48</v>
      </c>
      <c r="AQ165" s="528">
        <v>4129.0200000000004</v>
      </c>
      <c r="AR165" s="528">
        <v>64409.640000000116</v>
      </c>
      <c r="AS165" s="528">
        <v>29346.18</v>
      </c>
      <c r="AT165" s="528">
        <v>0</v>
      </c>
      <c r="AU165" s="528">
        <v>18599.409999999996</v>
      </c>
      <c r="AV165" s="528">
        <v>13831.93</v>
      </c>
      <c r="AW165" s="528">
        <v>0</v>
      </c>
      <c r="AX165" s="528">
        <v>145704.38</v>
      </c>
      <c r="AY165" s="528">
        <v>14497.87</v>
      </c>
      <c r="AZ165" s="528">
        <v>31165.5</v>
      </c>
      <c r="BA165" s="528">
        <v>138807.63</v>
      </c>
      <c r="BB165" s="528">
        <v>0</v>
      </c>
      <c r="BC165" s="528">
        <v>0</v>
      </c>
      <c r="BD165" s="528">
        <v>0</v>
      </c>
      <c r="BE165" s="528">
        <v>2495553.1900000023</v>
      </c>
      <c r="BF165" s="528">
        <v>173529.04999999996</v>
      </c>
      <c r="BG165" s="528">
        <v>-10001.610000002198</v>
      </c>
      <c r="BH165" s="528">
        <v>163527.43999999776</v>
      </c>
      <c r="BI165" s="528">
        <v>0</v>
      </c>
      <c r="BJ165" s="528">
        <v>0</v>
      </c>
      <c r="BK165" s="528">
        <v>0</v>
      </c>
      <c r="BL165" s="528">
        <v>0</v>
      </c>
      <c r="BM165" s="528">
        <v>0</v>
      </c>
      <c r="BN165" s="528">
        <v>0</v>
      </c>
      <c r="BO165" s="528">
        <v>0</v>
      </c>
      <c r="BP165" s="528">
        <v>0</v>
      </c>
      <c r="BQ165" s="528">
        <v>0</v>
      </c>
      <c r="BR165" s="528">
        <v>0</v>
      </c>
      <c r="BS165" s="528">
        <v>0</v>
      </c>
      <c r="BT165" s="528">
        <v>0</v>
      </c>
      <c r="BU165" s="528">
        <v>0</v>
      </c>
      <c r="BV165" s="528">
        <v>0</v>
      </c>
      <c r="BW165" s="528">
        <v>0</v>
      </c>
      <c r="BX165" s="528">
        <v>0</v>
      </c>
      <c r="BY165" s="528">
        <v>0</v>
      </c>
      <c r="BZ165" s="528">
        <v>0</v>
      </c>
      <c r="CA165" s="528">
        <v>0</v>
      </c>
      <c r="CB165" s="528">
        <v>0</v>
      </c>
      <c r="CC165" s="528">
        <v>0</v>
      </c>
      <c r="CD165" s="528">
        <v>163527.43999999776</v>
      </c>
      <c r="CE165" s="528">
        <v>0</v>
      </c>
      <c r="CF165" s="528">
        <v>0</v>
      </c>
      <c r="CG165" s="528">
        <v>0</v>
      </c>
      <c r="CH165" s="528">
        <v>0</v>
      </c>
      <c r="CI165" s="528">
        <f t="shared" si="2"/>
        <v>163527.43999999776</v>
      </c>
      <c r="CJ165" s="528">
        <v>376270.84</v>
      </c>
      <c r="CK165" s="528">
        <v>0</v>
      </c>
      <c r="CL165" s="528">
        <v>0</v>
      </c>
      <c r="CM165" s="528">
        <v>376270.84</v>
      </c>
      <c r="CN165" s="528">
        <v>0</v>
      </c>
      <c r="CO165" s="528">
        <v>0</v>
      </c>
      <c r="CP165" s="528">
        <v>3473.21</v>
      </c>
      <c r="CQ165" s="528">
        <v>0</v>
      </c>
      <c r="CR165" s="528">
        <v>-185186.28999999998</v>
      </c>
      <c r="CS165" s="528">
        <v>194557.76000000007</v>
      </c>
      <c r="CT165" s="528">
        <v>0</v>
      </c>
      <c r="CU165" s="528">
        <v>0</v>
      </c>
      <c r="CV165" s="528">
        <v>0</v>
      </c>
      <c r="CW165" s="528">
        <v>0</v>
      </c>
      <c r="CX165" s="528"/>
      <c r="CY165" s="528"/>
      <c r="CZ165" s="528"/>
      <c r="DA165" s="528">
        <v>0</v>
      </c>
      <c r="DB165" s="528">
        <v>0</v>
      </c>
      <c r="DC165" s="528">
        <v>0</v>
      </c>
      <c r="DD165" s="528">
        <v>6177.65</v>
      </c>
      <c r="DE165" s="528">
        <v>7626.24</v>
      </c>
      <c r="DF165" s="528">
        <v>0</v>
      </c>
      <c r="DG165" s="528">
        <v>-9609.3799999999992</v>
      </c>
      <c r="DH165" s="528">
        <v>-35224.839999999997</v>
      </c>
      <c r="DI165" s="528">
        <v>0</v>
      </c>
      <c r="DJ165" s="528">
        <v>0</v>
      </c>
      <c r="DK165" s="528">
        <v>-31030.329999999994</v>
      </c>
      <c r="DL165" s="528">
        <v>0</v>
      </c>
      <c r="DM165" s="528">
        <v>0</v>
      </c>
      <c r="DN165" s="528">
        <v>0</v>
      </c>
      <c r="DO165" s="528">
        <v>0</v>
      </c>
      <c r="DP165" s="528">
        <v>0</v>
      </c>
      <c r="DQ165" s="529">
        <v>9.9999999220017344E-3</v>
      </c>
      <c r="DR165" s="530">
        <v>1959038.5500000019</v>
      </c>
      <c r="DS165" s="531">
        <v>536514.64000000036</v>
      </c>
      <c r="DT165" s="530">
        <v>14497.87</v>
      </c>
      <c r="DU165" s="530">
        <v>107083.69000000002</v>
      </c>
      <c r="DV165" s="530">
        <v>0</v>
      </c>
      <c r="DW165" s="530">
        <v>0</v>
      </c>
    </row>
    <row r="166" spans="1:127" s="103" customFormat="1">
      <c r="A166" s="525">
        <v>3025</v>
      </c>
      <c r="B166" s="526" t="s">
        <v>797</v>
      </c>
      <c r="C166" s="525">
        <v>3025</v>
      </c>
      <c r="D166" s="527" t="s">
        <v>1284</v>
      </c>
      <c r="E166" s="527" t="s">
        <v>538</v>
      </c>
      <c r="F166" s="527" t="s">
        <v>5</v>
      </c>
      <c r="G166" s="527" t="s">
        <v>535</v>
      </c>
      <c r="H166" s="528">
        <v>2146267</v>
      </c>
      <c r="I166" s="528">
        <v>0</v>
      </c>
      <c r="J166" s="528">
        <v>223989</v>
      </c>
      <c r="K166" s="528">
        <v>0</v>
      </c>
      <c r="L166" s="528">
        <v>143770</v>
      </c>
      <c r="M166" s="528">
        <v>3257</v>
      </c>
      <c r="N166" s="528">
        <v>0</v>
      </c>
      <c r="O166" s="528">
        <v>0</v>
      </c>
      <c r="P166" s="528">
        <v>2909</v>
      </c>
      <c r="Q166" s="528">
        <v>55140</v>
      </c>
      <c r="R166" s="528">
        <v>0</v>
      </c>
      <c r="S166" s="528">
        <v>0</v>
      </c>
      <c r="T166" s="528">
        <v>22638</v>
      </c>
      <c r="U166" s="528">
        <v>3811</v>
      </c>
      <c r="V166" s="528">
        <v>0</v>
      </c>
      <c r="W166" s="528">
        <v>2187</v>
      </c>
      <c r="X166" s="528">
        <v>80570</v>
      </c>
      <c r="Y166" s="528">
        <v>2684538</v>
      </c>
      <c r="Z166" s="528">
        <v>1185211</v>
      </c>
      <c r="AA166" s="528">
        <v>0</v>
      </c>
      <c r="AB166" s="528">
        <v>296809</v>
      </c>
      <c r="AC166" s="528">
        <v>43556</v>
      </c>
      <c r="AD166" s="528">
        <v>174694</v>
      </c>
      <c r="AE166" s="528">
        <v>68166</v>
      </c>
      <c r="AF166" s="528">
        <v>61171</v>
      </c>
      <c r="AG166" s="528">
        <v>2741</v>
      </c>
      <c r="AH166" s="528">
        <v>2845</v>
      </c>
      <c r="AI166" s="528">
        <v>0</v>
      </c>
      <c r="AJ166" s="528">
        <v>0</v>
      </c>
      <c r="AK166" s="528">
        <v>16067</v>
      </c>
      <c r="AL166" s="528">
        <v>1495</v>
      </c>
      <c r="AM166" s="528">
        <v>1081</v>
      </c>
      <c r="AN166" s="528">
        <v>11129</v>
      </c>
      <c r="AO166" s="528">
        <v>32500</v>
      </c>
      <c r="AP166" s="528">
        <v>5126</v>
      </c>
      <c r="AQ166" s="528">
        <v>4654</v>
      </c>
      <c r="AR166" s="528">
        <v>66345</v>
      </c>
      <c r="AS166" s="528">
        <v>12996</v>
      </c>
      <c r="AT166" s="528">
        <v>0</v>
      </c>
      <c r="AU166" s="528">
        <v>22971</v>
      </c>
      <c r="AV166" s="528">
        <v>9471</v>
      </c>
      <c r="AW166" s="528">
        <v>2300</v>
      </c>
      <c r="AX166" s="528">
        <v>43362</v>
      </c>
      <c r="AY166" s="528">
        <v>431274</v>
      </c>
      <c r="AZ166" s="528">
        <v>10103</v>
      </c>
      <c r="BA166" s="528">
        <v>23843</v>
      </c>
      <c r="BB166" s="528">
        <v>80744</v>
      </c>
      <c r="BC166" s="528">
        <v>0</v>
      </c>
      <c r="BD166" s="528">
        <v>0</v>
      </c>
      <c r="BE166" s="528">
        <v>2610654</v>
      </c>
      <c r="BF166" s="528">
        <v>86655</v>
      </c>
      <c r="BG166" s="528">
        <v>73884</v>
      </c>
      <c r="BH166" s="528">
        <v>160539</v>
      </c>
      <c r="BI166" s="528">
        <v>0</v>
      </c>
      <c r="BJ166" s="528">
        <v>0</v>
      </c>
      <c r="BK166" s="528">
        <v>0</v>
      </c>
      <c r="BL166" s="528">
        <v>0</v>
      </c>
      <c r="BM166" s="528">
        <v>0</v>
      </c>
      <c r="BN166" s="528">
        <v>0</v>
      </c>
      <c r="BO166" s="528">
        <v>0</v>
      </c>
      <c r="BP166" s="528">
        <v>0</v>
      </c>
      <c r="BQ166" s="528">
        <v>0</v>
      </c>
      <c r="BR166" s="528">
        <v>0</v>
      </c>
      <c r="BS166" s="528">
        <v>0</v>
      </c>
      <c r="BT166" s="528">
        <v>0</v>
      </c>
      <c r="BU166" s="528">
        <v>0</v>
      </c>
      <c r="BV166" s="528">
        <v>0</v>
      </c>
      <c r="BW166" s="528">
        <v>0</v>
      </c>
      <c r="BX166" s="528">
        <v>0</v>
      </c>
      <c r="BY166" s="528">
        <v>0</v>
      </c>
      <c r="BZ166" s="528">
        <v>0</v>
      </c>
      <c r="CA166" s="528">
        <v>0</v>
      </c>
      <c r="CB166" s="528">
        <v>0</v>
      </c>
      <c r="CC166" s="528">
        <v>0</v>
      </c>
      <c r="CD166" s="528">
        <v>160539</v>
      </c>
      <c r="CE166" s="528">
        <v>0</v>
      </c>
      <c r="CF166" s="528">
        <v>0</v>
      </c>
      <c r="CG166" s="528">
        <v>0</v>
      </c>
      <c r="CH166" s="528">
        <v>0</v>
      </c>
      <c r="CI166" s="528">
        <f t="shared" si="2"/>
        <v>160539</v>
      </c>
      <c r="CJ166" s="528">
        <v>307195</v>
      </c>
      <c r="CK166" s="528">
        <v>0</v>
      </c>
      <c r="CL166" s="528">
        <v>0</v>
      </c>
      <c r="CM166" s="528">
        <v>307195</v>
      </c>
      <c r="CN166" s="528">
        <v>0</v>
      </c>
      <c r="CO166" s="528">
        <v>0</v>
      </c>
      <c r="CP166" s="528">
        <v>14363</v>
      </c>
      <c r="CQ166" s="528">
        <v>0</v>
      </c>
      <c r="CR166" s="528">
        <v>-141525</v>
      </c>
      <c r="CS166" s="528">
        <v>180034</v>
      </c>
      <c r="CT166" s="528">
        <v>0</v>
      </c>
      <c r="CU166" s="528">
        <v>0</v>
      </c>
      <c r="CV166" s="528">
        <v>0</v>
      </c>
      <c r="CW166" s="528">
        <v>0</v>
      </c>
      <c r="CX166" s="528"/>
      <c r="CY166" s="528"/>
      <c r="CZ166" s="528"/>
      <c r="DA166" s="528">
        <v>0</v>
      </c>
      <c r="DB166" s="528">
        <v>0</v>
      </c>
      <c r="DC166" s="528">
        <v>0</v>
      </c>
      <c r="DD166" s="528">
        <v>2909</v>
      </c>
      <c r="DE166" s="528">
        <v>0</v>
      </c>
      <c r="DF166" s="528">
        <v>0</v>
      </c>
      <c r="DG166" s="528">
        <v>-22403</v>
      </c>
      <c r="DH166" s="528">
        <v>0</v>
      </c>
      <c r="DI166" s="528">
        <v>0</v>
      </c>
      <c r="DJ166" s="528">
        <v>0</v>
      </c>
      <c r="DK166" s="528">
        <v>-19494</v>
      </c>
      <c r="DL166" s="528">
        <v>0</v>
      </c>
      <c r="DM166" s="528">
        <v>0</v>
      </c>
      <c r="DN166" s="528">
        <v>0</v>
      </c>
      <c r="DO166" s="528">
        <v>0</v>
      </c>
      <c r="DP166" s="528">
        <v>0</v>
      </c>
      <c r="DQ166" s="529">
        <v>0.22</v>
      </c>
      <c r="DR166" s="530">
        <v>1832348</v>
      </c>
      <c r="DS166" s="531">
        <v>778306</v>
      </c>
      <c r="DT166" s="530">
        <v>431274</v>
      </c>
      <c r="DU166" s="530">
        <v>80687</v>
      </c>
      <c r="DV166" s="530">
        <v>3811</v>
      </c>
      <c r="DW166" s="530">
        <v>0</v>
      </c>
    </row>
    <row r="167" spans="1:127" s="103" customFormat="1">
      <c r="A167" s="525">
        <v>3016</v>
      </c>
      <c r="B167" s="526" t="s">
        <v>799</v>
      </c>
      <c r="C167" s="525">
        <v>3016</v>
      </c>
      <c r="D167" s="527" t="s">
        <v>1284</v>
      </c>
      <c r="E167" s="527" t="s">
        <v>538</v>
      </c>
      <c r="F167" s="527" t="s">
        <v>5</v>
      </c>
      <c r="G167" s="527" t="s">
        <v>535</v>
      </c>
      <c r="H167" s="528">
        <v>1457523.1</v>
      </c>
      <c r="I167" s="528">
        <v>0</v>
      </c>
      <c r="J167" s="528">
        <v>107751.93</v>
      </c>
      <c r="K167" s="528">
        <v>0</v>
      </c>
      <c r="L167" s="528">
        <v>174640</v>
      </c>
      <c r="M167" s="528">
        <v>771.29</v>
      </c>
      <c r="N167" s="528">
        <v>0</v>
      </c>
      <c r="O167" s="528">
        <v>0</v>
      </c>
      <c r="P167" s="528">
        <v>167264.26</v>
      </c>
      <c r="Q167" s="528">
        <v>6733.55</v>
      </c>
      <c r="R167" s="528">
        <v>0</v>
      </c>
      <c r="S167" s="528">
        <v>0</v>
      </c>
      <c r="T167" s="528">
        <v>5485</v>
      </c>
      <c r="U167" s="528">
        <v>0</v>
      </c>
      <c r="V167" s="528">
        <v>0</v>
      </c>
      <c r="W167" s="528">
        <v>7399.38</v>
      </c>
      <c r="X167" s="528">
        <v>44822</v>
      </c>
      <c r="Y167" s="528">
        <v>1972390.51</v>
      </c>
      <c r="Z167" s="528">
        <v>610224.61</v>
      </c>
      <c r="AA167" s="528">
        <v>0</v>
      </c>
      <c r="AB167" s="528">
        <v>299830.8</v>
      </c>
      <c r="AC167" s="528">
        <v>41832.879999999997</v>
      </c>
      <c r="AD167" s="528">
        <v>166971.48000000001</v>
      </c>
      <c r="AE167" s="528">
        <v>0</v>
      </c>
      <c r="AF167" s="528">
        <v>54518.36</v>
      </c>
      <c r="AG167" s="528">
        <v>4038.01</v>
      </c>
      <c r="AH167" s="528">
        <v>7135.2</v>
      </c>
      <c r="AI167" s="528">
        <v>0</v>
      </c>
      <c r="AJ167" s="528">
        <v>0</v>
      </c>
      <c r="AK167" s="528">
        <v>14226.3</v>
      </c>
      <c r="AL167" s="528">
        <v>3948.6</v>
      </c>
      <c r="AM167" s="528">
        <v>2236.7800000000002</v>
      </c>
      <c r="AN167" s="528">
        <v>3651.56</v>
      </c>
      <c r="AO167" s="528">
        <v>38746.229999999996</v>
      </c>
      <c r="AP167" s="528">
        <v>15625.33</v>
      </c>
      <c r="AQ167" s="528">
        <v>13003.16</v>
      </c>
      <c r="AR167" s="528">
        <v>255384.13</v>
      </c>
      <c r="AS167" s="528">
        <v>5982.34</v>
      </c>
      <c r="AT167" s="528">
        <v>0</v>
      </c>
      <c r="AU167" s="528">
        <v>6850.33</v>
      </c>
      <c r="AV167" s="528">
        <v>5139.75</v>
      </c>
      <c r="AW167" s="528">
        <v>2777</v>
      </c>
      <c r="AX167" s="528">
        <v>123588.99</v>
      </c>
      <c r="AY167" s="528">
        <v>106609.64</v>
      </c>
      <c r="AZ167" s="528">
        <v>6264.7</v>
      </c>
      <c r="BA167" s="528">
        <v>112594.93</v>
      </c>
      <c r="BB167" s="528">
        <v>0</v>
      </c>
      <c r="BC167" s="528">
        <v>24.7</v>
      </c>
      <c r="BD167" s="528">
        <v>0</v>
      </c>
      <c r="BE167" s="528">
        <v>1901205.81</v>
      </c>
      <c r="BF167" s="528">
        <v>502363.49999999994</v>
      </c>
      <c r="BG167" s="528">
        <v>71184.699999999953</v>
      </c>
      <c r="BH167" s="528">
        <v>573548.19999999995</v>
      </c>
      <c r="BI167" s="528">
        <v>6306.25</v>
      </c>
      <c r="BJ167" s="528">
        <v>0</v>
      </c>
      <c r="BK167" s="528">
        <v>0</v>
      </c>
      <c r="BL167" s="528">
        <v>6306.25</v>
      </c>
      <c r="BM167" s="528">
        <v>0</v>
      </c>
      <c r="BN167" s="528">
        <v>4990</v>
      </c>
      <c r="BO167" s="528">
        <v>0</v>
      </c>
      <c r="BP167" s="528">
        <v>0</v>
      </c>
      <c r="BQ167" s="528">
        <v>4990</v>
      </c>
      <c r="BR167" s="528">
        <v>0</v>
      </c>
      <c r="BS167" s="528">
        <v>1316.25</v>
      </c>
      <c r="BT167" s="528">
        <v>1316.25</v>
      </c>
      <c r="BU167" s="528">
        <v>0</v>
      </c>
      <c r="BV167" s="528">
        <v>0</v>
      </c>
      <c r="BW167" s="528">
        <v>0</v>
      </c>
      <c r="BX167" s="528">
        <v>0</v>
      </c>
      <c r="BY167" s="528">
        <v>0</v>
      </c>
      <c r="BZ167" s="528">
        <v>0</v>
      </c>
      <c r="CA167" s="528">
        <v>0</v>
      </c>
      <c r="CB167" s="528">
        <v>0</v>
      </c>
      <c r="CC167" s="528">
        <v>0</v>
      </c>
      <c r="CD167" s="528">
        <v>573548.19999999995</v>
      </c>
      <c r="CE167" s="528">
        <v>0</v>
      </c>
      <c r="CF167" s="528">
        <v>1316.25</v>
      </c>
      <c r="CG167" s="528">
        <v>0</v>
      </c>
      <c r="CH167" s="528">
        <v>0</v>
      </c>
      <c r="CI167" s="528">
        <f t="shared" si="2"/>
        <v>574864.44999999995</v>
      </c>
      <c r="CJ167" s="528">
        <v>726066.32</v>
      </c>
      <c r="CK167" s="528">
        <v>143980.09</v>
      </c>
      <c r="CL167" s="528">
        <v>680</v>
      </c>
      <c r="CM167" s="528">
        <v>582766.23</v>
      </c>
      <c r="CN167" s="528">
        <v>0</v>
      </c>
      <c r="CO167" s="528">
        <v>0</v>
      </c>
      <c r="CP167" s="528">
        <v>9620.56</v>
      </c>
      <c r="CQ167" s="528">
        <v>0</v>
      </c>
      <c r="CR167" s="528">
        <v>0</v>
      </c>
      <c r="CS167" s="528">
        <v>592386.79</v>
      </c>
      <c r="CT167" s="528">
        <v>0</v>
      </c>
      <c r="CU167" s="528">
        <v>0</v>
      </c>
      <c r="CV167" s="528">
        <v>0</v>
      </c>
      <c r="CW167" s="528">
        <v>0</v>
      </c>
      <c r="CX167" s="528"/>
      <c r="CY167" s="528"/>
      <c r="CZ167" s="528"/>
      <c r="DA167" s="528">
        <v>0</v>
      </c>
      <c r="DB167" s="528">
        <v>0</v>
      </c>
      <c r="DC167" s="528">
        <v>6050</v>
      </c>
      <c r="DD167" s="528">
        <v>0</v>
      </c>
      <c r="DE167" s="528">
        <v>0</v>
      </c>
      <c r="DF167" s="528">
        <v>0</v>
      </c>
      <c r="DG167" s="528">
        <v>-12492.48</v>
      </c>
      <c r="DH167" s="528">
        <v>-29132.61</v>
      </c>
      <c r="DI167" s="528">
        <v>0</v>
      </c>
      <c r="DJ167" s="528">
        <v>0</v>
      </c>
      <c r="DK167" s="528">
        <v>-35575.089999999997</v>
      </c>
      <c r="DL167" s="528">
        <v>16974.38</v>
      </c>
      <c r="DM167" s="528">
        <v>0</v>
      </c>
      <c r="DN167" s="528">
        <v>717.4</v>
      </c>
      <c r="DO167" s="528">
        <v>0</v>
      </c>
      <c r="DP167" s="528">
        <v>360.99</v>
      </c>
      <c r="DQ167" s="529">
        <v>-2.0000000018626451E-2</v>
      </c>
      <c r="DR167" s="530">
        <v>1177416.1400000001</v>
      </c>
      <c r="DS167" s="531">
        <v>723789.66999999993</v>
      </c>
      <c r="DT167" s="530">
        <v>106609.64</v>
      </c>
      <c r="DU167" s="530">
        <v>179482.81</v>
      </c>
      <c r="DV167" s="530">
        <v>0</v>
      </c>
      <c r="DW167" s="530">
        <v>18052.770000000004</v>
      </c>
    </row>
    <row r="168" spans="1:127" s="103" customFormat="1">
      <c r="A168" s="525">
        <v>3346</v>
      </c>
      <c r="B168" s="526" t="s">
        <v>927</v>
      </c>
      <c r="C168" s="525">
        <v>3346</v>
      </c>
      <c r="D168" s="527" t="s">
        <v>1284</v>
      </c>
      <c r="E168" s="527" t="s">
        <v>538</v>
      </c>
      <c r="F168" s="527" t="s">
        <v>5</v>
      </c>
      <c r="G168" s="527" t="s">
        <v>958</v>
      </c>
      <c r="H168" s="528">
        <v>2416160.46</v>
      </c>
      <c r="I168" s="528">
        <v>0</v>
      </c>
      <c r="J168" s="528">
        <v>123028.15</v>
      </c>
      <c r="K168" s="528">
        <v>0</v>
      </c>
      <c r="L168" s="528">
        <v>267140</v>
      </c>
      <c r="M168" s="528">
        <v>2256.9299999999998</v>
      </c>
      <c r="N168" s="528">
        <v>0</v>
      </c>
      <c r="O168" s="528">
        <v>0</v>
      </c>
      <c r="P168" s="528">
        <v>34834.539999999994</v>
      </c>
      <c r="Q168" s="528">
        <v>54814.210000000006</v>
      </c>
      <c r="R168" s="528">
        <v>0</v>
      </c>
      <c r="S168" s="528">
        <v>0</v>
      </c>
      <c r="T168" s="528">
        <v>5112.3</v>
      </c>
      <c r="U168" s="528">
        <v>0</v>
      </c>
      <c r="V168" s="528">
        <v>0</v>
      </c>
      <c r="W168" s="528">
        <v>3928.97</v>
      </c>
      <c r="X168" s="528">
        <v>69081</v>
      </c>
      <c r="Y168" s="528">
        <v>2976356.56</v>
      </c>
      <c r="Z168" s="528">
        <v>1046583.6099999998</v>
      </c>
      <c r="AA168" s="528">
        <v>7922.9199999999983</v>
      </c>
      <c r="AB168" s="528">
        <v>-9310.7300000000232</v>
      </c>
      <c r="AC168" s="528">
        <v>599930.09000000055</v>
      </c>
      <c r="AD168" s="528">
        <v>139.27999999999997</v>
      </c>
      <c r="AE168" s="528">
        <v>0</v>
      </c>
      <c r="AF168" s="528">
        <v>567565.2499999993</v>
      </c>
      <c r="AG168" s="528">
        <v>13731.410000000009</v>
      </c>
      <c r="AH168" s="528">
        <v>13651.99</v>
      </c>
      <c r="AI168" s="528">
        <v>0</v>
      </c>
      <c r="AJ168" s="528">
        <v>485.52</v>
      </c>
      <c r="AK168" s="528">
        <v>32683.05</v>
      </c>
      <c r="AL168" s="528">
        <v>0</v>
      </c>
      <c r="AM168" s="528">
        <v>45569.48000000001</v>
      </c>
      <c r="AN168" s="528">
        <v>7144.8799999999992</v>
      </c>
      <c r="AO168" s="528">
        <v>75965.310000000027</v>
      </c>
      <c r="AP168" s="528">
        <v>7128.45</v>
      </c>
      <c r="AQ168" s="528">
        <v>39213.700000000012</v>
      </c>
      <c r="AR168" s="528">
        <v>52579.669999999962</v>
      </c>
      <c r="AS168" s="528">
        <v>20135.55</v>
      </c>
      <c r="AT168" s="528">
        <v>7352.08</v>
      </c>
      <c r="AU168" s="528">
        <v>18119.309999999998</v>
      </c>
      <c r="AV168" s="528">
        <v>12431.54</v>
      </c>
      <c r="AW168" s="528">
        <v>5373.03</v>
      </c>
      <c r="AX168" s="528">
        <v>254967.53999999998</v>
      </c>
      <c r="AY168" s="528">
        <v>72817.62</v>
      </c>
      <c r="AZ168" s="528">
        <v>9125.48</v>
      </c>
      <c r="BA168" s="528">
        <v>295357.03000000003</v>
      </c>
      <c r="BB168" s="528">
        <v>0</v>
      </c>
      <c r="BC168" s="528">
        <v>0</v>
      </c>
      <c r="BD168" s="528">
        <v>0</v>
      </c>
      <c r="BE168" s="528">
        <v>3196663.0600000005</v>
      </c>
      <c r="BF168" s="528">
        <v>-494122.42443226755</v>
      </c>
      <c r="BG168" s="528">
        <v>-220306.50000000047</v>
      </c>
      <c r="BH168" s="528">
        <v>-714428.92443226802</v>
      </c>
      <c r="BI168" s="528">
        <v>0</v>
      </c>
      <c r="BJ168" s="528">
        <v>0</v>
      </c>
      <c r="BK168" s="528">
        <v>0</v>
      </c>
      <c r="BL168" s="528">
        <v>0</v>
      </c>
      <c r="BM168" s="528">
        <v>0</v>
      </c>
      <c r="BN168" s="528">
        <v>0</v>
      </c>
      <c r="BO168" s="528">
        <v>0</v>
      </c>
      <c r="BP168" s="528">
        <v>0</v>
      </c>
      <c r="BQ168" s="528">
        <v>0</v>
      </c>
      <c r="BR168" s="528">
        <v>0</v>
      </c>
      <c r="BS168" s="528">
        <v>0</v>
      </c>
      <c r="BT168" s="528">
        <v>0</v>
      </c>
      <c r="BU168" s="528">
        <v>0</v>
      </c>
      <c r="BV168" s="528">
        <v>0</v>
      </c>
      <c r="BW168" s="528">
        <v>0</v>
      </c>
      <c r="BX168" s="528">
        <v>0</v>
      </c>
      <c r="BY168" s="528">
        <v>0</v>
      </c>
      <c r="BZ168" s="528">
        <v>0</v>
      </c>
      <c r="CA168" s="528">
        <v>0</v>
      </c>
      <c r="CB168" s="528">
        <v>0</v>
      </c>
      <c r="CC168" s="528">
        <v>0</v>
      </c>
      <c r="CD168" s="528">
        <v>-714428.92443226802</v>
      </c>
      <c r="CE168" s="528">
        <v>0</v>
      </c>
      <c r="CF168" s="528">
        <v>0</v>
      </c>
      <c r="CG168" s="528">
        <v>0</v>
      </c>
      <c r="CH168" s="528">
        <v>0</v>
      </c>
      <c r="CI168" s="528">
        <f t="shared" si="2"/>
        <v>-714428.92443226802</v>
      </c>
      <c r="CJ168" s="528">
        <v>0</v>
      </c>
      <c r="CK168" s="528">
        <v>0</v>
      </c>
      <c r="CL168" s="528">
        <v>0</v>
      </c>
      <c r="CM168" s="528">
        <v>0</v>
      </c>
      <c r="CN168" s="528">
        <v>0</v>
      </c>
      <c r="CO168" s="528">
        <v>0</v>
      </c>
      <c r="CP168" s="528">
        <v>0</v>
      </c>
      <c r="CQ168" s="528">
        <v>0</v>
      </c>
      <c r="CR168" s="528">
        <v>0</v>
      </c>
      <c r="CS168" s="528">
        <v>0</v>
      </c>
      <c r="CT168" s="528">
        <v>0</v>
      </c>
      <c r="CU168" s="528">
        <v>0</v>
      </c>
      <c r="CV168" s="528">
        <v>0</v>
      </c>
      <c r="CW168" s="528">
        <v>0</v>
      </c>
      <c r="CX168" s="528"/>
      <c r="CY168" s="528"/>
      <c r="CZ168" s="528"/>
      <c r="DA168" s="528">
        <v>-636254.75443226786</v>
      </c>
      <c r="DB168" s="528">
        <v>-636254.75443226786</v>
      </c>
      <c r="DC168" s="528">
        <v>0</v>
      </c>
      <c r="DD168" s="528">
        <v>0</v>
      </c>
      <c r="DE168" s="528">
        <v>0</v>
      </c>
      <c r="DF168" s="528">
        <v>0</v>
      </c>
      <c r="DG168" s="528">
        <v>-20291.3</v>
      </c>
      <c r="DH168" s="528">
        <v>-57882.87</v>
      </c>
      <c r="DI168" s="528">
        <v>0</v>
      </c>
      <c r="DJ168" s="528">
        <v>0</v>
      </c>
      <c r="DK168" s="528">
        <v>-78174.17</v>
      </c>
      <c r="DL168" s="528">
        <v>0</v>
      </c>
      <c r="DM168" s="528">
        <v>0</v>
      </c>
      <c r="DN168" s="528">
        <v>0</v>
      </c>
      <c r="DO168" s="528">
        <v>0</v>
      </c>
      <c r="DP168" s="528">
        <v>0</v>
      </c>
      <c r="DQ168" s="529">
        <v>4.4322678586468101E-3</v>
      </c>
      <c r="DR168" s="530">
        <v>2226561.83</v>
      </c>
      <c r="DS168" s="531">
        <v>970101.23000000045</v>
      </c>
      <c r="DT168" s="530">
        <v>72817.62</v>
      </c>
      <c r="DU168" s="530">
        <v>94761.05</v>
      </c>
      <c r="DV168" s="530">
        <v>0</v>
      </c>
      <c r="DW168" s="530">
        <v>0</v>
      </c>
    </row>
    <row r="169" spans="1:127" s="103" customFormat="1">
      <c r="A169" s="525">
        <v>4606</v>
      </c>
      <c r="B169" s="526" t="s">
        <v>801</v>
      </c>
      <c r="C169" s="525">
        <v>4606</v>
      </c>
      <c r="D169" s="527" t="s">
        <v>1284</v>
      </c>
      <c r="E169" s="527" t="s">
        <v>564</v>
      </c>
      <c r="F169" s="527" t="s">
        <v>5</v>
      </c>
      <c r="G169" s="527" t="s">
        <v>535</v>
      </c>
      <c r="H169" s="528">
        <v>5929186.4199999999</v>
      </c>
      <c r="I169" s="528">
        <v>1180055.83</v>
      </c>
      <c r="J169" s="528">
        <v>46250.82</v>
      </c>
      <c r="K169" s="528">
        <v>0</v>
      </c>
      <c r="L169" s="528">
        <v>253030</v>
      </c>
      <c r="M169" s="528">
        <v>4570.29</v>
      </c>
      <c r="N169" s="528">
        <v>32271.809999999998</v>
      </c>
      <c r="O169" s="528">
        <v>0</v>
      </c>
      <c r="P169" s="528">
        <v>80431.13</v>
      </c>
      <c r="Q169" s="528">
        <v>-456.65</v>
      </c>
      <c r="R169" s="528">
        <v>0</v>
      </c>
      <c r="S169" s="528">
        <v>0</v>
      </c>
      <c r="T169" s="528">
        <v>333906.55</v>
      </c>
      <c r="U169" s="528">
        <v>0</v>
      </c>
      <c r="V169" s="528">
        <v>0</v>
      </c>
      <c r="W169" s="528">
        <v>23082.75</v>
      </c>
      <c r="X169" s="528">
        <v>0</v>
      </c>
      <c r="Y169" s="528">
        <v>7882328.9499999993</v>
      </c>
      <c r="Z169" s="528">
        <v>5272354.46</v>
      </c>
      <c r="AA169" s="528">
        <v>0</v>
      </c>
      <c r="AB169" s="528">
        <v>507175.58</v>
      </c>
      <c r="AC169" s="528">
        <v>85293.28</v>
      </c>
      <c r="AD169" s="528">
        <v>469411.07</v>
      </c>
      <c r="AE169" s="528">
        <v>0</v>
      </c>
      <c r="AF169" s="528">
        <v>86113.71</v>
      </c>
      <c r="AG169" s="528">
        <v>47233.549999999996</v>
      </c>
      <c r="AH169" s="528">
        <v>10372.5</v>
      </c>
      <c r="AI169" s="528">
        <v>0</v>
      </c>
      <c r="AJ169" s="528">
        <v>0</v>
      </c>
      <c r="AK169" s="528">
        <v>52903.520000000004</v>
      </c>
      <c r="AL169" s="528">
        <v>8810.6</v>
      </c>
      <c r="AM169" s="528">
        <v>148570.88</v>
      </c>
      <c r="AN169" s="528">
        <v>8586.58</v>
      </c>
      <c r="AO169" s="528">
        <v>131900.78</v>
      </c>
      <c r="AP169" s="528">
        <v>14946</v>
      </c>
      <c r="AQ169" s="528">
        <v>20586.89</v>
      </c>
      <c r="AR169" s="528">
        <v>396611.48</v>
      </c>
      <c r="AS169" s="528">
        <v>77129.88</v>
      </c>
      <c r="AT169" s="528">
        <v>137300.63</v>
      </c>
      <c r="AU169" s="528">
        <v>116785.09000000001</v>
      </c>
      <c r="AV169" s="528">
        <v>24312.75</v>
      </c>
      <c r="AW169" s="528">
        <v>0</v>
      </c>
      <c r="AX169" s="528">
        <v>116061.73</v>
      </c>
      <c r="AY169" s="528">
        <v>56177.96</v>
      </c>
      <c r="AZ169" s="528">
        <v>65655.320000000007</v>
      </c>
      <c r="BA169" s="528">
        <v>212065.87</v>
      </c>
      <c r="BB169" s="528">
        <v>0</v>
      </c>
      <c r="BC169" s="528">
        <v>0</v>
      </c>
      <c r="BD169" s="528">
        <v>0</v>
      </c>
      <c r="BE169" s="528">
        <v>8066360.1099999994</v>
      </c>
      <c r="BF169" s="528">
        <v>418325.32999999996</v>
      </c>
      <c r="BG169" s="528">
        <v>-184031.16000000015</v>
      </c>
      <c r="BH169" s="528">
        <v>234294.16999999981</v>
      </c>
      <c r="BI169" s="528">
        <v>0</v>
      </c>
      <c r="BJ169" s="528">
        <v>0</v>
      </c>
      <c r="BK169" s="528">
        <v>0</v>
      </c>
      <c r="BL169" s="528">
        <v>0</v>
      </c>
      <c r="BM169" s="528">
        <v>0</v>
      </c>
      <c r="BN169" s="528">
        <v>0</v>
      </c>
      <c r="BO169" s="528">
        <v>0</v>
      </c>
      <c r="BP169" s="528">
        <v>0</v>
      </c>
      <c r="BQ169" s="528">
        <v>0</v>
      </c>
      <c r="BR169" s="528">
        <v>0</v>
      </c>
      <c r="BS169" s="528">
        <v>0</v>
      </c>
      <c r="BT169" s="528">
        <v>0</v>
      </c>
      <c r="BU169" s="528">
        <v>0</v>
      </c>
      <c r="BV169" s="528">
        <v>0</v>
      </c>
      <c r="BW169" s="528">
        <v>0</v>
      </c>
      <c r="BX169" s="528">
        <v>0</v>
      </c>
      <c r="BY169" s="528">
        <v>0</v>
      </c>
      <c r="BZ169" s="528">
        <v>0</v>
      </c>
      <c r="CA169" s="528">
        <v>0</v>
      </c>
      <c r="CB169" s="528">
        <v>0</v>
      </c>
      <c r="CC169" s="528">
        <v>0</v>
      </c>
      <c r="CD169" s="528">
        <v>234294.16999999981</v>
      </c>
      <c r="CE169" s="528">
        <v>0</v>
      </c>
      <c r="CF169" s="528">
        <v>0</v>
      </c>
      <c r="CG169" s="528">
        <v>0</v>
      </c>
      <c r="CH169" s="528">
        <v>0</v>
      </c>
      <c r="CI169" s="528">
        <f t="shared" si="2"/>
        <v>234294.16999999981</v>
      </c>
      <c r="CJ169" s="528">
        <v>607079.19999999995</v>
      </c>
      <c r="CK169" s="528">
        <v>0</v>
      </c>
      <c r="CL169" s="528">
        <v>0</v>
      </c>
      <c r="CM169" s="528">
        <v>607079.19999999995</v>
      </c>
      <c r="CN169" s="528">
        <v>0</v>
      </c>
      <c r="CO169" s="528">
        <v>0</v>
      </c>
      <c r="CP169" s="528">
        <v>15028.41</v>
      </c>
      <c r="CQ169" s="528">
        <v>0</v>
      </c>
      <c r="CR169" s="528">
        <v>0</v>
      </c>
      <c r="CS169" s="528">
        <v>622107.61</v>
      </c>
      <c r="CT169" s="528">
        <v>166435.12</v>
      </c>
      <c r="CU169" s="528">
        <v>0</v>
      </c>
      <c r="CV169" s="528">
        <v>0</v>
      </c>
      <c r="CW169" s="528">
        <v>166435.12</v>
      </c>
      <c r="CX169" s="528"/>
      <c r="CY169" s="528"/>
      <c r="CZ169" s="528"/>
      <c r="DA169" s="528">
        <v>0</v>
      </c>
      <c r="DB169" s="528">
        <v>166435.12</v>
      </c>
      <c r="DC169" s="528">
        <v>0</v>
      </c>
      <c r="DD169" s="528">
        <v>19569.330000000002</v>
      </c>
      <c r="DE169" s="528">
        <v>91559.55</v>
      </c>
      <c r="DF169" s="528">
        <v>0</v>
      </c>
      <c r="DG169" s="528">
        <v>-77289.91</v>
      </c>
      <c r="DH169" s="528">
        <v>-2015</v>
      </c>
      <c r="DI169" s="528">
        <v>0</v>
      </c>
      <c r="DJ169" s="528">
        <v>-57754.83</v>
      </c>
      <c r="DK169" s="528">
        <v>-25930.86</v>
      </c>
      <c r="DL169" s="528">
        <v>22298.959999999999</v>
      </c>
      <c r="DM169" s="528">
        <v>0</v>
      </c>
      <c r="DN169" s="528">
        <v>-1299.9000000000001</v>
      </c>
      <c r="DO169" s="528">
        <v>-549316.76</v>
      </c>
      <c r="DP169" s="528">
        <v>0</v>
      </c>
      <c r="DQ169" s="529">
        <v>0</v>
      </c>
      <c r="DR169" s="530">
        <v>6467581.6500000004</v>
      </c>
      <c r="DS169" s="531">
        <v>1598778.459999999</v>
      </c>
      <c r="DT169" s="530">
        <v>56177.96</v>
      </c>
      <c r="DU169" s="530">
        <v>413881.03</v>
      </c>
      <c r="DV169" s="530">
        <v>0</v>
      </c>
      <c r="DW169" s="530">
        <v>-528317.69999999995</v>
      </c>
    </row>
    <row r="170" spans="1:127" s="103" customFormat="1">
      <c r="A170" s="525">
        <v>3428</v>
      </c>
      <c r="B170" s="526" t="s">
        <v>803</v>
      </c>
      <c r="C170" s="525">
        <v>3428</v>
      </c>
      <c r="D170" s="527" t="s">
        <v>1284</v>
      </c>
      <c r="E170" s="527" t="s">
        <v>538</v>
      </c>
      <c r="F170" s="527" t="s">
        <v>5</v>
      </c>
      <c r="G170" s="527" t="s">
        <v>535</v>
      </c>
      <c r="H170" s="528">
        <v>2334865</v>
      </c>
      <c r="I170" s="528">
        <v>0</v>
      </c>
      <c r="J170" s="528">
        <v>127928</v>
      </c>
      <c r="K170" s="528">
        <v>0</v>
      </c>
      <c r="L170" s="528">
        <v>142740</v>
      </c>
      <c r="M170" s="528">
        <v>0</v>
      </c>
      <c r="N170" s="528">
        <v>0</v>
      </c>
      <c r="O170" s="528">
        <v>0</v>
      </c>
      <c r="P170" s="528">
        <v>222035</v>
      </c>
      <c r="Q170" s="528">
        <v>53691</v>
      </c>
      <c r="R170" s="528">
        <v>0</v>
      </c>
      <c r="S170" s="528">
        <v>0</v>
      </c>
      <c r="T170" s="528">
        <v>44550</v>
      </c>
      <c r="U170" s="528">
        <v>20</v>
      </c>
      <c r="V170" s="528">
        <v>0</v>
      </c>
      <c r="W170" s="528">
        <v>5360</v>
      </c>
      <c r="X170" s="528">
        <v>77135</v>
      </c>
      <c r="Y170" s="528">
        <v>3008324</v>
      </c>
      <c r="Z170" s="528">
        <v>1360608</v>
      </c>
      <c r="AA170" s="528">
        <v>121812</v>
      </c>
      <c r="AB170" s="528">
        <v>499105</v>
      </c>
      <c r="AC170" s="528">
        <v>48426</v>
      </c>
      <c r="AD170" s="528">
        <v>207000</v>
      </c>
      <c r="AE170" s="528">
        <v>87226</v>
      </c>
      <c r="AF170" s="528">
        <v>220051</v>
      </c>
      <c r="AG170" s="528">
        <v>6185</v>
      </c>
      <c r="AH170" s="528">
        <v>1476</v>
      </c>
      <c r="AI170" s="528">
        <v>0</v>
      </c>
      <c r="AJ170" s="528">
        <v>0</v>
      </c>
      <c r="AK170" s="528">
        <v>19177</v>
      </c>
      <c r="AL170" s="528">
        <v>812</v>
      </c>
      <c r="AM170" s="528">
        <v>55782</v>
      </c>
      <c r="AN170" s="528">
        <v>13046</v>
      </c>
      <c r="AO170" s="528">
        <v>35334</v>
      </c>
      <c r="AP170" s="528">
        <v>45672</v>
      </c>
      <c r="AQ170" s="528">
        <v>13895</v>
      </c>
      <c r="AR170" s="528">
        <v>37034</v>
      </c>
      <c r="AS170" s="528">
        <v>0</v>
      </c>
      <c r="AT170" s="528">
        <v>0</v>
      </c>
      <c r="AU170" s="528">
        <v>19111</v>
      </c>
      <c r="AV170" s="528">
        <v>9471</v>
      </c>
      <c r="AW170" s="528">
        <v>0</v>
      </c>
      <c r="AX170" s="528">
        <v>33373</v>
      </c>
      <c r="AY170" s="528">
        <v>13688</v>
      </c>
      <c r="AZ170" s="528">
        <v>118268</v>
      </c>
      <c r="BA170" s="528">
        <v>130301</v>
      </c>
      <c r="BB170" s="528">
        <v>0</v>
      </c>
      <c r="BC170" s="528">
        <v>0</v>
      </c>
      <c r="BD170" s="528">
        <v>0</v>
      </c>
      <c r="BE170" s="528">
        <v>3096852</v>
      </c>
      <c r="BF170" s="528">
        <v>101797</v>
      </c>
      <c r="BG170" s="528">
        <v>-88528</v>
      </c>
      <c r="BH170" s="528">
        <v>13269</v>
      </c>
      <c r="BI170" s="528">
        <v>0</v>
      </c>
      <c r="BJ170" s="528">
        <v>0</v>
      </c>
      <c r="BK170" s="528">
        <v>0</v>
      </c>
      <c r="BL170" s="528">
        <v>0</v>
      </c>
      <c r="BM170" s="528">
        <v>0</v>
      </c>
      <c r="BN170" s="528">
        <v>0</v>
      </c>
      <c r="BO170" s="528">
        <v>0</v>
      </c>
      <c r="BP170" s="528">
        <v>0</v>
      </c>
      <c r="BQ170" s="528">
        <v>0</v>
      </c>
      <c r="BR170" s="528">
        <v>0</v>
      </c>
      <c r="BS170" s="528">
        <v>0</v>
      </c>
      <c r="BT170" s="528">
        <v>0</v>
      </c>
      <c r="BU170" s="528">
        <v>0</v>
      </c>
      <c r="BV170" s="528">
        <v>0</v>
      </c>
      <c r="BW170" s="528">
        <v>0</v>
      </c>
      <c r="BX170" s="528">
        <v>0</v>
      </c>
      <c r="BY170" s="528">
        <v>0</v>
      </c>
      <c r="BZ170" s="528">
        <v>0</v>
      </c>
      <c r="CA170" s="528">
        <v>0</v>
      </c>
      <c r="CB170" s="528">
        <v>0</v>
      </c>
      <c r="CC170" s="528">
        <v>0</v>
      </c>
      <c r="CD170" s="528">
        <v>13269</v>
      </c>
      <c r="CE170" s="528">
        <v>0</v>
      </c>
      <c r="CF170" s="528">
        <v>0</v>
      </c>
      <c r="CG170" s="528">
        <v>0</v>
      </c>
      <c r="CH170" s="528">
        <v>0</v>
      </c>
      <c r="CI170" s="528">
        <f t="shared" si="2"/>
        <v>13269</v>
      </c>
      <c r="CJ170" s="528">
        <v>210331</v>
      </c>
      <c r="CK170" s="528">
        <v>14601</v>
      </c>
      <c r="CL170" s="528">
        <v>0</v>
      </c>
      <c r="CM170" s="528">
        <v>195730</v>
      </c>
      <c r="CN170" s="528">
        <v>0</v>
      </c>
      <c r="CO170" s="528">
        <v>0</v>
      </c>
      <c r="CP170" s="528">
        <v>-1673</v>
      </c>
      <c r="CQ170" s="528">
        <v>14214</v>
      </c>
      <c r="CR170" s="528">
        <v>7761</v>
      </c>
      <c r="CS170" s="528">
        <v>216033</v>
      </c>
      <c r="CT170" s="528">
        <v>24888</v>
      </c>
      <c r="CU170" s="528">
        <v>0</v>
      </c>
      <c r="CV170" s="528">
        <v>0</v>
      </c>
      <c r="CW170" s="528">
        <v>24888</v>
      </c>
      <c r="CX170" s="528"/>
      <c r="CY170" s="528"/>
      <c r="CZ170" s="528"/>
      <c r="DA170" s="528">
        <v>0</v>
      </c>
      <c r="DB170" s="528">
        <v>24888</v>
      </c>
      <c r="DC170" s="528">
        <v>0</v>
      </c>
      <c r="DD170" s="528">
        <v>0</v>
      </c>
      <c r="DE170" s="528">
        <v>0</v>
      </c>
      <c r="DF170" s="528">
        <v>0</v>
      </c>
      <c r="DG170" s="528">
        <v>-49613</v>
      </c>
      <c r="DH170" s="528">
        <v>-260</v>
      </c>
      <c r="DI170" s="528">
        <v>0</v>
      </c>
      <c r="DJ170" s="528">
        <v>0</v>
      </c>
      <c r="DK170" s="528">
        <v>-49873</v>
      </c>
      <c r="DL170" s="528">
        <v>0</v>
      </c>
      <c r="DM170" s="528">
        <v>21695</v>
      </c>
      <c r="DN170" s="528">
        <v>0</v>
      </c>
      <c r="DO170" s="528">
        <v>0</v>
      </c>
      <c r="DP170" s="528">
        <v>-199474</v>
      </c>
      <c r="DQ170" s="529">
        <v>-0.26</v>
      </c>
      <c r="DR170" s="530">
        <v>2550413</v>
      </c>
      <c r="DS170" s="531">
        <v>546439</v>
      </c>
      <c r="DT170" s="530">
        <v>13688</v>
      </c>
      <c r="DU170" s="530">
        <v>320276</v>
      </c>
      <c r="DV170" s="530">
        <v>20</v>
      </c>
      <c r="DW170" s="530">
        <v>-177779</v>
      </c>
    </row>
    <row r="171" spans="1:127" s="103" customFormat="1">
      <c r="A171" s="525">
        <v>3019</v>
      </c>
      <c r="B171" s="526" t="s">
        <v>805</v>
      </c>
      <c r="C171" s="525">
        <v>3019</v>
      </c>
      <c r="D171" s="527" t="s">
        <v>1284</v>
      </c>
      <c r="E171" s="527" t="s">
        <v>538</v>
      </c>
      <c r="F171" s="527" t="s">
        <v>5</v>
      </c>
      <c r="G171" s="527" t="s">
        <v>535</v>
      </c>
      <c r="H171" s="528">
        <v>2437659.44</v>
      </c>
      <c r="I171" s="528">
        <v>0</v>
      </c>
      <c r="J171" s="528">
        <v>238443.39</v>
      </c>
      <c r="K171" s="528">
        <v>0</v>
      </c>
      <c r="L171" s="528">
        <v>268090</v>
      </c>
      <c r="M171" s="528">
        <v>2400</v>
      </c>
      <c r="N171" s="528">
        <v>0</v>
      </c>
      <c r="O171" s="528">
        <v>0</v>
      </c>
      <c r="P171" s="528">
        <v>93473.660000000062</v>
      </c>
      <c r="Q171" s="528">
        <v>49312.639999999999</v>
      </c>
      <c r="R171" s="528">
        <v>0</v>
      </c>
      <c r="S171" s="528">
        <v>0</v>
      </c>
      <c r="T171" s="528">
        <v>10530.099999999999</v>
      </c>
      <c r="U171" s="528">
        <v>0</v>
      </c>
      <c r="V171" s="528">
        <v>0</v>
      </c>
      <c r="W171" s="528">
        <v>14855.83</v>
      </c>
      <c r="X171" s="528">
        <v>59483</v>
      </c>
      <c r="Y171" s="528">
        <v>3174248.0600000005</v>
      </c>
      <c r="Z171" s="528">
        <v>953772.4599999995</v>
      </c>
      <c r="AA171" s="528">
        <v>50.319999999999993</v>
      </c>
      <c r="AB171" s="528">
        <v>-4584.7</v>
      </c>
      <c r="AC171" s="528">
        <v>517554.88000000064</v>
      </c>
      <c r="AD171" s="528">
        <v>378.94999999999993</v>
      </c>
      <c r="AE171" s="528">
        <v>0</v>
      </c>
      <c r="AF171" s="528">
        <v>574021.87999999977</v>
      </c>
      <c r="AG171" s="528">
        <v>30961.439999999962</v>
      </c>
      <c r="AH171" s="528">
        <v>7729</v>
      </c>
      <c r="AI171" s="528">
        <v>0</v>
      </c>
      <c r="AJ171" s="528">
        <v>0</v>
      </c>
      <c r="AK171" s="528">
        <v>87011.760000000009</v>
      </c>
      <c r="AL171" s="528">
        <v>0</v>
      </c>
      <c r="AM171" s="528">
        <v>3626.2399999999993</v>
      </c>
      <c r="AN171" s="528">
        <v>7255.079999999999</v>
      </c>
      <c r="AO171" s="528">
        <v>27810.679999999993</v>
      </c>
      <c r="AP171" s="528">
        <v>27824.83</v>
      </c>
      <c r="AQ171" s="528">
        <v>10896.469999999998</v>
      </c>
      <c r="AR171" s="528">
        <v>220339.0800000001</v>
      </c>
      <c r="AS171" s="528">
        <v>10981.99</v>
      </c>
      <c r="AT171" s="528">
        <v>417.04999999999995</v>
      </c>
      <c r="AU171" s="528">
        <v>21992.770000000004</v>
      </c>
      <c r="AV171" s="528">
        <v>9471</v>
      </c>
      <c r="AW171" s="528">
        <v>12650</v>
      </c>
      <c r="AX171" s="528">
        <v>176927.04</v>
      </c>
      <c r="AY171" s="528">
        <v>107375.24999999996</v>
      </c>
      <c r="AZ171" s="528">
        <v>10153.35</v>
      </c>
      <c r="BA171" s="528">
        <v>417681.07999999978</v>
      </c>
      <c r="BB171" s="528">
        <v>0</v>
      </c>
      <c r="BC171" s="528">
        <v>0</v>
      </c>
      <c r="BD171" s="528">
        <v>0</v>
      </c>
      <c r="BE171" s="528">
        <v>3232297.9000000008</v>
      </c>
      <c r="BF171" s="528">
        <v>460123.00000000035</v>
      </c>
      <c r="BG171" s="528">
        <v>-58049.840000000317</v>
      </c>
      <c r="BH171" s="528">
        <v>402073.16000000003</v>
      </c>
      <c r="BI171" s="528">
        <v>8646.25</v>
      </c>
      <c r="BJ171" s="528">
        <v>0</v>
      </c>
      <c r="BK171" s="528">
        <v>0</v>
      </c>
      <c r="BL171" s="528">
        <v>8646.25</v>
      </c>
      <c r="BM171" s="528">
        <v>0</v>
      </c>
      <c r="BN171" s="528">
        <v>37130</v>
      </c>
      <c r="BO171" s="528">
        <v>0</v>
      </c>
      <c r="BP171" s="528">
        <v>0</v>
      </c>
      <c r="BQ171" s="528">
        <v>37130</v>
      </c>
      <c r="BR171" s="528">
        <v>30287.25</v>
      </c>
      <c r="BS171" s="528">
        <v>-28483.75</v>
      </c>
      <c r="BT171" s="528">
        <v>1803.5</v>
      </c>
      <c r="BU171" s="528">
        <v>0</v>
      </c>
      <c r="BV171" s="528">
        <v>0</v>
      </c>
      <c r="BW171" s="528">
        <v>0</v>
      </c>
      <c r="BX171" s="528">
        <v>0</v>
      </c>
      <c r="BY171" s="528">
        <v>0</v>
      </c>
      <c r="BZ171" s="528">
        <v>0</v>
      </c>
      <c r="CA171" s="528">
        <v>0</v>
      </c>
      <c r="CB171" s="528">
        <v>0</v>
      </c>
      <c r="CC171" s="528">
        <v>0</v>
      </c>
      <c r="CD171" s="528">
        <v>402073.16000000003</v>
      </c>
      <c r="CE171" s="528">
        <v>0</v>
      </c>
      <c r="CF171" s="528">
        <v>1803.5</v>
      </c>
      <c r="CG171" s="528">
        <v>0</v>
      </c>
      <c r="CH171" s="528">
        <v>0</v>
      </c>
      <c r="CI171" s="528">
        <f t="shared" si="2"/>
        <v>403876.66000000003</v>
      </c>
      <c r="CJ171" s="528">
        <v>747379.08</v>
      </c>
      <c r="CK171" s="528">
        <v>0</v>
      </c>
      <c r="CL171" s="528">
        <v>0</v>
      </c>
      <c r="CM171" s="528">
        <v>747379.08</v>
      </c>
      <c r="CN171" s="528">
        <v>0</v>
      </c>
      <c r="CO171" s="528">
        <v>0</v>
      </c>
      <c r="CP171" s="528">
        <v>13028.71</v>
      </c>
      <c r="CQ171" s="528">
        <v>0</v>
      </c>
      <c r="CR171" s="528">
        <v>-276785.95</v>
      </c>
      <c r="CS171" s="528">
        <v>483621.83999999991</v>
      </c>
      <c r="CT171" s="528">
        <v>0</v>
      </c>
      <c r="CU171" s="528">
        <v>0</v>
      </c>
      <c r="CV171" s="528">
        <v>0</v>
      </c>
      <c r="CW171" s="528">
        <v>0</v>
      </c>
      <c r="CX171" s="528"/>
      <c r="CY171" s="528"/>
      <c r="CZ171" s="528"/>
      <c r="DA171" s="528">
        <v>0</v>
      </c>
      <c r="DB171" s="528">
        <v>0</v>
      </c>
      <c r="DC171" s="528">
        <v>0</v>
      </c>
      <c r="DD171" s="528">
        <v>15797.83</v>
      </c>
      <c r="DE171" s="528">
        <v>0</v>
      </c>
      <c r="DF171" s="528">
        <v>0</v>
      </c>
      <c r="DG171" s="528">
        <v>-42340.800000000003</v>
      </c>
      <c r="DH171" s="528">
        <v>-53202.22</v>
      </c>
      <c r="DI171" s="528">
        <v>0</v>
      </c>
      <c r="DJ171" s="528">
        <v>0</v>
      </c>
      <c r="DK171" s="528">
        <v>-79745.19</v>
      </c>
      <c r="DL171" s="528">
        <v>0</v>
      </c>
      <c r="DM171" s="528">
        <v>0</v>
      </c>
      <c r="DN171" s="528">
        <v>0</v>
      </c>
      <c r="DO171" s="528">
        <v>0</v>
      </c>
      <c r="DP171" s="528">
        <v>0</v>
      </c>
      <c r="DQ171" s="529">
        <v>1.0000000125728548E-2</v>
      </c>
      <c r="DR171" s="530">
        <v>2072155.23</v>
      </c>
      <c r="DS171" s="531">
        <v>1160142.6700000009</v>
      </c>
      <c r="DT171" s="530">
        <v>107375.24999999996</v>
      </c>
      <c r="DU171" s="530">
        <v>153316.40000000005</v>
      </c>
      <c r="DV171" s="530">
        <v>0</v>
      </c>
      <c r="DW171" s="530">
        <v>0</v>
      </c>
    </row>
    <row r="172" spans="1:127" s="103" customFormat="1">
      <c r="A172" s="525">
        <v>3365</v>
      </c>
      <c r="B172" s="526" t="s">
        <v>929</v>
      </c>
      <c r="C172" s="525">
        <v>3365</v>
      </c>
      <c r="D172" s="527" t="s">
        <v>1284</v>
      </c>
      <c r="E172" s="527" t="s">
        <v>538</v>
      </c>
      <c r="F172" s="527" t="s">
        <v>5</v>
      </c>
      <c r="G172" s="527" t="s">
        <v>958</v>
      </c>
      <c r="H172" s="528">
        <v>1164451</v>
      </c>
      <c r="I172" s="528">
        <v>0</v>
      </c>
      <c r="J172" s="528">
        <v>86237</v>
      </c>
      <c r="K172" s="528">
        <v>0</v>
      </c>
      <c r="L172" s="528">
        <v>62470</v>
      </c>
      <c r="M172" s="528">
        <v>0</v>
      </c>
      <c r="N172" s="528">
        <v>0</v>
      </c>
      <c r="O172" s="528">
        <v>0</v>
      </c>
      <c r="P172" s="528">
        <v>35188</v>
      </c>
      <c r="Q172" s="528">
        <v>28514</v>
      </c>
      <c r="R172" s="528">
        <v>0</v>
      </c>
      <c r="S172" s="528">
        <v>0</v>
      </c>
      <c r="T172" s="528">
        <v>29295</v>
      </c>
      <c r="U172" s="528">
        <v>0</v>
      </c>
      <c r="V172" s="528">
        <v>0</v>
      </c>
      <c r="W172" s="528">
        <v>2452</v>
      </c>
      <c r="X172" s="528">
        <v>54149</v>
      </c>
      <c r="Y172" s="528">
        <v>1462756</v>
      </c>
      <c r="Z172" s="528">
        <v>678299</v>
      </c>
      <c r="AA172" s="528">
        <v>0</v>
      </c>
      <c r="AB172" s="528">
        <v>274031</v>
      </c>
      <c r="AC172" s="528">
        <v>57981</v>
      </c>
      <c r="AD172" s="528">
        <v>69847</v>
      </c>
      <c r="AE172" s="528">
        <v>0</v>
      </c>
      <c r="AF172" s="528">
        <v>10272</v>
      </c>
      <c r="AG172" s="528">
        <v>91</v>
      </c>
      <c r="AH172" s="528">
        <v>2588</v>
      </c>
      <c r="AI172" s="528">
        <v>0</v>
      </c>
      <c r="AJ172" s="528">
        <v>0</v>
      </c>
      <c r="AK172" s="528">
        <v>12353</v>
      </c>
      <c r="AL172" s="528">
        <v>619</v>
      </c>
      <c r="AM172" s="528">
        <v>15470</v>
      </c>
      <c r="AN172" s="528">
        <v>173</v>
      </c>
      <c r="AO172" s="528">
        <v>21187</v>
      </c>
      <c r="AP172" s="528">
        <v>3736</v>
      </c>
      <c r="AQ172" s="528">
        <v>7877</v>
      </c>
      <c r="AR172" s="528">
        <v>46150</v>
      </c>
      <c r="AS172" s="528">
        <v>2886</v>
      </c>
      <c r="AT172" s="528">
        <v>0</v>
      </c>
      <c r="AU172" s="528">
        <v>16181</v>
      </c>
      <c r="AV172" s="528">
        <v>5140</v>
      </c>
      <c r="AW172" s="528">
        <v>0</v>
      </c>
      <c r="AX172" s="528">
        <v>130773.51</v>
      </c>
      <c r="AY172" s="528">
        <v>149333</v>
      </c>
      <c r="AZ172" s="528">
        <v>8368</v>
      </c>
      <c r="BA172" s="528">
        <v>106273</v>
      </c>
      <c r="BB172" s="528">
        <v>0</v>
      </c>
      <c r="BC172" s="528">
        <v>0</v>
      </c>
      <c r="BD172" s="528">
        <v>0</v>
      </c>
      <c r="BE172" s="528">
        <v>1619626.51</v>
      </c>
      <c r="BF172" s="528">
        <v>165075</v>
      </c>
      <c r="BG172" s="528">
        <v>-156870.51</v>
      </c>
      <c r="BH172" s="528">
        <v>8204.4899999999907</v>
      </c>
      <c r="BI172" s="528">
        <v>0</v>
      </c>
      <c r="BJ172" s="528">
        <v>0</v>
      </c>
      <c r="BK172" s="528">
        <v>0</v>
      </c>
      <c r="BL172" s="528">
        <v>0</v>
      </c>
      <c r="BM172" s="528">
        <v>0</v>
      </c>
      <c r="BN172" s="528">
        <v>0</v>
      </c>
      <c r="BO172" s="528">
        <v>0</v>
      </c>
      <c r="BP172" s="528">
        <v>0</v>
      </c>
      <c r="BQ172" s="528">
        <v>0</v>
      </c>
      <c r="BR172" s="528">
        <v>0</v>
      </c>
      <c r="BS172" s="528">
        <v>0</v>
      </c>
      <c r="BT172" s="528">
        <v>0</v>
      </c>
      <c r="BU172" s="528">
        <v>0</v>
      </c>
      <c r="BV172" s="528">
        <v>0</v>
      </c>
      <c r="BW172" s="528">
        <v>0</v>
      </c>
      <c r="BX172" s="528">
        <v>0</v>
      </c>
      <c r="BY172" s="528">
        <v>0</v>
      </c>
      <c r="BZ172" s="528">
        <v>0</v>
      </c>
      <c r="CA172" s="528">
        <v>0</v>
      </c>
      <c r="CB172" s="528">
        <v>0</v>
      </c>
      <c r="CC172" s="528">
        <v>0</v>
      </c>
      <c r="CD172" s="528">
        <v>8204.4899999999907</v>
      </c>
      <c r="CE172" s="528">
        <v>0</v>
      </c>
      <c r="CF172" s="528">
        <v>0</v>
      </c>
      <c r="CG172" s="528">
        <v>0</v>
      </c>
      <c r="CH172" s="528">
        <v>0</v>
      </c>
      <c r="CI172" s="528">
        <f t="shared" si="2"/>
        <v>8204.4899999999907</v>
      </c>
      <c r="CJ172" s="528">
        <v>1096</v>
      </c>
      <c r="CK172" s="528">
        <v>96</v>
      </c>
      <c r="CL172" s="528">
        <v>0</v>
      </c>
      <c r="CM172" s="528">
        <v>1000</v>
      </c>
      <c r="CN172" s="528">
        <v>0</v>
      </c>
      <c r="CO172" s="528">
        <v>0</v>
      </c>
      <c r="CP172" s="528">
        <v>0</v>
      </c>
      <c r="CQ172" s="528">
        <v>0</v>
      </c>
      <c r="CR172" s="528">
        <v>0</v>
      </c>
      <c r="CS172" s="528">
        <v>1000</v>
      </c>
      <c r="CT172" s="528">
        <v>0</v>
      </c>
      <c r="CU172" s="528">
        <v>0</v>
      </c>
      <c r="CV172" s="528">
        <v>0</v>
      </c>
      <c r="CW172" s="528">
        <v>0</v>
      </c>
      <c r="CX172" s="528"/>
      <c r="CY172" s="528"/>
      <c r="CZ172" s="528"/>
      <c r="DA172" s="528">
        <v>37851</v>
      </c>
      <c r="DB172" s="528">
        <v>37851</v>
      </c>
      <c r="DC172" s="528">
        <v>0</v>
      </c>
      <c r="DD172" s="528">
        <v>6771</v>
      </c>
      <c r="DE172" s="528">
        <v>0</v>
      </c>
      <c r="DF172" s="528">
        <v>0</v>
      </c>
      <c r="DG172" s="528">
        <v>-9214</v>
      </c>
      <c r="DH172" s="528">
        <v>-28205.51</v>
      </c>
      <c r="DI172" s="528">
        <v>0</v>
      </c>
      <c r="DJ172" s="528">
        <v>0</v>
      </c>
      <c r="DK172" s="528">
        <v>-30648.51</v>
      </c>
      <c r="DL172" s="528">
        <v>0</v>
      </c>
      <c r="DM172" s="528">
        <v>0</v>
      </c>
      <c r="DN172" s="528">
        <v>0</v>
      </c>
      <c r="DO172" s="528">
        <v>0</v>
      </c>
      <c r="DP172" s="528">
        <v>0</v>
      </c>
      <c r="DQ172" s="529">
        <v>-8.4310200000000003E-10</v>
      </c>
      <c r="DR172" s="530">
        <v>1090521</v>
      </c>
      <c r="DS172" s="531">
        <v>529105.51</v>
      </c>
      <c r="DT172" s="530">
        <v>149333</v>
      </c>
      <c r="DU172" s="530">
        <v>92997</v>
      </c>
      <c r="DV172" s="530">
        <v>0</v>
      </c>
      <c r="DW172" s="530">
        <v>0</v>
      </c>
    </row>
    <row r="173" spans="1:127" s="103" customFormat="1">
      <c r="A173" s="525">
        <v>1009</v>
      </c>
      <c r="B173" s="526" t="s">
        <v>931</v>
      </c>
      <c r="C173" s="525">
        <v>1009</v>
      </c>
      <c r="D173" s="527" t="s">
        <v>1284</v>
      </c>
      <c r="E173" s="527" t="s">
        <v>534</v>
      </c>
      <c r="F173" s="527" t="s">
        <v>5</v>
      </c>
      <c r="G173" s="527" t="s">
        <v>958</v>
      </c>
      <c r="H173" s="528">
        <v>731747.53</v>
      </c>
      <c r="I173" s="528">
        <v>0</v>
      </c>
      <c r="J173" s="528">
        <v>12362.76</v>
      </c>
      <c r="K173" s="528">
        <v>0</v>
      </c>
      <c r="L173" s="528">
        <v>0</v>
      </c>
      <c r="M173" s="528">
        <v>0</v>
      </c>
      <c r="N173" s="528">
        <v>0</v>
      </c>
      <c r="O173" s="528">
        <v>0</v>
      </c>
      <c r="P173" s="528">
        <v>69744.73</v>
      </c>
      <c r="Q173" s="528">
        <v>7005.86</v>
      </c>
      <c r="R173" s="528">
        <v>0</v>
      </c>
      <c r="S173" s="528">
        <v>0</v>
      </c>
      <c r="T173" s="528">
        <v>75826.320000000036</v>
      </c>
      <c r="U173" s="528">
        <v>0</v>
      </c>
      <c r="V173" s="528">
        <v>0</v>
      </c>
      <c r="W173" s="528">
        <v>0</v>
      </c>
      <c r="X173" s="528">
        <v>0</v>
      </c>
      <c r="Y173" s="528">
        <v>896687.20000000007</v>
      </c>
      <c r="Z173" s="528">
        <v>179334.61999999994</v>
      </c>
      <c r="AA173" s="528">
        <v>15161.940000000002</v>
      </c>
      <c r="AB173" s="528">
        <v>205076.29</v>
      </c>
      <c r="AC173" s="528">
        <v>9504.0000000000146</v>
      </c>
      <c r="AD173" s="528">
        <v>56763.78</v>
      </c>
      <c r="AE173" s="528">
        <v>0</v>
      </c>
      <c r="AF173" s="528">
        <v>87089.229999999981</v>
      </c>
      <c r="AG173" s="528">
        <v>12276.48000000003</v>
      </c>
      <c r="AH173" s="528">
        <v>4220</v>
      </c>
      <c r="AI173" s="528">
        <v>0</v>
      </c>
      <c r="AJ173" s="528">
        <v>19214.2</v>
      </c>
      <c r="AK173" s="528">
        <v>39311.279999999999</v>
      </c>
      <c r="AL173" s="528">
        <v>510</v>
      </c>
      <c r="AM173" s="528">
        <v>31274.51</v>
      </c>
      <c r="AN173" s="528">
        <v>0</v>
      </c>
      <c r="AO173" s="528">
        <v>-66.41</v>
      </c>
      <c r="AP173" s="528">
        <v>600</v>
      </c>
      <c r="AQ173" s="528">
        <v>104439.39</v>
      </c>
      <c r="AR173" s="528">
        <v>13379.089999999998</v>
      </c>
      <c r="AS173" s="528">
        <v>8.99</v>
      </c>
      <c r="AT173" s="528">
        <v>0</v>
      </c>
      <c r="AU173" s="528">
        <v>2125.7799999999993</v>
      </c>
      <c r="AV173" s="528">
        <v>3291.75</v>
      </c>
      <c r="AW173" s="528">
        <v>0</v>
      </c>
      <c r="AX173" s="528">
        <v>29810.84</v>
      </c>
      <c r="AY173" s="528">
        <v>114144.20000000001</v>
      </c>
      <c r="AZ173" s="528">
        <v>5203.55</v>
      </c>
      <c r="BA173" s="528">
        <v>86605.640000000014</v>
      </c>
      <c r="BB173" s="528">
        <v>0</v>
      </c>
      <c r="BC173" s="528">
        <v>0</v>
      </c>
      <c r="BD173" s="528">
        <v>0</v>
      </c>
      <c r="BE173" s="528">
        <v>1019279.15</v>
      </c>
      <c r="BF173" s="528">
        <v>-1225902.0499999998</v>
      </c>
      <c r="BG173" s="528">
        <v>-122591.94999999995</v>
      </c>
      <c r="BH173" s="528">
        <v>-1348493.9999999998</v>
      </c>
      <c r="BI173" s="528">
        <v>4897.75</v>
      </c>
      <c r="BJ173" s="528">
        <v>0</v>
      </c>
      <c r="BK173" s="528">
        <v>0</v>
      </c>
      <c r="BL173" s="528">
        <v>4897.75</v>
      </c>
      <c r="BM173" s="528">
        <v>0</v>
      </c>
      <c r="BN173" s="528">
        <v>0</v>
      </c>
      <c r="BO173" s="528">
        <v>0</v>
      </c>
      <c r="BP173" s="528">
        <v>0</v>
      </c>
      <c r="BQ173" s="528">
        <v>0</v>
      </c>
      <c r="BR173" s="528">
        <v>45316.3</v>
      </c>
      <c r="BS173" s="528">
        <v>4897.75</v>
      </c>
      <c r="BT173" s="528">
        <v>50214.05</v>
      </c>
      <c r="BU173" s="528">
        <v>0</v>
      </c>
      <c r="BV173" s="528">
        <v>0</v>
      </c>
      <c r="BW173" s="528">
        <v>0</v>
      </c>
      <c r="BX173" s="528">
        <v>0</v>
      </c>
      <c r="BY173" s="528">
        <v>0</v>
      </c>
      <c r="BZ173" s="528">
        <v>0</v>
      </c>
      <c r="CA173" s="528">
        <v>0</v>
      </c>
      <c r="CB173" s="528">
        <v>0</v>
      </c>
      <c r="CC173" s="528">
        <v>0</v>
      </c>
      <c r="CD173" s="528">
        <v>-1348493.9999999998</v>
      </c>
      <c r="CE173" s="528">
        <v>0</v>
      </c>
      <c r="CF173" s="528">
        <v>50214.05</v>
      </c>
      <c r="CG173" s="528">
        <v>0</v>
      </c>
      <c r="CH173" s="528">
        <v>0</v>
      </c>
      <c r="CI173" s="528">
        <f t="shared" si="2"/>
        <v>-1298279.9499999997</v>
      </c>
      <c r="CJ173" s="528">
        <v>0</v>
      </c>
      <c r="CK173" s="528">
        <v>0</v>
      </c>
      <c r="CL173" s="528">
        <v>0</v>
      </c>
      <c r="CM173" s="528">
        <v>0</v>
      </c>
      <c r="CN173" s="528">
        <v>0</v>
      </c>
      <c r="CO173" s="528">
        <v>0</v>
      </c>
      <c r="CP173" s="528">
        <v>0</v>
      </c>
      <c r="CQ173" s="528">
        <v>0</v>
      </c>
      <c r="CR173" s="528">
        <v>0</v>
      </c>
      <c r="CS173" s="528">
        <v>0</v>
      </c>
      <c r="CT173" s="528">
        <v>0</v>
      </c>
      <c r="CU173" s="528">
        <v>0</v>
      </c>
      <c r="CV173" s="528">
        <v>0</v>
      </c>
      <c r="CW173" s="528">
        <v>0</v>
      </c>
      <c r="CX173" s="528"/>
      <c r="CY173" s="528"/>
      <c r="CZ173" s="528"/>
      <c r="DA173" s="528">
        <v>-1298279.9499999997</v>
      </c>
      <c r="DB173" s="528">
        <v>-1298279.9499999997</v>
      </c>
      <c r="DC173" s="528">
        <v>0</v>
      </c>
      <c r="DD173" s="528">
        <v>0</v>
      </c>
      <c r="DE173" s="528">
        <v>0</v>
      </c>
      <c r="DF173" s="528">
        <v>0</v>
      </c>
      <c r="DG173" s="528">
        <v>0</v>
      </c>
      <c r="DH173" s="528">
        <v>0</v>
      </c>
      <c r="DI173" s="528">
        <v>0</v>
      </c>
      <c r="DJ173" s="528">
        <v>0</v>
      </c>
      <c r="DK173" s="528">
        <v>0</v>
      </c>
      <c r="DL173" s="528">
        <v>0</v>
      </c>
      <c r="DM173" s="528">
        <v>0</v>
      </c>
      <c r="DN173" s="528">
        <v>0</v>
      </c>
      <c r="DO173" s="528">
        <v>0</v>
      </c>
      <c r="DP173" s="528">
        <v>0</v>
      </c>
      <c r="DQ173" s="529">
        <v>0</v>
      </c>
      <c r="DR173" s="530">
        <v>565206.34</v>
      </c>
      <c r="DS173" s="531">
        <v>454072.81000000006</v>
      </c>
      <c r="DT173" s="530">
        <v>114144.20000000001</v>
      </c>
      <c r="DU173" s="530">
        <v>152576.91000000003</v>
      </c>
      <c r="DV173" s="530">
        <v>0</v>
      </c>
      <c r="DW173" s="530">
        <v>0</v>
      </c>
    </row>
    <row r="174" spans="1:127" s="103" customFormat="1">
      <c r="A174" s="525">
        <v>3310</v>
      </c>
      <c r="B174" s="526" t="s">
        <v>933</v>
      </c>
      <c r="C174" s="525">
        <v>3310</v>
      </c>
      <c r="D174" s="527" t="s">
        <v>1284</v>
      </c>
      <c r="E174" s="527" t="s">
        <v>538</v>
      </c>
      <c r="F174" s="527" t="s">
        <v>5</v>
      </c>
      <c r="G174" s="527" t="s">
        <v>958</v>
      </c>
      <c r="H174" s="528">
        <v>1461798.41</v>
      </c>
      <c r="I174" s="528">
        <v>0</v>
      </c>
      <c r="J174" s="528">
        <v>42927.99</v>
      </c>
      <c r="K174" s="528">
        <v>0</v>
      </c>
      <c r="L174" s="528">
        <v>205000</v>
      </c>
      <c r="M174" s="528">
        <v>3656.93</v>
      </c>
      <c r="N174" s="528">
        <v>0</v>
      </c>
      <c r="O174" s="528">
        <v>0</v>
      </c>
      <c r="P174" s="528">
        <v>1082.05</v>
      </c>
      <c r="Q174" s="528">
        <v>0</v>
      </c>
      <c r="R174" s="528">
        <v>0</v>
      </c>
      <c r="S174" s="528">
        <v>10361.780000000001</v>
      </c>
      <c r="T174" s="528">
        <v>45077.760000000002</v>
      </c>
      <c r="U174" s="528">
        <v>0</v>
      </c>
      <c r="V174" s="528">
        <v>0</v>
      </c>
      <c r="W174" s="528">
        <v>11346.25</v>
      </c>
      <c r="X174" s="528">
        <v>34038</v>
      </c>
      <c r="Y174" s="528">
        <v>1815289.17</v>
      </c>
      <c r="Z174" s="528">
        <v>755257.53</v>
      </c>
      <c r="AA174" s="528">
        <v>0</v>
      </c>
      <c r="AB174" s="528">
        <v>322821.73</v>
      </c>
      <c r="AC174" s="528">
        <v>70491.210000000487</v>
      </c>
      <c r="AD174" s="528">
        <v>133600.71</v>
      </c>
      <c r="AE174" s="528">
        <v>0</v>
      </c>
      <c r="AF174" s="528">
        <v>55346.099999999773</v>
      </c>
      <c r="AG174" s="528">
        <v>862.27000000000589</v>
      </c>
      <c r="AH174" s="528">
        <v>4930.5</v>
      </c>
      <c r="AI174" s="528">
        <v>0</v>
      </c>
      <c r="AJ174" s="528">
        <v>5350</v>
      </c>
      <c r="AK174" s="528">
        <v>4198.8500000000004</v>
      </c>
      <c r="AL174" s="528">
        <v>3712.6399999999994</v>
      </c>
      <c r="AM174" s="528">
        <v>2838.25</v>
      </c>
      <c r="AN174" s="528">
        <v>20943.16</v>
      </c>
      <c r="AO174" s="528">
        <v>32415.809999999987</v>
      </c>
      <c r="AP174" s="528">
        <v>3974.98</v>
      </c>
      <c r="AQ174" s="528">
        <v>16129.400000000001</v>
      </c>
      <c r="AR174" s="528">
        <v>65278.179999999986</v>
      </c>
      <c r="AS174" s="528">
        <v>10918.42</v>
      </c>
      <c r="AT174" s="528">
        <v>0</v>
      </c>
      <c r="AU174" s="528">
        <v>30237.53000000001</v>
      </c>
      <c r="AV174" s="528">
        <v>0</v>
      </c>
      <c r="AW174" s="528">
        <v>12650.4</v>
      </c>
      <c r="AX174" s="528">
        <v>125778.33</v>
      </c>
      <c r="AY174" s="528">
        <v>38765.930000000008</v>
      </c>
      <c r="AZ174" s="528">
        <v>8994.380000000001</v>
      </c>
      <c r="BA174" s="528">
        <v>125442.38</v>
      </c>
      <c r="BB174" s="528">
        <v>0</v>
      </c>
      <c r="BC174" s="528">
        <v>0</v>
      </c>
      <c r="BD174" s="528">
        <v>0</v>
      </c>
      <c r="BE174" s="528">
        <v>1850938.69</v>
      </c>
      <c r="BF174" s="528">
        <v>-2553.3400000000256</v>
      </c>
      <c r="BG174" s="528">
        <v>-35649.520000000019</v>
      </c>
      <c r="BH174" s="528">
        <v>-38202.860000000044</v>
      </c>
      <c r="BI174" s="528">
        <v>0</v>
      </c>
      <c r="BJ174" s="528">
        <v>0</v>
      </c>
      <c r="BK174" s="528">
        <v>0</v>
      </c>
      <c r="BL174" s="528">
        <v>0</v>
      </c>
      <c r="BM174" s="528">
        <v>0</v>
      </c>
      <c r="BN174" s="528">
        <v>0</v>
      </c>
      <c r="BO174" s="528">
        <v>0</v>
      </c>
      <c r="BP174" s="528">
        <v>0</v>
      </c>
      <c r="BQ174" s="528">
        <v>0</v>
      </c>
      <c r="BR174" s="528">
        <v>0</v>
      </c>
      <c r="BS174" s="528">
        <v>0</v>
      </c>
      <c r="BT174" s="528">
        <v>0</v>
      </c>
      <c r="BU174" s="528">
        <v>0</v>
      </c>
      <c r="BV174" s="528">
        <v>0</v>
      </c>
      <c r="BW174" s="528">
        <v>0</v>
      </c>
      <c r="BX174" s="528">
        <v>0</v>
      </c>
      <c r="BY174" s="528">
        <v>0</v>
      </c>
      <c r="BZ174" s="528">
        <v>0</v>
      </c>
      <c r="CA174" s="528">
        <v>0</v>
      </c>
      <c r="CB174" s="528">
        <v>0</v>
      </c>
      <c r="CC174" s="528">
        <v>0</v>
      </c>
      <c r="CD174" s="528">
        <v>-38202.860000000044</v>
      </c>
      <c r="CE174" s="528">
        <v>0</v>
      </c>
      <c r="CF174" s="528">
        <v>0</v>
      </c>
      <c r="CG174" s="528">
        <v>0</v>
      </c>
      <c r="CH174" s="528">
        <v>0</v>
      </c>
      <c r="CI174" s="528">
        <f t="shared" si="2"/>
        <v>-38202.860000000044</v>
      </c>
      <c r="CJ174" s="528">
        <v>0</v>
      </c>
      <c r="CK174" s="528">
        <v>0</v>
      </c>
      <c r="CL174" s="528">
        <v>0</v>
      </c>
      <c r="CM174" s="528">
        <v>0</v>
      </c>
      <c r="CN174" s="528">
        <v>0</v>
      </c>
      <c r="CO174" s="528">
        <v>0</v>
      </c>
      <c r="CP174" s="528">
        <v>0</v>
      </c>
      <c r="CQ174" s="528">
        <v>0</v>
      </c>
      <c r="CR174" s="528">
        <v>0</v>
      </c>
      <c r="CS174" s="528">
        <v>0</v>
      </c>
      <c r="CT174" s="528">
        <v>0</v>
      </c>
      <c r="CU174" s="528">
        <v>0</v>
      </c>
      <c r="CV174" s="528">
        <v>0</v>
      </c>
      <c r="CW174" s="528">
        <v>0</v>
      </c>
      <c r="CX174" s="528"/>
      <c r="CY174" s="528"/>
      <c r="CZ174" s="528"/>
      <c r="DA174" s="528">
        <v>-5322.1099999999324</v>
      </c>
      <c r="DB174" s="528">
        <v>-5322.1099999999324</v>
      </c>
      <c r="DC174" s="528">
        <v>0</v>
      </c>
      <c r="DD174" s="528">
        <v>1082.05</v>
      </c>
      <c r="DE174" s="528">
        <v>0</v>
      </c>
      <c r="DF174" s="528">
        <v>0</v>
      </c>
      <c r="DG174" s="528">
        <v>-3004.68</v>
      </c>
      <c r="DH174" s="528">
        <v>-30958.12</v>
      </c>
      <c r="DI174" s="528">
        <v>0</v>
      </c>
      <c r="DJ174" s="528">
        <v>0</v>
      </c>
      <c r="DK174" s="528">
        <v>-32880.75</v>
      </c>
      <c r="DL174" s="528">
        <v>0</v>
      </c>
      <c r="DM174" s="528">
        <v>0</v>
      </c>
      <c r="DN174" s="528">
        <v>0</v>
      </c>
      <c r="DO174" s="528">
        <v>0</v>
      </c>
      <c r="DP174" s="528">
        <v>0</v>
      </c>
      <c r="DQ174" s="529">
        <v>1.6007106751203537E-10</v>
      </c>
      <c r="DR174" s="530">
        <v>1338379.5500000003</v>
      </c>
      <c r="DS174" s="531">
        <v>512559.13999999966</v>
      </c>
      <c r="DT174" s="530">
        <v>38765.930000000008</v>
      </c>
      <c r="DU174" s="530">
        <v>46159.810000000005</v>
      </c>
      <c r="DV174" s="530">
        <v>10361.780000000001</v>
      </c>
      <c r="DW174" s="530">
        <v>0</v>
      </c>
    </row>
    <row r="175" spans="1:127" s="103" customFormat="1">
      <c r="A175" s="525">
        <v>2178</v>
      </c>
      <c r="B175" s="526" t="s">
        <v>807</v>
      </c>
      <c r="C175" s="525">
        <v>2178</v>
      </c>
      <c r="D175" s="527" t="s">
        <v>1284</v>
      </c>
      <c r="E175" s="527" t="s">
        <v>538</v>
      </c>
      <c r="F175" s="527" t="s">
        <v>5</v>
      </c>
      <c r="G175" s="527" t="s">
        <v>535</v>
      </c>
      <c r="H175" s="528">
        <v>1424324.24</v>
      </c>
      <c r="I175" s="528">
        <v>0</v>
      </c>
      <c r="J175" s="528">
        <v>12847.45</v>
      </c>
      <c r="K175" s="528">
        <v>0</v>
      </c>
      <c r="L175" s="528">
        <v>149120</v>
      </c>
      <c r="M175" s="528">
        <v>200</v>
      </c>
      <c r="N175" s="528">
        <v>7700</v>
      </c>
      <c r="O175" s="528">
        <v>5742</v>
      </c>
      <c r="P175" s="528">
        <v>12856.330000000002</v>
      </c>
      <c r="Q175" s="528">
        <v>0</v>
      </c>
      <c r="R175" s="528">
        <v>0</v>
      </c>
      <c r="S175" s="528">
        <v>0</v>
      </c>
      <c r="T175" s="528">
        <v>13741.400000000005</v>
      </c>
      <c r="U175" s="528">
        <v>7057.5</v>
      </c>
      <c r="V175" s="528">
        <v>0</v>
      </c>
      <c r="W175" s="528">
        <v>3311.83</v>
      </c>
      <c r="X175" s="528">
        <v>40172</v>
      </c>
      <c r="Y175" s="528">
        <v>1677072.75</v>
      </c>
      <c r="Z175" s="528">
        <v>835911.10999999975</v>
      </c>
      <c r="AA175" s="528">
        <v>0</v>
      </c>
      <c r="AB175" s="528">
        <v>253130.43000000002</v>
      </c>
      <c r="AC175" s="528">
        <v>39683.499999999767</v>
      </c>
      <c r="AD175" s="528">
        <v>233457.94</v>
      </c>
      <c r="AE175" s="528">
        <v>0</v>
      </c>
      <c r="AF175" s="528">
        <v>0</v>
      </c>
      <c r="AG175" s="528">
        <v>2416.9799999999977</v>
      </c>
      <c r="AH175" s="528">
        <v>0</v>
      </c>
      <c r="AI175" s="528">
        <v>0</v>
      </c>
      <c r="AJ175" s="528">
        <v>0</v>
      </c>
      <c r="AK175" s="528">
        <v>191.44000000000051</v>
      </c>
      <c r="AL175" s="528">
        <v>3688.08</v>
      </c>
      <c r="AM175" s="528">
        <v>35443.230000000003</v>
      </c>
      <c r="AN175" s="528">
        <v>6586.81</v>
      </c>
      <c r="AO175" s="528">
        <v>37421.83</v>
      </c>
      <c r="AP175" s="528">
        <v>16400.14</v>
      </c>
      <c r="AQ175" s="528">
        <v>16549.599999999999</v>
      </c>
      <c r="AR175" s="528">
        <v>25237.919999999998</v>
      </c>
      <c r="AS175" s="528">
        <v>17555.96</v>
      </c>
      <c r="AT175" s="528">
        <v>0</v>
      </c>
      <c r="AU175" s="528">
        <v>10324.09</v>
      </c>
      <c r="AV175" s="528">
        <v>5139.75</v>
      </c>
      <c r="AW175" s="528">
        <v>4715</v>
      </c>
      <c r="AX175" s="528">
        <v>25461.73</v>
      </c>
      <c r="AY175" s="528">
        <v>0</v>
      </c>
      <c r="AZ175" s="528">
        <v>27281.14</v>
      </c>
      <c r="BA175" s="528">
        <v>90739.609999999986</v>
      </c>
      <c r="BB175" s="528">
        <v>0</v>
      </c>
      <c r="BC175" s="528">
        <v>0</v>
      </c>
      <c r="BD175" s="528">
        <v>0</v>
      </c>
      <c r="BE175" s="528">
        <v>1687336.2899999996</v>
      </c>
      <c r="BF175" s="528">
        <v>166792.00000000012</v>
      </c>
      <c r="BG175" s="528">
        <v>-10263.539999999572</v>
      </c>
      <c r="BH175" s="528">
        <v>156528.46000000054</v>
      </c>
      <c r="BI175" s="528">
        <v>6674.8</v>
      </c>
      <c r="BJ175" s="528">
        <v>0</v>
      </c>
      <c r="BK175" s="528">
        <v>0</v>
      </c>
      <c r="BL175" s="528">
        <v>6674.8</v>
      </c>
      <c r="BM175" s="528">
        <v>0</v>
      </c>
      <c r="BN175" s="528">
        <v>360</v>
      </c>
      <c r="BO175" s="528">
        <v>0</v>
      </c>
      <c r="BP175" s="528">
        <v>2976</v>
      </c>
      <c r="BQ175" s="528">
        <v>3336</v>
      </c>
      <c r="BR175" s="528">
        <v>1751.6000000000058</v>
      </c>
      <c r="BS175" s="528">
        <v>3338.8</v>
      </c>
      <c r="BT175" s="528">
        <v>5090.400000000006</v>
      </c>
      <c r="BU175" s="528">
        <v>0</v>
      </c>
      <c r="BV175" s="528">
        <v>0</v>
      </c>
      <c r="BW175" s="528">
        <v>0</v>
      </c>
      <c r="BX175" s="528">
        <v>0</v>
      </c>
      <c r="BY175" s="528">
        <v>0</v>
      </c>
      <c r="BZ175" s="528">
        <v>0</v>
      </c>
      <c r="CA175" s="528">
        <v>0</v>
      </c>
      <c r="CB175" s="528">
        <v>0</v>
      </c>
      <c r="CC175" s="528">
        <v>0</v>
      </c>
      <c r="CD175" s="528">
        <v>156528.46000000054</v>
      </c>
      <c r="CE175" s="528">
        <v>0</v>
      </c>
      <c r="CF175" s="528">
        <v>5090.400000000006</v>
      </c>
      <c r="CG175" s="528">
        <v>0</v>
      </c>
      <c r="CH175" s="528">
        <v>0</v>
      </c>
      <c r="CI175" s="528">
        <f t="shared" si="2"/>
        <v>161618.86000000054</v>
      </c>
      <c r="CJ175" s="528">
        <v>232135.76</v>
      </c>
      <c r="CK175" s="528">
        <v>118188.94</v>
      </c>
      <c r="CL175" s="528">
        <v>0</v>
      </c>
      <c r="CM175" s="528">
        <v>113946.82</v>
      </c>
      <c r="CN175" s="528">
        <v>0</v>
      </c>
      <c r="CO175" s="528">
        <v>0</v>
      </c>
      <c r="CP175" s="528">
        <v>3215.45</v>
      </c>
      <c r="CQ175" s="528">
        <v>0</v>
      </c>
      <c r="CR175" s="528">
        <v>0</v>
      </c>
      <c r="CS175" s="528">
        <v>117162.27</v>
      </c>
      <c r="CT175" s="528">
        <v>39776.800000000003</v>
      </c>
      <c r="CU175" s="528">
        <v>0</v>
      </c>
      <c r="CV175" s="528">
        <v>0</v>
      </c>
      <c r="CW175" s="528">
        <v>39776.800000000003</v>
      </c>
      <c r="CX175" s="528"/>
      <c r="CY175" s="528"/>
      <c r="CZ175" s="528"/>
      <c r="DA175" s="528">
        <v>0</v>
      </c>
      <c r="DB175" s="528">
        <v>39776.800000000003</v>
      </c>
      <c r="DC175" s="528">
        <v>0</v>
      </c>
      <c r="DD175" s="528">
        <v>4679.79</v>
      </c>
      <c r="DE175" s="528">
        <v>0</v>
      </c>
      <c r="DF175" s="528">
        <v>0</v>
      </c>
      <c r="DG175" s="528">
        <v>0</v>
      </c>
      <c r="DH175" s="528">
        <v>0</v>
      </c>
      <c r="DI175" s="528">
        <v>0</v>
      </c>
      <c r="DJ175" s="528">
        <v>0</v>
      </c>
      <c r="DK175" s="528">
        <v>4679.79</v>
      </c>
      <c r="DL175" s="528">
        <v>0</v>
      </c>
      <c r="DM175" s="528">
        <v>0</v>
      </c>
      <c r="DN175" s="528">
        <v>0</v>
      </c>
      <c r="DO175" s="528">
        <v>0</v>
      </c>
      <c r="DP175" s="528">
        <v>0</v>
      </c>
      <c r="DQ175" s="529">
        <v>0</v>
      </c>
      <c r="DR175" s="530">
        <v>1364599.9599999995</v>
      </c>
      <c r="DS175" s="531">
        <v>322736.33000000007</v>
      </c>
      <c r="DT175" s="530">
        <v>0</v>
      </c>
      <c r="DU175" s="530">
        <v>32339.730000000007</v>
      </c>
      <c r="DV175" s="530">
        <v>7057.5</v>
      </c>
      <c r="DW175" s="530">
        <v>0</v>
      </c>
    </row>
    <row r="176" spans="1:127" s="103" customFormat="1">
      <c r="A176" s="525">
        <v>2184</v>
      </c>
      <c r="B176" s="526" t="s">
        <v>809</v>
      </c>
      <c r="C176" s="525">
        <v>2184</v>
      </c>
      <c r="D176" s="527" t="s">
        <v>1284</v>
      </c>
      <c r="E176" s="527" t="s">
        <v>538</v>
      </c>
      <c r="F176" s="527" t="s">
        <v>5</v>
      </c>
      <c r="G176" s="527" t="s">
        <v>535</v>
      </c>
      <c r="H176" s="528">
        <v>2355806.06</v>
      </c>
      <c r="I176" s="528">
        <v>0</v>
      </c>
      <c r="J176" s="528">
        <v>105700.66</v>
      </c>
      <c r="K176" s="528">
        <v>0</v>
      </c>
      <c r="L176" s="528">
        <v>213560</v>
      </c>
      <c r="M176" s="528">
        <v>3656.93</v>
      </c>
      <c r="N176" s="528">
        <v>0</v>
      </c>
      <c r="O176" s="528">
        <v>0</v>
      </c>
      <c r="P176" s="528">
        <v>47555.280000000006</v>
      </c>
      <c r="Q176" s="528">
        <v>0</v>
      </c>
      <c r="R176" s="528">
        <v>0</v>
      </c>
      <c r="S176" s="528">
        <v>0</v>
      </c>
      <c r="T176" s="528">
        <v>20080.129999999997</v>
      </c>
      <c r="U176" s="528">
        <v>18915.599999999999</v>
      </c>
      <c r="V176" s="528">
        <v>0</v>
      </c>
      <c r="W176" s="528">
        <v>11840.83</v>
      </c>
      <c r="X176" s="528">
        <v>69664</v>
      </c>
      <c r="Y176" s="528">
        <v>2846779.49</v>
      </c>
      <c r="Z176" s="528">
        <v>1107813.2499999998</v>
      </c>
      <c r="AA176" s="528">
        <v>0</v>
      </c>
      <c r="AB176" s="528">
        <v>520902.02</v>
      </c>
      <c r="AC176" s="528">
        <v>121683.31999999942</v>
      </c>
      <c r="AD176" s="528">
        <v>160030.15</v>
      </c>
      <c r="AE176" s="528">
        <v>0</v>
      </c>
      <c r="AF176" s="528">
        <v>175471.52000000002</v>
      </c>
      <c r="AG176" s="528">
        <v>57283.939999999799</v>
      </c>
      <c r="AH176" s="528">
        <v>12168.169999999998</v>
      </c>
      <c r="AI176" s="528">
        <v>0</v>
      </c>
      <c r="AJ176" s="528">
        <v>0</v>
      </c>
      <c r="AK176" s="528">
        <v>99583.850000000064</v>
      </c>
      <c r="AL176" s="528">
        <v>12372.52</v>
      </c>
      <c r="AM176" s="528">
        <v>4201.88</v>
      </c>
      <c r="AN176" s="528">
        <v>18191.96</v>
      </c>
      <c r="AO176" s="528">
        <v>38683.110000000008</v>
      </c>
      <c r="AP176" s="528">
        <v>21268.81</v>
      </c>
      <c r="AQ176" s="528">
        <v>20266.250000000011</v>
      </c>
      <c r="AR176" s="528">
        <v>42058.22000000003</v>
      </c>
      <c r="AS176" s="528">
        <v>22107.789999999994</v>
      </c>
      <c r="AT176" s="528">
        <v>0</v>
      </c>
      <c r="AU176" s="528">
        <v>13659.639999999989</v>
      </c>
      <c r="AV176" s="528">
        <v>19215.2</v>
      </c>
      <c r="AW176" s="528">
        <v>7882.53</v>
      </c>
      <c r="AX176" s="528">
        <v>146235.54999999999</v>
      </c>
      <c r="AY176" s="528">
        <v>236005.63</v>
      </c>
      <c r="AZ176" s="528">
        <v>53945.89</v>
      </c>
      <c r="BA176" s="528">
        <v>39049.629999999997</v>
      </c>
      <c r="BB176" s="528">
        <v>0</v>
      </c>
      <c r="BC176" s="528">
        <v>0</v>
      </c>
      <c r="BD176" s="528">
        <v>0</v>
      </c>
      <c r="BE176" s="528">
        <v>2950080.8299999987</v>
      </c>
      <c r="BF176" s="528">
        <v>846987.67</v>
      </c>
      <c r="BG176" s="528">
        <v>-103301.33999999845</v>
      </c>
      <c r="BH176" s="528">
        <v>743686.33000000159</v>
      </c>
      <c r="BI176" s="528">
        <v>8860</v>
      </c>
      <c r="BJ176" s="528">
        <v>0</v>
      </c>
      <c r="BK176" s="528">
        <v>0</v>
      </c>
      <c r="BL176" s="528">
        <v>8860</v>
      </c>
      <c r="BM176" s="528">
        <v>0</v>
      </c>
      <c r="BN176" s="528">
        <v>0</v>
      </c>
      <c r="BO176" s="528">
        <v>0</v>
      </c>
      <c r="BP176" s="528">
        <v>0</v>
      </c>
      <c r="BQ176" s="528">
        <v>0</v>
      </c>
      <c r="BR176" s="528">
        <v>0</v>
      </c>
      <c r="BS176" s="528">
        <v>8860</v>
      </c>
      <c r="BT176" s="528">
        <v>8860</v>
      </c>
      <c r="BU176" s="528">
        <v>0</v>
      </c>
      <c r="BV176" s="528">
        <v>0</v>
      </c>
      <c r="BW176" s="528">
        <v>0</v>
      </c>
      <c r="BX176" s="528">
        <v>0</v>
      </c>
      <c r="BY176" s="528">
        <v>0</v>
      </c>
      <c r="BZ176" s="528">
        <v>0</v>
      </c>
      <c r="CA176" s="528">
        <v>0</v>
      </c>
      <c r="CB176" s="528">
        <v>0</v>
      </c>
      <c r="CC176" s="528">
        <v>0</v>
      </c>
      <c r="CD176" s="528">
        <v>743686.33000000159</v>
      </c>
      <c r="CE176" s="528">
        <v>0</v>
      </c>
      <c r="CF176" s="528">
        <v>8860</v>
      </c>
      <c r="CG176" s="528">
        <v>0</v>
      </c>
      <c r="CH176" s="528">
        <v>0</v>
      </c>
      <c r="CI176" s="528">
        <f t="shared" si="2"/>
        <v>752546.33000000159</v>
      </c>
      <c r="CJ176" s="528">
        <v>1106796.44</v>
      </c>
      <c r="CK176" s="528">
        <v>15</v>
      </c>
      <c r="CL176" s="528">
        <v>0</v>
      </c>
      <c r="CM176" s="528">
        <v>1106781.44</v>
      </c>
      <c r="CN176" s="528">
        <v>0</v>
      </c>
      <c r="CO176" s="528">
        <v>0</v>
      </c>
      <c r="CP176" s="528">
        <v>2250.1999999999998</v>
      </c>
      <c r="CQ176" s="528">
        <v>0</v>
      </c>
      <c r="CR176" s="528">
        <v>-343837</v>
      </c>
      <c r="CS176" s="528">
        <v>765194.6399999999</v>
      </c>
      <c r="CT176" s="528">
        <v>0</v>
      </c>
      <c r="CU176" s="528">
        <v>0</v>
      </c>
      <c r="CV176" s="528">
        <v>0</v>
      </c>
      <c r="CW176" s="528">
        <v>0</v>
      </c>
      <c r="CX176" s="528"/>
      <c r="CY176" s="528"/>
      <c r="CZ176" s="528"/>
      <c r="DA176" s="528">
        <v>0</v>
      </c>
      <c r="DB176" s="528">
        <v>0</v>
      </c>
      <c r="DC176" s="528">
        <v>0</v>
      </c>
      <c r="DD176" s="528">
        <v>26697.59</v>
      </c>
      <c r="DE176" s="528">
        <v>0</v>
      </c>
      <c r="DF176" s="528">
        <v>0</v>
      </c>
      <c r="DG176" s="528">
        <v>0</v>
      </c>
      <c r="DH176" s="528">
        <v>-39345.69</v>
      </c>
      <c r="DI176" s="528">
        <v>0</v>
      </c>
      <c r="DJ176" s="528">
        <v>0</v>
      </c>
      <c r="DK176" s="528">
        <v>-12648.100000000002</v>
      </c>
      <c r="DL176" s="528">
        <v>0</v>
      </c>
      <c r="DM176" s="528">
        <v>0</v>
      </c>
      <c r="DN176" s="528">
        <v>0</v>
      </c>
      <c r="DO176" s="528">
        <v>0</v>
      </c>
      <c r="DP176" s="528">
        <v>0</v>
      </c>
      <c r="DQ176" s="529">
        <v>-0.20999999984633178</v>
      </c>
      <c r="DR176" s="530">
        <v>2143184.1999999988</v>
      </c>
      <c r="DS176" s="531">
        <v>806896.62999999989</v>
      </c>
      <c r="DT176" s="530">
        <v>236005.63</v>
      </c>
      <c r="DU176" s="530">
        <v>67635.41</v>
      </c>
      <c r="DV176" s="530">
        <v>18915.599999999999</v>
      </c>
      <c r="DW176" s="530">
        <v>0</v>
      </c>
    </row>
    <row r="177" spans="1:127" s="103" customFormat="1">
      <c r="A177" s="525">
        <v>2190</v>
      </c>
      <c r="B177" s="526" t="s">
        <v>811</v>
      </c>
      <c r="C177" s="525">
        <v>2190</v>
      </c>
      <c r="D177" s="527" t="s">
        <v>1284</v>
      </c>
      <c r="E177" s="527" t="s">
        <v>538</v>
      </c>
      <c r="F177" s="527" t="s">
        <v>5</v>
      </c>
      <c r="G177" s="527" t="s">
        <v>535</v>
      </c>
      <c r="H177" s="528">
        <v>1110937.28</v>
      </c>
      <c r="I177" s="528">
        <v>0</v>
      </c>
      <c r="J177" s="528">
        <v>22069.95</v>
      </c>
      <c r="K177" s="528">
        <v>0</v>
      </c>
      <c r="L177" s="528">
        <v>156260</v>
      </c>
      <c r="M177" s="528">
        <v>400</v>
      </c>
      <c r="N177" s="528">
        <v>0</v>
      </c>
      <c r="O177" s="528">
        <v>0</v>
      </c>
      <c r="P177" s="528">
        <v>9774.5600000000013</v>
      </c>
      <c r="Q177" s="528">
        <v>0</v>
      </c>
      <c r="R177" s="528">
        <v>0</v>
      </c>
      <c r="S177" s="528">
        <v>0</v>
      </c>
      <c r="T177" s="528">
        <v>3068.5</v>
      </c>
      <c r="U177" s="528">
        <v>20872.37</v>
      </c>
      <c r="V177" s="528">
        <v>0</v>
      </c>
      <c r="W177" s="528">
        <v>2488.96</v>
      </c>
      <c r="X177" s="528">
        <v>32669</v>
      </c>
      <c r="Y177" s="528">
        <v>1358540.62</v>
      </c>
      <c r="Z177" s="528">
        <v>647832.41000000015</v>
      </c>
      <c r="AA177" s="528">
        <v>0</v>
      </c>
      <c r="AB177" s="528">
        <v>140021.93</v>
      </c>
      <c r="AC177" s="528">
        <v>30325.650000000023</v>
      </c>
      <c r="AD177" s="528">
        <v>91125.91</v>
      </c>
      <c r="AE177" s="528">
        <v>0</v>
      </c>
      <c r="AF177" s="528">
        <v>25480.779999999984</v>
      </c>
      <c r="AG177" s="528">
        <v>4412.2699999999959</v>
      </c>
      <c r="AH177" s="528">
        <v>1902</v>
      </c>
      <c r="AI177" s="528">
        <v>0</v>
      </c>
      <c r="AJ177" s="528">
        <v>0</v>
      </c>
      <c r="AK177" s="528">
        <v>42822.080000000002</v>
      </c>
      <c r="AL177" s="528">
        <v>8553.16</v>
      </c>
      <c r="AM177" s="528">
        <v>2105.39</v>
      </c>
      <c r="AN177" s="528">
        <v>1220.8900000000001</v>
      </c>
      <c r="AO177" s="528">
        <v>41931.019999999997</v>
      </c>
      <c r="AP177" s="528">
        <v>21694.67</v>
      </c>
      <c r="AQ177" s="528">
        <v>11368.08</v>
      </c>
      <c r="AR177" s="528">
        <v>38132.760000000097</v>
      </c>
      <c r="AS177" s="528">
        <v>1047.6000000000047</v>
      </c>
      <c r="AT177" s="528">
        <v>0</v>
      </c>
      <c r="AU177" s="528">
        <v>83409.05</v>
      </c>
      <c r="AV177" s="528">
        <v>5139.75</v>
      </c>
      <c r="AW177" s="528">
        <v>9800</v>
      </c>
      <c r="AX177" s="528">
        <v>50162.149999999994</v>
      </c>
      <c r="AY177" s="528">
        <v>142409.85</v>
      </c>
      <c r="AZ177" s="528">
        <v>18502.310000000001</v>
      </c>
      <c r="BA177" s="528">
        <v>56136.45</v>
      </c>
      <c r="BB177" s="528">
        <v>0</v>
      </c>
      <c r="BC177" s="528">
        <v>0</v>
      </c>
      <c r="BD177" s="528">
        <v>0</v>
      </c>
      <c r="BE177" s="528">
        <v>1475536.1600000004</v>
      </c>
      <c r="BF177" s="528">
        <v>138001.7799999998</v>
      </c>
      <c r="BG177" s="528">
        <v>-116995.54000000027</v>
      </c>
      <c r="BH177" s="528">
        <v>21006.239999999525</v>
      </c>
      <c r="BI177" s="528">
        <v>29543.5</v>
      </c>
      <c r="BJ177" s="528">
        <v>0</v>
      </c>
      <c r="BK177" s="528">
        <v>0</v>
      </c>
      <c r="BL177" s="528">
        <v>29543.5</v>
      </c>
      <c r="BM177" s="528">
        <v>0</v>
      </c>
      <c r="BN177" s="528">
        <v>18500</v>
      </c>
      <c r="BO177" s="528">
        <v>0</v>
      </c>
      <c r="BP177" s="528">
        <v>374.9</v>
      </c>
      <c r="BQ177" s="528">
        <v>18874.900000000001</v>
      </c>
      <c r="BR177" s="528">
        <v>2345</v>
      </c>
      <c r="BS177" s="528">
        <v>10668.599999999999</v>
      </c>
      <c r="BT177" s="528">
        <v>13013.599999999999</v>
      </c>
      <c r="BU177" s="528">
        <v>0</v>
      </c>
      <c r="BV177" s="528">
        <v>0</v>
      </c>
      <c r="BW177" s="528">
        <v>0</v>
      </c>
      <c r="BX177" s="528">
        <v>0</v>
      </c>
      <c r="BY177" s="528">
        <v>0</v>
      </c>
      <c r="BZ177" s="528">
        <v>0</v>
      </c>
      <c r="CA177" s="528">
        <v>0</v>
      </c>
      <c r="CB177" s="528">
        <v>0</v>
      </c>
      <c r="CC177" s="528">
        <v>0</v>
      </c>
      <c r="CD177" s="528">
        <v>21006.239999999525</v>
      </c>
      <c r="CE177" s="528">
        <v>0</v>
      </c>
      <c r="CF177" s="528">
        <v>13013.599999999999</v>
      </c>
      <c r="CG177" s="528">
        <v>0</v>
      </c>
      <c r="CH177" s="528">
        <v>0</v>
      </c>
      <c r="CI177" s="528">
        <f t="shared" si="2"/>
        <v>34019.839999999524</v>
      </c>
      <c r="CJ177" s="528">
        <v>118619.52</v>
      </c>
      <c r="CK177" s="528">
        <v>0</v>
      </c>
      <c r="CL177" s="528">
        <v>0</v>
      </c>
      <c r="CM177" s="528">
        <v>118619.52</v>
      </c>
      <c r="CN177" s="528">
        <v>0</v>
      </c>
      <c r="CO177" s="528">
        <v>0</v>
      </c>
      <c r="CP177" s="528">
        <v>7996.09</v>
      </c>
      <c r="CQ177" s="528">
        <v>0</v>
      </c>
      <c r="CR177" s="528">
        <v>-67268.31</v>
      </c>
      <c r="CS177" s="528">
        <v>59347.3</v>
      </c>
      <c r="CT177" s="528">
        <v>0</v>
      </c>
      <c r="CU177" s="528">
        <v>0</v>
      </c>
      <c r="CV177" s="528">
        <v>0</v>
      </c>
      <c r="CW177" s="528">
        <v>0</v>
      </c>
      <c r="CX177" s="528"/>
      <c r="CY177" s="528"/>
      <c r="CZ177" s="528"/>
      <c r="DA177" s="528">
        <v>0</v>
      </c>
      <c r="DB177" s="528">
        <v>0</v>
      </c>
      <c r="DC177" s="528">
        <v>0</v>
      </c>
      <c r="DD177" s="528">
        <v>5174.5600000000004</v>
      </c>
      <c r="DE177" s="528">
        <v>0</v>
      </c>
      <c r="DF177" s="528">
        <v>0</v>
      </c>
      <c r="DG177" s="528">
        <v>-26249.759999999998</v>
      </c>
      <c r="DH177" s="528">
        <v>-4252.26</v>
      </c>
      <c r="DI177" s="528">
        <v>0</v>
      </c>
      <c r="DJ177" s="528">
        <v>0</v>
      </c>
      <c r="DK177" s="528">
        <v>-25327.46</v>
      </c>
      <c r="DL177" s="528">
        <v>0</v>
      </c>
      <c r="DM177" s="528">
        <v>0</v>
      </c>
      <c r="DN177" s="528">
        <v>0</v>
      </c>
      <c r="DO177" s="528">
        <v>0</v>
      </c>
      <c r="DP177" s="528">
        <v>0</v>
      </c>
      <c r="DQ177" s="529">
        <v>0</v>
      </c>
      <c r="DR177" s="530">
        <v>939198.95000000019</v>
      </c>
      <c r="DS177" s="531">
        <v>536337.2100000002</v>
      </c>
      <c r="DT177" s="530">
        <v>142409.85</v>
      </c>
      <c r="DU177" s="530">
        <v>12843.060000000001</v>
      </c>
      <c r="DV177" s="530">
        <v>20872.37</v>
      </c>
      <c r="DW177" s="530">
        <v>0</v>
      </c>
    </row>
    <row r="178" spans="1:127" s="103" customFormat="1">
      <c r="A178" s="525">
        <v>7035</v>
      </c>
      <c r="B178" s="526" t="s">
        <v>813</v>
      </c>
      <c r="C178" s="525">
        <v>7035</v>
      </c>
      <c r="D178" s="527" t="s">
        <v>1284</v>
      </c>
      <c r="E178" s="527" t="s">
        <v>553</v>
      </c>
      <c r="F178" s="527" t="s">
        <v>5</v>
      </c>
      <c r="G178" s="527" t="s">
        <v>535</v>
      </c>
      <c r="H178" s="528">
        <v>1771572.04</v>
      </c>
      <c r="I178" s="528">
        <v>0</v>
      </c>
      <c r="J178" s="528">
        <v>1597742.45</v>
      </c>
      <c r="K178" s="528">
        <v>0</v>
      </c>
      <c r="L178" s="528">
        <v>125720</v>
      </c>
      <c r="M178" s="528">
        <v>5028.22</v>
      </c>
      <c r="N178" s="528">
        <v>0</v>
      </c>
      <c r="O178" s="528">
        <v>0</v>
      </c>
      <c r="P178" s="528">
        <v>28167.130000000016</v>
      </c>
      <c r="Q178" s="528">
        <v>32291.349999999995</v>
      </c>
      <c r="R178" s="528">
        <v>0</v>
      </c>
      <c r="S178" s="528">
        <v>0</v>
      </c>
      <c r="T178" s="528">
        <v>1687.88</v>
      </c>
      <c r="U178" s="528">
        <v>33027.71</v>
      </c>
      <c r="V178" s="528">
        <v>0</v>
      </c>
      <c r="W178" s="528">
        <v>23731.360000000001</v>
      </c>
      <c r="X178" s="528">
        <v>27101</v>
      </c>
      <c r="Y178" s="528">
        <v>3646069.14</v>
      </c>
      <c r="Z178" s="528">
        <v>1264386.6199999964</v>
      </c>
      <c r="AA178" s="528">
        <v>0</v>
      </c>
      <c r="AB178" s="528">
        <v>1211491.9099999999</v>
      </c>
      <c r="AC178" s="528">
        <v>35859.580000000773</v>
      </c>
      <c r="AD178" s="528">
        <v>209798.22</v>
      </c>
      <c r="AE178" s="528">
        <v>0</v>
      </c>
      <c r="AF178" s="528">
        <v>42799.150000002235</v>
      </c>
      <c r="AG178" s="528">
        <v>11178.119999999881</v>
      </c>
      <c r="AH178" s="528">
        <v>10720.63</v>
      </c>
      <c r="AI178" s="528">
        <v>0</v>
      </c>
      <c r="AJ178" s="528">
        <v>0</v>
      </c>
      <c r="AK178" s="528">
        <v>30029.120000000003</v>
      </c>
      <c r="AL178" s="528">
        <v>10705.79</v>
      </c>
      <c r="AM178" s="528">
        <v>44642.820000000007</v>
      </c>
      <c r="AN178" s="528">
        <v>6424.78</v>
      </c>
      <c r="AO178" s="528">
        <v>23548.680000000008</v>
      </c>
      <c r="AP178" s="528">
        <v>0</v>
      </c>
      <c r="AQ178" s="528">
        <v>15428</v>
      </c>
      <c r="AR178" s="528">
        <v>80869.670000000333</v>
      </c>
      <c r="AS178" s="528">
        <v>12586.359999999997</v>
      </c>
      <c r="AT178" s="528">
        <v>0</v>
      </c>
      <c r="AU178" s="528">
        <v>40012.149999999936</v>
      </c>
      <c r="AV178" s="528">
        <v>5139.75</v>
      </c>
      <c r="AW178" s="528">
        <v>6463.5</v>
      </c>
      <c r="AX178" s="528">
        <v>101263.09</v>
      </c>
      <c r="AY178" s="528">
        <v>164518.93</v>
      </c>
      <c r="AZ178" s="528">
        <v>7008.35</v>
      </c>
      <c r="BA178" s="528">
        <v>293501.20999999996</v>
      </c>
      <c r="BB178" s="528">
        <v>0</v>
      </c>
      <c r="BC178" s="528">
        <v>0</v>
      </c>
      <c r="BD178" s="528">
        <v>0</v>
      </c>
      <c r="BE178" s="528">
        <v>3628376.43</v>
      </c>
      <c r="BF178" s="528">
        <v>548528.51999999885</v>
      </c>
      <c r="BG178" s="528">
        <v>17692.709999999963</v>
      </c>
      <c r="BH178" s="528">
        <v>566221.22999999882</v>
      </c>
      <c r="BI178" s="528">
        <v>11644.38</v>
      </c>
      <c r="BJ178" s="528">
        <v>0</v>
      </c>
      <c r="BK178" s="528">
        <v>0</v>
      </c>
      <c r="BL178" s="528">
        <v>11644.38</v>
      </c>
      <c r="BM178" s="528">
        <v>0</v>
      </c>
      <c r="BN178" s="528">
        <v>14247.2</v>
      </c>
      <c r="BO178" s="528">
        <v>0</v>
      </c>
      <c r="BP178" s="528">
        <v>0</v>
      </c>
      <c r="BQ178" s="528">
        <v>14247.2</v>
      </c>
      <c r="BR178" s="528">
        <v>35556.130000000005</v>
      </c>
      <c r="BS178" s="528">
        <v>-2602.8200000000015</v>
      </c>
      <c r="BT178" s="528">
        <v>32953.310000000005</v>
      </c>
      <c r="BU178" s="528">
        <v>0</v>
      </c>
      <c r="BV178" s="528">
        <v>0</v>
      </c>
      <c r="BW178" s="528">
        <v>0</v>
      </c>
      <c r="BX178" s="528">
        <v>0</v>
      </c>
      <c r="BY178" s="528">
        <v>0</v>
      </c>
      <c r="BZ178" s="528">
        <v>0</v>
      </c>
      <c r="CA178" s="528">
        <v>0</v>
      </c>
      <c r="CB178" s="528">
        <v>0</v>
      </c>
      <c r="CC178" s="528">
        <v>0</v>
      </c>
      <c r="CD178" s="528">
        <v>566221.22999999882</v>
      </c>
      <c r="CE178" s="528">
        <v>0</v>
      </c>
      <c r="CF178" s="528">
        <v>32953.310000000005</v>
      </c>
      <c r="CG178" s="528">
        <v>0</v>
      </c>
      <c r="CH178" s="528">
        <v>0</v>
      </c>
      <c r="CI178" s="528">
        <f t="shared" si="2"/>
        <v>599174.53999999887</v>
      </c>
      <c r="CJ178" s="528">
        <v>939138.28</v>
      </c>
      <c r="CK178" s="528">
        <v>-13779.58</v>
      </c>
      <c r="CL178" s="528">
        <v>0</v>
      </c>
      <c r="CM178" s="528">
        <v>952917.86</v>
      </c>
      <c r="CN178" s="528">
        <v>0</v>
      </c>
      <c r="CO178" s="528">
        <v>0</v>
      </c>
      <c r="CP178" s="528">
        <v>10973.13</v>
      </c>
      <c r="CQ178" s="528">
        <v>0</v>
      </c>
      <c r="CR178" s="528">
        <v>-354940.89</v>
      </c>
      <c r="CS178" s="528">
        <v>608950.1</v>
      </c>
      <c r="CT178" s="528">
        <v>151640.49</v>
      </c>
      <c r="CU178" s="528">
        <v>1640.59</v>
      </c>
      <c r="CV178" s="528">
        <v>0</v>
      </c>
      <c r="CW178" s="528">
        <v>149999.9</v>
      </c>
      <c r="CX178" s="528"/>
      <c r="CY178" s="528"/>
      <c r="CZ178" s="528"/>
      <c r="DA178" s="528">
        <v>-150000</v>
      </c>
      <c r="DB178" s="528">
        <v>-0.10000000000582077</v>
      </c>
      <c r="DC178" s="528">
        <v>0</v>
      </c>
      <c r="DD178" s="528">
        <v>17300.16</v>
      </c>
      <c r="DE178" s="528">
        <v>0</v>
      </c>
      <c r="DF178" s="528">
        <v>0</v>
      </c>
      <c r="DG178" s="528">
        <v>0</v>
      </c>
      <c r="DH178" s="528">
        <v>-27075.62</v>
      </c>
      <c r="DI178" s="528">
        <v>0</v>
      </c>
      <c r="DJ178" s="528">
        <v>0</v>
      </c>
      <c r="DK178" s="528">
        <v>-9775.4599999999991</v>
      </c>
      <c r="DL178" s="528">
        <v>0</v>
      </c>
      <c r="DM178" s="528">
        <v>0</v>
      </c>
      <c r="DN178" s="528">
        <v>0</v>
      </c>
      <c r="DO178" s="528">
        <v>0</v>
      </c>
      <c r="DP178" s="528">
        <v>0</v>
      </c>
      <c r="DQ178" s="529">
        <v>0</v>
      </c>
      <c r="DR178" s="530">
        <v>2775513.6</v>
      </c>
      <c r="DS178" s="531">
        <v>852862.83000000007</v>
      </c>
      <c r="DT178" s="530">
        <v>164518.93</v>
      </c>
      <c r="DU178" s="530">
        <v>62146.360000000008</v>
      </c>
      <c r="DV178" s="530">
        <v>33027.71</v>
      </c>
      <c r="DW178" s="530">
        <v>0</v>
      </c>
    </row>
    <row r="179" spans="1:127" s="103" customFormat="1">
      <c r="A179" s="525">
        <v>2246</v>
      </c>
      <c r="B179" s="526" t="s">
        <v>935</v>
      </c>
      <c r="C179" s="525">
        <v>2246</v>
      </c>
      <c r="D179" s="527" t="s">
        <v>1284</v>
      </c>
      <c r="E179" s="527" t="s">
        <v>538</v>
      </c>
      <c r="F179" s="527" t="s">
        <v>5</v>
      </c>
      <c r="G179" s="527" t="s">
        <v>958</v>
      </c>
      <c r="H179" s="528">
        <v>3199678</v>
      </c>
      <c r="I179" s="528">
        <v>0</v>
      </c>
      <c r="J179" s="528">
        <v>448054</v>
      </c>
      <c r="K179" s="528">
        <v>0</v>
      </c>
      <c r="L179" s="528">
        <v>346490</v>
      </c>
      <c r="M179" s="528">
        <v>13657</v>
      </c>
      <c r="N179" s="528">
        <v>0</v>
      </c>
      <c r="O179" s="528">
        <v>0</v>
      </c>
      <c r="P179" s="528">
        <v>95273</v>
      </c>
      <c r="Q179" s="528">
        <v>961</v>
      </c>
      <c r="R179" s="528">
        <v>0</v>
      </c>
      <c r="S179" s="528">
        <v>0</v>
      </c>
      <c r="T179" s="528">
        <v>5341</v>
      </c>
      <c r="U179" s="528">
        <v>0</v>
      </c>
      <c r="V179" s="528">
        <v>0</v>
      </c>
      <c r="W179" s="528">
        <v>6329</v>
      </c>
      <c r="X179" s="528">
        <v>74838</v>
      </c>
      <c r="Y179" s="528">
        <v>4190621</v>
      </c>
      <c r="Z179" s="528">
        <v>1450973</v>
      </c>
      <c r="AA179" s="528">
        <v>8238</v>
      </c>
      <c r="AB179" s="528">
        <v>5221</v>
      </c>
      <c r="AC179" s="528">
        <v>723625</v>
      </c>
      <c r="AD179" s="528">
        <v>2759</v>
      </c>
      <c r="AE179" s="528">
        <v>0</v>
      </c>
      <c r="AF179" s="528">
        <v>708265</v>
      </c>
      <c r="AG179" s="528">
        <v>107668</v>
      </c>
      <c r="AH179" s="528">
        <v>2468</v>
      </c>
      <c r="AI179" s="528">
        <v>0</v>
      </c>
      <c r="AJ179" s="528">
        <v>633</v>
      </c>
      <c r="AK179" s="528">
        <v>43035</v>
      </c>
      <c r="AL179" s="528">
        <v>1245</v>
      </c>
      <c r="AM179" s="528">
        <v>11942</v>
      </c>
      <c r="AN179" s="528">
        <v>18309</v>
      </c>
      <c r="AO179" s="528">
        <v>66556</v>
      </c>
      <c r="AP179" s="528">
        <v>27030</v>
      </c>
      <c r="AQ179" s="528">
        <v>29307</v>
      </c>
      <c r="AR179" s="528">
        <v>144691</v>
      </c>
      <c r="AS179" s="528">
        <v>7735</v>
      </c>
      <c r="AT179" s="528">
        <v>33118</v>
      </c>
      <c r="AU179" s="528">
        <v>32171</v>
      </c>
      <c r="AV179" s="528">
        <v>12566</v>
      </c>
      <c r="AW179" s="528">
        <v>3612</v>
      </c>
      <c r="AX179" s="528">
        <v>121857</v>
      </c>
      <c r="AY179" s="528">
        <v>468899</v>
      </c>
      <c r="AZ179" s="528">
        <v>13588</v>
      </c>
      <c r="BA179" s="528">
        <v>151382</v>
      </c>
      <c r="BB179" s="528">
        <v>0</v>
      </c>
      <c r="BC179" s="528">
        <v>0</v>
      </c>
      <c r="BD179" s="528">
        <v>0</v>
      </c>
      <c r="BE179" s="528">
        <v>4196892</v>
      </c>
      <c r="BF179" s="528">
        <v>320316</v>
      </c>
      <c r="BG179" s="528">
        <v>-6271</v>
      </c>
      <c r="BH179" s="528">
        <v>314045</v>
      </c>
      <c r="BI179" s="528">
        <v>10581</v>
      </c>
      <c r="BJ179" s="528">
        <v>0</v>
      </c>
      <c r="BK179" s="528">
        <v>0</v>
      </c>
      <c r="BL179" s="528">
        <v>10581</v>
      </c>
      <c r="BM179" s="528">
        <v>0</v>
      </c>
      <c r="BN179" s="528">
        <v>37767</v>
      </c>
      <c r="BO179" s="528">
        <v>0</v>
      </c>
      <c r="BP179" s="528">
        <v>0</v>
      </c>
      <c r="BQ179" s="528">
        <v>37767</v>
      </c>
      <c r="BR179" s="528">
        <v>42787</v>
      </c>
      <c r="BS179" s="528">
        <v>-27186</v>
      </c>
      <c r="BT179" s="528">
        <v>15601</v>
      </c>
      <c r="BU179" s="528">
        <v>0</v>
      </c>
      <c r="BV179" s="528">
        <v>0</v>
      </c>
      <c r="BW179" s="528">
        <v>0</v>
      </c>
      <c r="BX179" s="528">
        <v>0</v>
      </c>
      <c r="BY179" s="528">
        <v>0</v>
      </c>
      <c r="BZ179" s="528">
        <v>0</v>
      </c>
      <c r="CA179" s="528">
        <v>0</v>
      </c>
      <c r="CB179" s="528">
        <v>0</v>
      </c>
      <c r="CC179" s="528">
        <v>0</v>
      </c>
      <c r="CD179" s="528">
        <v>314045</v>
      </c>
      <c r="CE179" s="528">
        <v>0</v>
      </c>
      <c r="CF179" s="528">
        <v>15601</v>
      </c>
      <c r="CG179" s="528">
        <v>0</v>
      </c>
      <c r="CH179" s="528">
        <v>0</v>
      </c>
      <c r="CI179" s="528">
        <f t="shared" si="2"/>
        <v>329646</v>
      </c>
      <c r="CJ179" s="528">
        <v>0</v>
      </c>
      <c r="CK179" s="528">
        <v>0</v>
      </c>
      <c r="CL179" s="528">
        <v>0</v>
      </c>
      <c r="CM179" s="528">
        <v>0</v>
      </c>
      <c r="CN179" s="528">
        <v>3550</v>
      </c>
      <c r="CO179" s="528">
        <v>0</v>
      </c>
      <c r="CP179" s="528">
        <v>0</v>
      </c>
      <c r="CQ179" s="528">
        <v>0</v>
      </c>
      <c r="CR179" s="528">
        <v>0</v>
      </c>
      <c r="CS179" s="528">
        <v>3550</v>
      </c>
      <c r="CT179" s="528">
        <v>0</v>
      </c>
      <c r="CU179" s="528">
        <v>0</v>
      </c>
      <c r="CV179" s="528">
        <v>0</v>
      </c>
      <c r="CW179" s="528">
        <v>0</v>
      </c>
      <c r="CX179" s="528"/>
      <c r="CY179" s="528"/>
      <c r="CZ179" s="528"/>
      <c r="DA179" s="528">
        <v>353789</v>
      </c>
      <c r="DB179" s="528">
        <v>353789</v>
      </c>
      <c r="DC179" s="528">
        <v>0</v>
      </c>
      <c r="DD179" s="528">
        <v>20140</v>
      </c>
      <c r="DE179" s="528">
        <v>0</v>
      </c>
      <c r="DF179" s="528">
        <v>0</v>
      </c>
      <c r="DG179" s="528">
        <v>-36931</v>
      </c>
      <c r="DH179" s="528">
        <v>-10903</v>
      </c>
      <c r="DI179" s="528">
        <v>0</v>
      </c>
      <c r="DJ179" s="528">
        <v>0</v>
      </c>
      <c r="DK179" s="528">
        <v>-27694</v>
      </c>
      <c r="DL179" s="528">
        <v>0</v>
      </c>
      <c r="DM179" s="528">
        <v>0</v>
      </c>
      <c r="DN179" s="528">
        <v>0</v>
      </c>
      <c r="DO179" s="528">
        <v>0</v>
      </c>
      <c r="DP179" s="528">
        <v>0</v>
      </c>
      <c r="DQ179" s="529">
        <v>3.8908199999999996E-9</v>
      </c>
      <c r="DR179" s="530">
        <v>3006749</v>
      </c>
      <c r="DS179" s="531">
        <v>1190143</v>
      </c>
      <c r="DT179" s="530">
        <v>468899</v>
      </c>
      <c r="DU179" s="530">
        <v>101575</v>
      </c>
      <c r="DV179" s="530">
        <v>0</v>
      </c>
      <c r="DW179" s="530">
        <v>0</v>
      </c>
    </row>
    <row r="180" spans="1:127" s="103" customFormat="1">
      <c r="A180" s="525">
        <v>3323</v>
      </c>
      <c r="B180" s="526" t="s">
        <v>815</v>
      </c>
      <c r="C180" s="525">
        <v>3323</v>
      </c>
      <c r="D180" s="527" t="s">
        <v>1284</v>
      </c>
      <c r="E180" s="527" t="s">
        <v>538</v>
      </c>
      <c r="F180" s="527" t="s">
        <v>5</v>
      </c>
      <c r="G180" s="527" t="s">
        <v>535</v>
      </c>
      <c r="H180" s="528">
        <v>1317321.97</v>
      </c>
      <c r="I180" s="528">
        <v>0</v>
      </c>
      <c r="J180" s="528">
        <v>95494.84</v>
      </c>
      <c r="K180" s="528">
        <v>0</v>
      </c>
      <c r="L180" s="528">
        <v>137980</v>
      </c>
      <c r="M180" s="528">
        <v>600</v>
      </c>
      <c r="N180" s="528">
        <v>0</v>
      </c>
      <c r="O180" s="528">
        <v>0</v>
      </c>
      <c r="P180" s="528">
        <v>14659.09</v>
      </c>
      <c r="Q180" s="528">
        <v>10804</v>
      </c>
      <c r="R180" s="528">
        <v>0</v>
      </c>
      <c r="S180" s="528">
        <v>0</v>
      </c>
      <c r="T180" s="528">
        <v>1579</v>
      </c>
      <c r="U180" s="528">
        <v>0</v>
      </c>
      <c r="V180" s="528">
        <v>0</v>
      </c>
      <c r="W180" s="528">
        <v>5677.5</v>
      </c>
      <c r="X180" s="528">
        <v>42245</v>
      </c>
      <c r="Y180" s="528">
        <v>1626361.4000000001</v>
      </c>
      <c r="Z180" s="528">
        <v>444874</v>
      </c>
      <c r="AA180" s="528">
        <v>0</v>
      </c>
      <c r="AB180" s="528">
        <v>176351</v>
      </c>
      <c r="AC180" s="528">
        <v>73463</v>
      </c>
      <c r="AD180" s="528">
        <v>110911</v>
      </c>
      <c r="AE180" s="528">
        <v>0</v>
      </c>
      <c r="AF180" s="528">
        <v>21257</v>
      </c>
      <c r="AG180" s="528">
        <v>363</v>
      </c>
      <c r="AH180" s="528">
        <v>2461</v>
      </c>
      <c r="AI180" s="528">
        <v>0</v>
      </c>
      <c r="AJ180" s="528">
        <v>0</v>
      </c>
      <c r="AK180" s="528">
        <v>83002.8</v>
      </c>
      <c r="AL180" s="528">
        <v>4595</v>
      </c>
      <c r="AM180" s="528">
        <v>6271</v>
      </c>
      <c r="AN180" s="528">
        <v>4298</v>
      </c>
      <c r="AO180" s="528">
        <v>18406</v>
      </c>
      <c r="AP180" s="528">
        <v>3285.98</v>
      </c>
      <c r="AQ180" s="528">
        <v>0</v>
      </c>
      <c r="AR180" s="528">
        <v>20792.5</v>
      </c>
      <c r="AS180" s="528">
        <v>11255</v>
      </c>
      <c r="AT180" s="528">
        <v>0</v>
      </c>
      <c r="AU180" s="528">
        <v>10929</v>
      </c>
      <c r="AV180" s="528">
        <v>11041.75</v>
      </c>
      <c r="AW180" s="528">
        <v>4071</v>
      </c>
      <c r="AX180" s="528">
        <v>126294.31999999999</v>
      </c>
      <c r="AY180" s="528">
        <v>260542.24</v>
      </c>
      <c r="AZ180" s="528">
        <v>26275.65</v>
      </c>
      <c r="BA180" s="528">
        <v>126595.5</v>
      </c>
      <c r="BB180" s="528">
        <v>0</v>
      </c>
      <c r="BC180" s="528">
        <v>0</v>
      </c>
      <c r="BD180" s="528">
        <v>0</v>
      </c>
      <c r="BE180" s="528">
        <v>1547335.74</v>
      </c>
      <c r="BF180" s="528">
        <v>232186.5299999998</v>
      </c>
      <c r="BG180" s="528">
        <v>79025.660000000149</v>
      </c>
      <c r="BH180" s="528">
        <v>311212.18999999994</v>
      </c>
      <c r="BI180" s="528">
        <v>6810.75</v>
      </c>
      <c r="BJ180" s="528">
        <v>0</v>
      </c>
      <c r="BK180" s="528">
        <v>0</v>
      </c>
      <c r="BL180" s="528">
        <v>6810.75</v>
      </c>
      <c r="BM180" s="528">
        <v>0</v>
      </c>
      <c r="BN180" s="528">
        <v>6810.75</v>
      </c>
      <c r="BO180" s="528">
        <v>0</v>
      </c>
      <c r="BP180" s="528">
        <v>0</v>
      </c>
      <c r="BQ180" s="528">
        <v>6810.75</v>
      </c>
      <c r="BR180" s="528">
        <v>0</v>
      </c>
      <c r="BS180" s="528">
        <v>0</v>
      </c>
      <c r="BT180" s="528">
        <v>0</v>
      </c>
      <c r="BU180" s="528">
        <v>0</v>
      </c>
      <c r="BV180" s="528">
        <v>0</v>
      </c>
      <c r="BW180" s="528">
        <v>0</v>
      </c>
      <c r="BX180" s="528">
        <v>0</v>
      </c>
      <c r="BY180" s="528">
        <v>0</v>
      </c>
      <c r="BZ180" s="528">
        <v>0</v>
      </c>
      <c r="CA180" s="528">
        <v>0</v>
      </c>
      <c r="CB180" s="528">
        <v>0</v>
      </c>
      <c r="CC180" s="528">
        <v>0</v>
      </c>
      <c r="CD180" s="528">
        <v>311212.18999999994</v>
      </c>
      <c r="CE180" s="528">
        <v>0</v>
      </c>
      <c r="CF180" s="528">
        <v>0</v>
      </c>
      <c r="CG180" s="528">
        <v>0</v>
      </c>
      <c r="CH180" s="528">
        <v>0</v>
      </c>
      <c r="CI180" s="528">
        <f t="shared" si="2"/>
        <v>311212.18999999994</v>
      </c>
      <c r="CJ180" s="528">
        <v>596428.04</v>
      </c>
      <c r="CK180" s="528">
        <v>140232.01</v>
      </c>
      <c r="CL180" s="528">
        <v>0</v>
      </c>
      <c r="CM180" s="528">
        <v>456196.03</v>
      </c>
      <c r="CN180" s="528">
        <v>0</v>
      </c>
      <c r="CO180" s="528">
        <v>0</v>
      </c>
      <c r="CP180" s="528">
        <v>15773.92</v>
      </c>
      <c r="CQ180" s="528">
        <v>5621.59</v>
      </c>
      <c r="CR180" s="528">
        <v>0</v>
      </c>
      <c r="CS180" s="528">
        <v>477591.54000000004</v>
      </c>
      <c r="CT180" s="528">
        <v>0</v>
      </c>
      <c r="CU180" s="528">
        <v>0</v>
      </c>
      <c r="CV180" s="528">
        <v>0</v>
      </c>
      <c r="CW180" s="528">
        <v>0</v>
      </c>
      <c r="CX180" s="528"/>
      <c r="CY180" s="528"/>
      <c r="CZ180" s="528"/>
      <c r="DA180" s="528">
        <v>0</v>
      </c>
      <c r="DB180" s="528">
        <v>0</v>
      </c>
      <c r="DC180" s="528">
        <v>0</v>
      </c>
      <c r="DD180" s="528">
        <v>142.09</v>
      </c>
      <c r="DE180" s="528">
        <v>0</v>
      </c>
      <c r="DF180" s="528">
        <v>0</v>
      </c>
      <c r="DG180" s="528">
        <v>-12195</v>
      </c>
      <c r="DH180" s="528">
        <v>-51575.119999999995</v>
      </c>
      <c r="DI180" s="528">
        <v>0</v>
      </c>
      <c r="DJ180" s="528">
        <v>0</v>
      </c>
      <c r="DK180" s="528">
        <v>-63628.03</v>
      </c>
      <c r="DL180" s="528">
        <v>125</v>
      </c>
      <c r="DM180" s="528">
        <v>0</v>
      </c>
      <c r="DN180" s="528">
        <v>-39684.300000000003</v>
      </c>
      <c r="DO180" s="528">
        <v>-63192.02</v>
      </c>
      <c r="DP180" s="528">
        <v>0</v>
      </c>
      <c r="DQ180" s="529">
        <v>0</v>
      </c>
      <c r="DR180" s="530">
        <v>827219</v>
      </c>
      <c r="DS180" s="531">
        <v>720116.74</v>
      </c>
      <c r="DT180" s="530">
        <v>260542.24</v>
      </c>
      <c r="DU180" s="530">
        <v>27042.09</v>
      </c>
      <c r="DV180" s="530">
        <v>0</v>
      </c>
      <c r="DW180" s="530">
        <v>-102751.32</v>
      </c>
    </row>
    <row r="181" spans="1:127" s="103" customFormat="1">
      <c r="A181" s="525">
        <v>7045</v>
      </c>
      <c r="B181" s="526" t="s">
        <v>817</v>
      </c>
      <c r="C181" s="525">
        <v>7045</v>
      </c>
      <c r="D181" s="527" t="s">
        <v>1284</v>
      </c>
      <c r="E181" s="527" t="s">
        <v>553</v>
      </c>
      <c r="F181" s="527" t="s">
        <v>5</v>
      </c>
      <c r="G181" s="527" t="s">
        <v>535</v>
      </c>
      <c r="H181" s="528">
        <v>3188829.68</v>
      </c>
      <c r="I181" s="528">
        <v>0</v>
      </c>
      <c r="J181" s="528">
        <v>3526042.39</v>
      </c>
      <c r="K181" s="528">
        <v>0</v>
      </c>
      <c r="L181" s="528">
        <v>180500</v>
      </c>
      <c r="M181" s="528">
        <v>5352</v>
      </c>
      <c r="N181" s="528">
        <v>0</v>
      </c>
      <c r="O181" s="528">
        <v>0</v>
      </c>
      <c r="P181" s="528">
        <v>191388.97000000003</v>
      </c>
      <c r="Q181" s="528">
        <v>105489.63000000002</v>
      </c>
      <c r="R181" s="528">
        <v>0</v>
      </c>
      <c r="S181" s="528">
        <v>0</v>
      </c>
      <c r="T181" s="528">
        <v>2859.05</v>
      </c>
      <c r="U181" s="528">
        <v>0</v>
      </c>
      <c r="V181" s="528">
        <v>0</v>
      </c>
      <c r="W181" s="528">
        <v>45380.06</v>
      </c>
      <c r="X181" s="528">
        <v>26565</v>
      </c>
      <c r="Y181" s="528">
        <v>7272406.7799999993</v>
      </c>
      <c r="Z181" s="528">
        <v>2678860.4900000002</v>
      </c>
      <c r="AA181" s="528">
        <v>0</v>
      </c>
      <c r="AB181" s="528">
        <v>2333417.86</v>
      </c>
      <c r="AC181" s="528">
        <v>67806.340000000084</v>
      </c>
      <c r="AD181" s="528">
        <v>152641.92000000004</v>
      </c>
      <c r="AE181" s="528">
        <v>0</v>
      </c>
      <c r="AF181" s="528">
        <v>90712.149999999907</v>
      </c>
      <c r="AG181" s="528">
        <v>16794.699999999997</v>
      </c>
      <c r="AH181" s="528">
        <v>7353.5</v>
      </c>
      <c r="AI181" s="528">
        <v>10558</v>
      </c>
      <c r="AJ181" s="528">
        <v>0</v>
      </c>
      <c r="AK181" s="528">
        <v>36698.680000000008</v>
      </c>
      <c r="AL181" s="528">
        <v>0</v>
      </c>
      <c r="AM181" s="528">
        <v>89176.38</v>
      </c>
      <c r="AN181" s="528">
        <v>13255.37</v>
      </c>
      <c r="AO181" s="528">
        <v>95821.14</v>
      </c>
      <c r="AP181" s="528">
        <v>0</v>
      </c>
      <c r="AQ181" s="528">
        <v>10983.18</v>
      </c>
      <c r="AR181" s="528">
        <v>246036.56</v>
      </c>
      <c r="AS181" s="528">
        <v>1565</v>
      </c>
      <c r="AT181" s="528">
        <v>4427.7</v>
      </c>
      <c r="AU181" s="528">
        <v>21742.18</v>
      </c>
      <c r="AV181" s="528">
        <v>5139.75</v>
      </c>
      <c r="AW181" s="528">
        <v>4464</v>
      </c>
      <c r="AX181" s="528">
        <v>208106.19</v>
      </c>
      <c r="AY181" s="528">
        <v>109316.6</v>
      </c>
      <c r="AZ181" s="528">
        <v>132856.73000000001</v>
      </c>
      <c r="BA181" s="528">
        <v>887536.53</v>
      </c>
      <c r="BB181" s="528">
        <v>-10505</v>
      </c>
      <c r="BC181" s="528">
        <v>0</v>
      </c>
      <c r="BD181" s="528">
        <v>0</v>
      </c>
      <c r="BE181" s="528">
        <v>7214765.9499999993</v>
      </c>
      <c r="BF181" s="528">
        <v>1087187.9999999991</v>
      </c>
      <c r="BG181" s="528">
        <v>57640.830000000075</v>
      </c>
      <c r="BH181" s="528">
        <v>1144828.8299999991</v>
      </c>
      <c r="BI181" s="528">
        <v>17344.75</v>
      </c>
      <c r="BJ181" s="528">
        <v>0</v>
      </c>
      <c r="BK181" s="528">
        <v>0</v>
      </c>
      <c r="BL181" s="528">
        <v>17344.75</v>
      </c>
      <c r="BM181" s="528">
        <v>0</v>
      </c>
      <c r="BN181" s="528">
        <v>29934.12</v>
      </c>
      <c r="BO181" s="528">
        <v>0</v>
      </c>
      <c r="BP181" s="528">
        <v>0</v>
      </c>
      <c r="BQ181" s="528">
        <v>29934.12</v>
      </c>
      <c r="BR181" s="528">
        <v>68400</v>
      </c>
      <c r="BS181" s="528">
        <v>-12589.369999999999</v>
      </c>
      <c r="BT181" s="528">
        <v>55810.630000000005</v>
      </c>
      <c r="BU181" s="528">
        <v>0</v>
      </c>
      <c r="BV181" s="528">
        <v>0</v>
      </c>
      <c r="BW181" s="528">
        <v>0</v>
      </c>
      <c r="BX181" s="528">
        <v>0</v>
      </c>
      <c r="BY181" s="528">
        <v>0</v>
      </c>
      <c r="BZ181" s="528">
        <v>0</v>
      </c>
      <c r="CA181" s="528">
        <v>0</v>
      </c>
      <c r="CB181" s="528">
        <v>0</v>
      </c>
      <c r="CC181" s="528">
        <v>0</v>
      </c>
      <c r="CD181" s="528">
        <v>1144828.8299999991</v>
      </c>
      <c r="CE181" s="528">
        <v>0</v>
      </c>
      <c r="CF181" s="528">
        <v>55810.630000000005</v>
      </c>
      <c r="CG181" s="528">
        <v>0</v>
      </c>
      <c r="CH181" s="528">
        <v>0</v>
      </c>
      <c r="CI181" s="528">
        <f t="shared" si="2"/>
        <v>1200639.459999999</v>
      </c>
      <c r="CJ181" s="528">
        <v>1652158.73</v>
      </c>
      <c r="CK181" s="528">
        <v>0</v>
      </c>
      <c r="CL181" s="528">
        <v>0</v>
      </c>
      <c r="CM181" s="528">
        <v>1652158.73</v>
      </c>
      <c r="CN181" s="528">
        <v>0</v>
      </c>
      <c r="CO181" s="528">
        <v>0</v>
      </c>
      <c r="CP181" s="528">
        <v>20169.07</v>
      </c>
      <c r="CQ181" s="528">
        <v>0</v>
      </c>
      <c r="CR181" s="528">
        <v>-386703.39</v>
      </c>
      <c r="CS181" s="528">
        <v>1285624.4100000001</v>
      </c>
      <c r="CT181" s="528">
        <v>0</v>
      </c>
      <c r="CU181" s="528">
        <v>0</v>
      </c>
      <c r="CV181" s="528">
        <v>0</v>
      </c>
      <c r="CW181" s="528">
        <v>0</v>
      </c>
      <c r="CX181" s="528"/>
      <c r="CY181" s="528"/>
      <c r="CZ181" s="528"/>
      <c r="DA181" s="528">
        <v>0</v>
      </c>
      <c r="DB181" s="528">
        <v>0</v>
      </c>
      <c r="DC181" s="528">
        <v>0</v>
      </c>
      <c r="DD181" s="528">
        <v>34927.42</v>
      </c>
      <c r="DE181" s="528">
        <v>0</v>
      </c>
      <c r="DF181" s="528">
        <v>0</v>
      </c>
      <c r="DG181" s="528">
        <v>-58074.09</v>
      </c>
      <c r="DH181" s="528">
        <v>-61838.28</v>
      </c>
      <c r="DI181" s="528">
        <v>0</v>
      </c>
      <c r="DJ181" s="528">
        <v>0</v>
      </c>
      <c r="DK181" s="528">
        <v>-84984.95</v>
      </c>
      <c r="DL181" s="528">
        <v>0</v>
      </c>
      <c r="DM181" s="528">
        <v>0</v>
      </c>
      <c r="DN181" s="528">
        <v>0</v>
      </c>
      <c r="DO181" s="528">
        <v>0</v>
      </c>
      <c r="DP181" s="528">
        <v>0</v>
      </c>
      <c r="DQ181" s="529">
        <v>0</v>
      </c>
      <c r="DR181" s="530">
        <v>5340233.46</v>
      </c>
      <c r="DS181" s="531">
        <v>1874532.4899999993</v>
      </c>
      <c r="DT181" s="530">
        <v>109316.6</v>
      </c>
      <c r="DU181" s="530">
        <v>299737.65000000002</v>
      </c>
      <c r="DV181" s="530">
        <v>0</v>
      </c>
      <c r="DW181" s="530">
        <v>0</v>
      </c>
    </row>
    <row r="182" spans="1:127" s="103" customFormat="1">
      <c r="A182" s="525">
        <v>2192</v>
      </c>
      <c r="B182" s="526" t="s">
        <v>819</v>
      </c>
      <c r="C182" s="525">
        <v>2192</v>
      </c>
      <c r="D182" s="527" t="s">
        <v>1284</v>
      </c>
      <c r="E182" s="527" t="s">
        <v>538</v>
      </c>
      <c r="F182" s="527" t="s">
        <v>5</v>
      </c>
      <c r="G182" s="527" t="s">
        <v>535</v>
      </c>
      <c r="H182" s="528">
        <v>2709346.9</v>
      </c>
      <c r="I182" s="528">
        <v>0</v>
      </c>
      <c r="J182" s="528">
        <v>63206.080000000002</v>
      </c>
      <c r="K182" s="528">
        <v>0</v>
      </c>
      <c r="L182" s="528">
        <v>330640</v>
      </c>
      <c r="M182" s="528">
        <v>0</v>
      </c>
      <c r="N182" s="528">
        <v>0</v>
      </c>
      <c r="O182" s="528">
        <v>0</v>
      </c>
      <c r="P182" s="528">
        <v>75264.160000000003</v>
      </c>
      <c r="Q182" s="528">
        <v>0</v>
      </c>
      <c r="R182" s="528">
        <v>0</v>
      </c>
      <c r="S182" s="528">
        <v>0</v>
      </c>
      <c r="T182" s="528">
        <v>9334.7999999999993</v>
      </c>
      <c r="U182" s="528">
        <v>27625</v>
      </c>
      <c r="V182" s="528">
        <v>0</v>
      </c>
      <c r="W182" s="528">
        <v>11278.92</v>
      </c>
      <c r="X182" s="528">
        <v>20904</v>
      </c>
      <c r="Y182" s="528">
        <v>3247599.86</v>
      </c>
      <c r="Z182" s="528">
        <v>1515829.0900000061</v>
      </c>
      <c r="AA182" s="528">
        <v>0</v>
      </c>
      <c r="AB182" s="528">
        <v>499018.46</v>
      </c>
      <c r="AC182" s="528">
        <v>56631.410000000149</v>
      </c>
      <c r="AD182" s="528">
        <v>382067.02</v>
      </c>
      <c r="AE182" s="528">
        <v>0</v>
      </c>
      <c r="AF182" s="528">
        <v>91398.789999999339</v>
      </c>
      <c r="AG182" s="528">
        <v>9959.3600000000624</v>
      </c>
      <c r="AH182" s="528">
        <v>5645.5999999999985</v>
      </c>
      <c r="AI182" s="528">
        <v>0</v>
      </c>
      <c r="AJ182" s="528">
        <v>0</v>
      </c>
      <c r="AK182" s="528">
        <v>41535.489999999991</v>
      </c>
      <c r="AL182" s="528">
        <v>553.69000000000005</v>
      </c>
      <c r="AM182" s="528">
        <v>0</v>
      </c>
      <c r="AN182" s="528">
        <v>11065.97</v>
      </c>
      <c r="AO182" s="528">
        <v>67561.27</v>
      </c>
      <c r="AP182" s="528">
        <v>33654.800000000003</v>
      </c>
      <c r="AQ182" s="528">
        <v>29646.040000000005</v>
      </c>
      <c r="AR182" s="528">
        <v>122086.28000000014</v>
      </c>
      <c r="AS182" s="528">
        <v>25991.889999999992</v>
      </c>
      <c r="AT182" s="528">
        <v>0</v>
      </c>
      <c r="AU182" s="528">
        <v>56975.25</v>
      </c>
      <c r="AV182" s="528">
        <v>12566.4</v>
      </c>
      <c r="AW182" s="528">
        <v>7820</v>
      </c>
      <c r="AX182" s="528">
        <v>163577.33000000002</v>
      </c>
      <c r="AY182" s="528">
        <v>135000.71</v>
      </c>
      <c r="AZ182" s="528">
        <v>41465.72</v>
      </c>
      <c r="BA182" s="528">
        <v>137637.49</v>
      </c>
      <c r="BB182" s="528">
        <v>0</v>
      </c>
      <c r="BC182" s="528">
        <v>0</v>
      </c>
      <c r="BD182" s="528">
        <v>326.89</v>
      </c>
      <c r="BE182" s="528">
        <v>3448014.9500000062</v>
      </c>
      <c r="BF182" s="528">
        <v>544012.94999999984</v>
      </c>
      <c r="BG182" s="528">
        <v>-200415.09000000637</v>
      </c>
      <c r="BH182" s="528">
        <v>343597.85999999347</v>
      </c>
      <c r="BI182" s="528">
        <v>9681.25</v>
      </c>
      <c r="BJ182" s="528">
        <v>0</v>
      </c>
      <c r="BK182" s="528">
        <v>326.89</v>
      </c>
      <c r="BL182" s="528">
        <v>10008.14</v>
      </c>
      <c r="BM182" s="528">
        <v>0</v>
      </c>
      <c r="BN182" s="528">
        <v>10172.959999999999</v>
      </c>
      <c r="BO182" s="528">
        <v>0</v>
      </c>
      <c r="BP182" s="528">
        <v>0</v>
      </c>
      <c r="BQ182" s="528">
        <v>10172.959999999999</v>
      </c>
      <c r="BR182" s="528">
        <v>164.81999999999971</v>
      </c>
      <c r="BS182" s="528">
        <v>-164.81999999999971</v>
      </c>
      <c r="BT182" s="528">
        <v>0</v>
      </c>
      <c r="BU182" s="528">
        <v>0</v>
      </c>
      <c r="BV182" s="528">
        <v>0</v>
      </c>
      <c r="BW182" s="528">
        <v>0</v>
      </c>
      <c r="BX182" s="528">
        <v>0</v>
      </c>
      <c r="BY182" s="528">
        <v>0</v>
      </c>
      <c r="BZ182" s="528">
        <v>0</v>
      </c>
      <c r="CA182" s="528">
        <v>0</v>
      </c>
      <c r="CB182" s="528">
        <v>0</v>
      </c>
      <c r="CC182" s="528">
        <v>0</v>
      </c>
      <c r="CD182" s="528">
        <v>343597.85999999347</v>
      </c>
      <c r="CE182" s="528">
        <v>0</v>
      </c>
      <c r="CF182" s="528">
        <v>0</v>
      </c>
      <c r="CG182" s="528">
        <v>0</v>
      </c>
      <c r="CH182" s="528">
        <v>0</v>
      </c>
      <c r="CI182" s="528">
        <f t="shared" si="2"/>
        <v>343597.85999999347</v>
      </c>
      <c r="CJ182" s="528">
        <v>589940.46</v>
      </c>
      <c r="CK182" s="528">
        <v>0</v>
      </c>
      <c r="CL182" s="528">
        <v>0</v>
      </c>
      <c r="CM182" s="528">
        <v>589940.46</v>
      </c>
      <c r="CN182" s="528">
        <v>0</v>
      </c>
      <c r="CO182" s="528">
        <v>0</v>
      </c>
      <c r="CP182" s="528">
        <v>9796.36</v>
      </c>
      <c r="CQ182" s="528">
        <v>15.55</v>
      </c>
      <c r="CR182" s="528">
        <v>-240485.78</v>
      </c>
      <c r="CS182" s="528">
        <v>359266.58999999997</v>
      </c>
      <c r="CT182" s="528">
        <v>0</v>
      </c>
      <c r="CU182" s="528">
        <v>0</v>
      </c>
      <c r="CV182" s="528">
        <v>0</v>
      </c>
      <c r="CW182" s="528">
        <v>0</v>
      </c>
      <c r="CX182" s="528"/>
      <c r="CY182" s="528"/>
      <c r="CZ182" s="528"/>
      <c r="DA182" s="528">
        <v>0</v>
      </c>
      <c r="DB182" s="528">
        <v>0</v>
      </c>
      <c r="DC182" s="528">
        <v>0</v>
      </c>
      <c r="DD182" s="528">
        <v>16173.6</v>
      </c>
      <c r="DE182" s="528">
        <v>0</v>
      </c>
      <c r="DF182" s="528">
        <v>0</v>
      </c>
      <c r="DG182" s="528">
        <v>-27704.32</v>
      </c>
      <c r="DH182" s="528">
        <v>0</v>
      </c>
      <c r="DI182" s="528">
        <v>0</v>
      </c>
      <c r="DJ182" s="528">
        <v>0</v>
      </c>
      <c r="DK182" s="528">
        <v>-11530.72</v>
      </c>
      <c r="DL182" s="528">
        <v>0</v>
      </c>
      <c r="DM182" s="528">
        <v>0</v>
      </c>
      <c r="DN182" s="528">
        <v>0</v>
      </c>
      <c r="DO182" s="528">
        <v>-4138</v>
      </c>
      <c r="DP182" s="528">
        <v>0</v>
      </c>
      <c r="DQ182" s="529"/>
      <c r="DR182" s="530">
        <v>2554904.130000005</v>
      </c>
      <c r="DS182" s="531">
        <v>893110.82000000123</v>
      </c>
      <c r="DT182" s="530">
        <v>135000.71</v>
      </c>
      <c r="DU182" s="530">
        <v>84598.96</v>
      </c>
      <c r="DV182" s="530">
        <v>27625</v>
      </c>
      <c r="DW182" s="530">
        <v>-4138</v>
      </c>
    </row>
    <row r="183" spans="1:127" s="103" customFormat="1">
      <c r="A183" s="525">
        <v>7014</v>
      </c>
      <c r="B183" s="526" t="s">
        <v>821</v>
      </c>
      <c r="C183" s="525">
        <v>7014</v>
      </c>
      <c r="D183" s="527" t="s">
        <v>1284</v>
      </c>
      <c r="E183" s="527" t="s">
        <v>553</v>
      </c>
      <c r="F183" s="527" t="s">
        <v>5</v>
      </c>
      <c r="G183" s="527" t="s">
        <v>535</v>
      </c>
      <c r="H183" s="528">
        <v>3141587.74</v>
      </c>
      <c r="I183" s="528">
        <v>0</v>
      </c>
      <c r="J183" s="528">
        <v>4946809.95</v>
      </c>
      <c r="K183" s="528">
        <v>0</v>
      </c>
      <c r="L183" s="528">
        <v>164030</v>
      </c>
      <c r="M183" s="528">
        <v>4313.8599999999997</v>
      </c>
      <c r="N183" s="528">
        <v>11850</v>
      </c>
      <c r="O183" s="528">
        <v>0</v>
      </c>
      <c r="P183" s="528">
        <v>241312.85</v>
      </c>
      <c r="Q183" s="528">
        <v>27336.77</v>
      </c>
      <c r="R183" s="528">
        <v>0</v>
      </c>
      <c r="S183" s="528">
        <v>0</v>
      </c>
      <c r="T183" s="528">
        <v>0</v>
      </c>
      <c r="U183" s="528">
        <v>7762.59</v>
      </c>
      <c r="V183" s="528">
        <v>0</v>
      </c>
      <c r="W183" s="528">
        <v>15994.94</v>
      </c>
      <c r="X183" s="528">
        <v>27728</v>
      </c>
      <c r="Y183" s="528">
        <v>8588726.6999999993</v>
      </c>
      <c r="Z183" s="528">
        <v>2232800.4900000002</v>
      </c>
      <c r="AA183" s="528">
        <v>0</v>
      </c>
      <c r="AB183" s="528">
        <v>2586036.56</v>
      </c>
      <c r="AC183" s="528">
        <v>68056.39</v>
      </c>
      <c r="AD183" s="528">
        <v>334120.46999999997</v>
      </c>
      <c r="AE183" s="528">
        <v>0</v>
      </c>
      <c r="AF183" s="528">
        <v>45207.07</v>
      </c>
      <c r="AG183" s="528">
        <v>27516.67</v>
      </c>
      <c r="AH183" s="528">
        <v>37118.39</v>
      </c>
      <c r="AI183" s="528">
        <v>0</v>
      </c>
      <c r="AJ183" s="528">
        <v>0</v>
      </c>
      <c r="AK183" s="528">
        <v>124238.18</v>
      </c>
      <c r="AL183" s="528">
        <v>7881.6</v>
      </c>
      <c r="AM183" s="528">
        <v>135291.34</v>
      </c>
      <c r="AN183" s="528">
        <v>17008.490000000002</v>
      </c>
      <c r="AO183" s="528">
        <v>135755.16</v>
      </c>
      <c r="AP183" s="528">
        <v>0</v>
      </c>
      <c r="AQ183" s="528">
        <v>31383.599999999999</v>
      </c>
      <c r="AR183" s="528">
        <v>57263.53</v>
      </c>
      <c r="AS183" s="528">
        <v>67698.97</v>
      </c>
      <c r="AT183" s="528">
        <v>4260.82</v>
      </c>
      <c r="AU183" s="528">
        <v>23950.31</v>
      </c>
      <c r="AV183" s="528">
        <v>14195.619999999999</v>
      </c>
      <c r="AW183" s="528">
        <v>0</v>
      </c>
      <c r="AX183" s="528">
        <v>182888.66</v>
      </c>
      <c r="AY183" s="528">
        <v>1509428.57</v>
      </c>
      <c r="AZ183" s="528">
        <v>143698.43</v>
      </c>
      <c r="BA183" s="528">
        <v>255035.09</v>
      </c>
      <c r="BB183" s="528">
        <v>0</v>
      </c>
      <c r="BC183" s="528">
        <v>0</v>
      </c>
      <c r="BD183" s="528">
        <v>0</v>
      </c>
      <c r="BE183" s="528">
        <v>8040834.4099999992</v>
      </c>
      <c r="BF183" s="528">
        <v>1241397.0499999991</v>
      </c>
      <c r="BG183" s="528">
        <v>547892.29</v>
      </c>
      <c r="BH183" s="528">
        <v>1789289.3399999992</v>
      </c>
      <c r="BI183" s="528">
        <v>-31968</v>
      </c>
      <c r="BJ183" s="528">
        <v>0</v>
      </c>
      <c r="BK183" s="528">
        <v>0</v>
      </c>
      <c r="BL183" s="528">
        <v>-31968</v>
      </c>
      <c r="BM183" s="528">
        <v>0</v>
      </c>
      <c r="BN183" s="528">
        <v>0</v>
      </c>
      <c r="BO183" s="528">
        <v>0</v>
      </c>
      <c r="BP183" s="528">
        <v>0</v>
      </c>
      <c r="BQ183" s="528">
        <v>0</v>
      </c>
      <c r="BR183" s="528">
        <v>49333.66</v>
      </c>
      <c r="BS183" s="528">
        <v>-31968</v>
      </c>
      <c r="BT183" s="528">
        <v>17365.660000000003</v>
      </c>
      <c r="BU183" s="528">
        <v>0</v>
      </c>
      <c r="BV183" s="528">
        <v>0</v>
      </c>
      <c r="BW183" s="528">
        <v>0</v>
      </c>
      <c r="BX183" s="528">
        <v>0</v>
      </c>
      <c r="BY183" s="528">
        <v>0</v>
      </c>
      <c r="BZ183" s="528">
        <v>0</v>
      </c>
      <c r="CA183" s="528">
        <v>0</v>
      </c>
      <c r="CB183" s="528">
        <v>0</v>
      </c>
      <c r="CC183" s="528">
        <v>0</v>
      </c>
      <c r="CD183" s="528">
        <v>1789289.3399999992</v>
      </c>
      <c r="CE183" s="528">
        <v>0</v>
      </c>
      <c r="CF183" s="528">
        <v>17365.660000000003</v>
      </c>
      <c r="CG183" s="528">
        <v>0</v>
      </c>
      <c r="CH183" s="528">
        <v>0</v>
      </c>
      <c r="CI183" s="528">
        <f t="shared" si="2"/>
        <v>1806654.9999999991</v>
      </c>
      <c r="CJ183" s="528">
        <v>150000</v>
      </c>
      <c r="CK183" s="528">
        <v>58347.5</v>
      </c>
      <c r="CL183" s="528">
        <v>24435.79</v>
      </c>
      <c r="CM183" s="528">
        <v>116088.29000000001</v>
      </c>
      <c r="CN183" s="528">
        <v>173.57</v>
      </c>
      <c r="CO183" s="528">
        <v>0</v>
      </c>
      <c r="CP183" s="528">
        <v>58882.38</v>
      </c>
      <c r="CQ183" s="528">
        <v>0</v>
      </c>
      <c r="CR183" s="528">
        <v>0</v>
      </c>
      <c r="CS183" s="528">
        <v>175144.24000000002</v>
      </c>
      <c r="CT183" s="528">
        <v>1530361</v>
      </c>
      <c r="CU183" s="528">
        <v>0</v>
      </c>
      <c r="CV183" s="528">
        <v>0</v>
      </c>
      <c r="CW183" s="528">
        <v>1530361</v>
      </c>
      <c r="CX183" s="528"/>
      <c r="CY183" s="528"/>
      <c r="CZ183" s="528"/>
      <c r="DA183" s="528">
        <v>0</v>
      </c>
      <c r="DB183" s="528">
        <v>1530361</v>
      </c>
      <c r="DC183" s="528">
        <v>0</v>
      </c>
      <c r="DD183" s="528">
        <v>0</v>
      </c>
      <c r="DE183" s="528">
        <v>0</v>
      </c>
      <c r="DF183" s="528">
        <v>0</v>
      </c>
      <c r="DG183" s="528">
        <v>-17565.84</v>
      </c>
      <c r="DH183" s="528">
        <v>-334</v>
      </c>
      <c r="DI183" s="528">
        <v>0</v>
      </c>
      <c r="DJ183" s="528">
        <v>0</v>
      </c>
      <c r="DK183" s="528">
        <v>-17899.84</v>
      </c>
      <c r="DL183" s="528">
        <v>18845</v>
      </c>
      <c r="DM183" s="528">
        <v>156957.53</v>
      </c>
      <c r="DN183" s="528">
        <v>-57319.23</v>
      </c>
      <c r="DO183" s="528">
        <v>0</v>
      </c>
      <c r="DP183" s="528">
        <v>566.22</v>
      </c>
      <c r="DQ183" s="529">
        <v>8.0000000074505806E-2</v>
      </c>
      <c r="DR183" s="530">
        <v>5293737.6500000004</v>
      </c>
      <c r="DS183" s="531">
        <v>2747096.7599999988</v>
      </c>
      <c r="DT183" s="530">
        <v>1509428.57</v>
      </c>
      <c r="DU183" s="530">
        <v>268649.62</v>
      </c>
      <c r="DV183" s="530">
        <v>7762.59</v>
      </c>
      <c r="DW183" s="530">
        <v>119049.51999999999</v>
      </c>
    </row>
    <row r="184" spans="1:127" s="103" customFormat="1">
      <c r="A184" s="525">
        <v>7009</v>
      </c>
      <c r="B184" s="526" t="s">
        <v>823</v>
      </c>
      <c r="C184" s="525">
        <v>7009</v>
      </c>
      <c r="D184" s="527" t="s">
        <v>1284</v>
      </c>
      <c r="E184" s="527" t="s">
        <v>553</v>
      </c>
      <c r="F184" s="527" t="s">
        <v>5</v>
      </c>
      <c r="G184" s="527" t="s">
        <v>535</v>
      </c>
      <c r="H184" s="528">
        <v>2053732.25</v>
      </c>
      <c r="I184" s="528">
        <v>408754</v>
      </c>
      <c r="J184" s="528">
        <v>4452371.24</v>
      </c>
      <c r="K184" s="528">
        <v>0</v>
      </c>
      <c r="L184" s="528">
        <v>172180</v>
      </c>
      <c r="M184" s="528">
        <v>3085.64</v>
      </c>
      <c r="N184" s="528">
        <v>970518.26</v>
      </c>
      <c r="O184" s="528">
        <v>30259.5</v>
      </c>
      <c r="P184" s="528">
        <v>139775.04000000001</v>
      </c>
      <c r="Q184" s="528">
        <v>18353.72</v>
      </c>
      <c r="R184" s="528">
        <v>0</v>
      </c>
      <c r="S184" s="528">
        <v>53636</v>
      </c>
      <c r="T184" s="528">
        <v>4711.09</v>
      </c>
      <c r="U184" s="528">
        <v>70957.3</v>
      </c>
      <c r="V184" s="528">
        <v>0</v>
      </c>
      <c r="W184" s="528">
        <v>5888</v>
      </c>
      <c r="X184" s="528">
        <v>21334</v>
      </c>
      <c r="Y184" s="528">
        <v>8405556.0399999991</v>
      </c>
      <c r="Z184" s="528">
        <v>2399398.7199999997</v>
      </c>
      <c r="AA184" s="528">
        <v>0</v>
      </c>
      <c r="AB184" s="528">
        <v>2930058.89</v>
      </c>
      <c r="AC184" s="528">
        <v>290188.12000000005</v>
      </c>
      <c r="AD184" s="528">
        <v>485026.13</v>
      </c>
      <c r="AE184" s="528">
        <v>0</v>
      </c>
      <c r="AF184" s="528">
        <v>146377.25</v>
      </c>
      <c r="AG184" s="528">
        <v>5988.79</v>
      </c>
      <c r="AH184" s="528">
        <v>17168.019999999997</v>
      </c>
      <c r="AI184" s="528">
        <v>0</v>
      </c>
      <c r="AJ184" s="528">
        <v>0</v>
      </c>
      <c r="AK184" s="528">
        <v>64596.840000000004</v>
      </c>
      <c r="AL184" s="528">
        <v>7497.98</v>
      </c>
      <c r="AM184" s="528">
        <v>15538.48</v>
      </c>
      <c r="AN184" s="528">
        <v>26886.829999999998</v>
      </c>
      <c r="AO184" s="528">
        <v>201149.7</v>
      </c>
      <c r="AP184" s="528">
        <v>0</v>
      </c>
      <c r="AQ184" s="528">
        <v>73744.259999999995</v>
      </c>
      <c r="AR184" s="528">
        <v>123584.21399999999</v>
      </c>
      <c r="AS184" s="528">
        <v>59698.37</v>
      </c>
      <c r="AT184" s="528">
        <v>861.77</v>
      </c>
      <c r="AU184" s="528">
        <v>42241.62</v>
      </c>
      <c r="AV184" s="528">
        <v>5850</v>
      </c>
      <c r="AW184" s="528">
        <v>0</v>
      </c>
      <c r="AX184" s="528">
        <v>176520.05000000002</v>
      </c>
      <c r="AY184" s="528">
        <v>126728.79000000001</v>
      </c>
      <c r="AZ184" s="528">
        <v>326515.31</v>
      </c>
      <c r="BA184" s="528">
        <v>98800.24</v>
      </c>
      <c r="BB184" s="528">
        <v>0</v>
      </c>
      <c r="BC184" s="528">
        <v>0</v>
      </c>
      <c r="BD184" s="528">
        <v>191874.82</v>
      </c>
      <c r="BE184" s="528">
        <v>7816295.1939999992</v>
      </c>
      <c r="BF184" s="528">
        <v>1525336.6100000003</v>
      </c>
      <c r="BG184" s="528">
        <v>589260.8459999999</v>
      </c>
      <c r="BH184" s="528">
        <v>2114597.4560000002</v>
      </c>
      <c r="BI184" s="528">
        <v>77068.75</v>
      </c>
      <c r="BJ184" s="528">
        <v>0</v>
      </c>
      <c r="BK184" s="528">
        <v>191874.82</v>
      </c>
      <c r="BL184" s="528">
        <v>268943.57</v>
      </c>
      <c r="BM184" s="528">
        <v>0</v>
      </c>
      <c r="BN184" s="528">
        <v>221952.63</v>
      </c>
      <c r="BO184" s="528">
        <v>51121.03</v>
      </c>
      <c r="BP184" s="528">
        <v>31273.159999999996</v>
      </c>
      <c r="BQ184" s="528">
        <v>304346.82</v>
      </c>
      <c r="BR184" s="528">
        <v>45567.26</v>
      </c>
      <c r="BS184" s="528">
        <v>-35403.25</v>
      </c>
      <c r="BT184" s="528">
        <v>10164.010000000002</v>
      </c>
      <c r="BU184" s="528">
        <v>0</v>
      </c>
      <c r="BV184" s="528">
        <v>0</v>
      </c>
      <c r="BW184" s="528">
        <v>0</v>
      </c>
      <c r="BX184" s="528">
        <v>0</v>
      </c>
      <c r="BY184" s="528">
        <v>0</v>
      </c>
      <c r="BZ184" s="528">
        <v>0</v>
      </c>
      <c r="CA184" s="528">
        <v>0</v>
      </c>
      <c r="CB184" s="528">
        <v>0</v>
      </c>
      <c r="CC184" s="528">
        <v>0</v>
      </c>
      <c r="CD184" s="528">
        <v>2114597.4560000002</v>
      </c>
      <c r="CE184" s="528">
        <v>0</v>
      </c>
      <c r="CF184" s="528">
        <v>10164.010000000002</v>
      </c>
      <c r="CG184" s="528">
        <v>0</v>
      </c>
      <c r="CH184" s="528">
        <v>0</v>
      </c>
      <c r="CI184" s="528">
        <f t="shared" si="2"/>
        <v>2124761.466</v>
      </c>
      <c r="CJ184" s="528">
        <v>50000</v>
      </c>
      <c r="CK184" s="528">
        <v>1381.62</v>
      </c>
      <c r="CL184" s="528">
        <v>0</v>
      </c>
      <c r="CM184" s="528">
        <v>48618.38</v>
      </c>
      <c r="CN184" s="528">
        <v>0</v>
      </c>
      <c r="CO184" s="528">
        <v>0</v>
      </c>
      <c r="CP184" s="528">
        <v>30254.06</v>
      </c>
      <c r="CQ184" s="528">
        <v>81.45</v>
      </c>
      <c r="CR184" s="528">
        <v>-365206.61</v>
      </c>
      <c r="CS184" s="528">
        <v>-286252.71999999997</v>
      </c>
      <c r="CT184" s="528">
        <v>2301854.85</v>
      </c>
      <c r="CU184" s="528">
        <v>0</v>
      </c>
      <c r="CV184" s="528">
        <v>0</v>
      </c>
      <c r="CW184" s="528">
        <v>2301854.85</v>
      </c>
      <c r="CX184" s="528"/>
      <c r="CY184" s="528"/>
      <c r="CZ184" s="528"/>
      <c r="DA184" s="528">
        <v>0</v>
      </c>
      <c r="DB184" s="528">
        <v>2301854.85</v>
      </c>
      <c r="DC184" s="528">
        <v>195116.19</v>
      </c>
      <c r="DD184" s="528">
        <v>64977.95</v>
      </c>
      <c r="DE184" s="528">
        <v>25483.93</v>
      </c>
      <c r="DF184" s="528">
        <v>0</v>
      </c>
      <c r="DG184" s="528">
        <v>-128789.8</v>
      </c>
      <c r="DH184" s="528">
        <v>-47628.87</v>
      </c>
      <c r="DI184" s="528">
        <v>0</v>
      </c>
      <c r="DJ184" s="528">
        <v>0</v>
      </c>
      <c r="DK184" s="528">
        <v>109159.40000000002</v>
      </c>
      <c r="DL184" s="528">
        <v>0</v>
      </c>
      <c r="DM184" s="528">
        <v>0</v>
      </c>
      <c r="DN184" s="528">
        <v>0</v>
      </c>
      <c r="DO184" s="528">
        <v>0</v>
      </c>
      <c r="DP184" s="528">
        <v>0</v>
      </c>
      <c r="DQ184" s="529">
        <v>-6.0000000521540642E-2</v>
      </c>
      <c r="DR184" s="530">
        <v>6257037.8999999994</v>
      </c>
      <c r="DS184" s="531">
        <v>1559257.2939999998</v>
      </c>
      <c r="DT184" s="530">
        <v>126728.79000000001</v>
      </c>
      <c r="DU184" s="530">
        <v>193099.35</v>
      </c>
      <c r="DV184" s="530">
        <v>124593.3</v>
      </c>
      <c r="DW184" s="530">
        <v>0</v>
      </c>
    </row>
    <row r="185" spans="1:127" s="103" customFormat="1">
      <c r="A185" s="525">
        <v>5203</v>
      </c>
      <c r="B185" s="526" t="s">
        <v>825</v>
      </c>
      <c r="C185" s="525">
        <v>5203</v>
      </c>
      <c r="D185" s="527" t="s">
        <v>1284</v>
      </c>
      <c r="E185" s="527" t="s">
        <v>538</v>
      </c>
      <c r="F185" s="527" t="s">
        <v>5</v>
      </c>
      <c r="G185" s="527" t="s">
        <v>535</v>
      </c>
      <c r="H185" s="528">
        <v>1650489.36</v>
      </c>
      <c r="I185" s="528">
        <v>0</v>
      </c>
      <c r="J185" s="528">
        <v>70136.649999999994</v>
      </c>
      <c r="K185" s="528">
        <v>0</v>
      </c>
      <c r="L185" s="528">
        <v>36220</v>
      </c>
      <c r="M185" s="528">
        <v>7400</v>
      </c>
      <c r="N185" s="528">
        <v>0</v>
      </c>
      <c r="O185" s="528">
        <v>958.33</v>
      </c>
      <c r="P185" s="528">
        <v>27.02</v>
      </c>
      <c r="Q185" s="528">
        <v>17394.599999999999</v>
      </c>
      <c r="R185" s="528">
        <v>0</v>
      </c>
      <c r="S185" s="528">
        <v>0</v>
      </c>
      <c r="T185" s="528">
        <v>125102.39999999999</v>
      </c>
      <c r="U185" s="528">
        <v>21726.66</v>
      </c>
      <c r="V185" s="528">
        <v>0</v>
      </c>
      <c r="W185" s="528">
        <v>85.63</v>
      </c>
      <c r="X185" s="528">
        <v>126338</v>
      </c>
      <c r="Y185" s="528">
        <v>2055878.65</v>
      </c>
      <c r="Z185" s="528">
        <v>943906.49</v>
      </c>
      <c r="AA185" s="528">
        <v>0</v>
      </c>
      <c r="AB185" s="528">
        <v>340790.08</v>
      </c>
      <c r="AC185" s="528">
        <v>21911.97</v>
      </c>
      <c r="AD185" s="528">
        <v>101058.58</v>
      </c>
      <c r="AE185" s="528">
        <v>92416.57</v>
      </c>
      <c r="AF185" s="528">
        <v>153286.82</v>
      </c>
      <c r="AG185" s="528">
        <v>484</v>
      </c>
      <c r="AH185" s="528">
        <v>5544.33</v>
      </c>
      <c r="AI185" s="528">
        <v>0</v>
      </c>
      <c r="AJ185" s="528">
        <v>0</v>
      </c>
      <c r="AK185" s="528">
        <v>16514.23</v>
      </c>
      <c r="AL185" s="528">
        <v>5350.2</v>
      </c>
      <c r="AM185" s="528">
        <v>43368.12</v>
      </c>
      <c r="AN185" s="528">
        <v>5662.47</v>
      </c>
      <c r="AO185" s="528">
        <v>37345.019999999997</v>
      </c>
      <c r="AP185" s="528">
        <v>6271.17</v>
      </c>
      <c r="AQ185" s="528">
        <v>18229.82</v>
      </c>
      <c r="AR185" s="528">
        <v>46431.35</v>
      </c>
      <c r="AS185" s="528">
        <v>23211.98</v>
      </c>
      <c r="AT185" s="528">
        <v>0</v>
      </c>
      <c r="AU185" s="528">
        <v>21790.78</v>
      </c>
      <c r="AV185" s="528">
        <v>5589.75</v>
      </c>
      <c r="AW185" s="528">
        <v>0</v>
      </c>
      <c r="AX185" s="528">
        <v>57177.24</v>
      </c>
      <c r="AY185" s="528">
        <v>3930</v>
      </c>
      <c r="AZ185" s="528">
        <v>34132.1</v>
      </c>
      <c r="BA185" s="528">
        <v>62134.11</v>
      </c>
      <c r="BB185" s="528">
        <v>0</v>
      </c>
      <c r="BC185" s="528">
        <v>0</v>
      </c>
      <c r="BD185" s="528">
        <v>0</v>
      </c>
      <c r="BE185" s="528">
        <v>2046537.1800000006</v>
      </c>
      <c r="BF185" s="528">
        <v>73314.450000000157</v>
      </c>
      <c r="BG185" s="528">
        <v>9341.4699999992736</v>
      </c>
      <c r="BH185" s="528">
        <v>82655.919999999431</v>
      </c>
      <c r="BI185" s="528">
        <v>7685.5</v>
      </c>
      <c r="BJ185" s="528">
        <v>0</v>
      </c>
      <c r="BK185" s="528">
        <v>0</v>
      </c>
      <c r="BL185" s="528">
        <v>7685.5</v>
      </c>
      <c r="BM185" s="528">
        <v>7685.5</v>
      </c>
      <c r="BN185" s="528">
        <v>0</v>
      </c>
      <c r="BO185" s="528">
        <v>0</v>
      </c>
      <c r="BP185" s="528">
        <v>0</v>
      </c>
      <c r="BQ185" s="528">
        <v>7685.5</v>
      </c>
      <c r="BR185" s="528">
        <v>0</v>
      </c>
      <c r="BS185" s="528">
        <v>0</v>
      </c>
      <c r="BT185" s="528">
        <v>0</v>
      </c>
      <c r="BU185" s="528">
        <v>0</v>
      </c>
      <c r="BV185" s="528">
        <v>0</v>
      </c>
      <c r="BW185" s="528">
        <v>0</v>
      </c>
      <c r="BX185" s="528">
        <v>0</v>
      </c>
      <c r="BY185" s="528">
        <v>0</v>
      </c>
      <c r="BZ185" s="528">
        <v>0</v>
      </c>
      <c r="CA185" s="528">
        <v>0</v>
      </c>
      <c r="CB185" s="528">
        <v>0</v>
      </c>
      <c r="CC185" s="528">
        <v>0</v>
      </c>
      <c r="CD185" s="528">
        <v>82655.919999999431</v>
      </c>
      <c r="CE185" s="528">
        <v>0</v>
      </c>
      <c r="CF185" s="528">
        <v>0</v>
      </c>
      <c r="CG185" s="528">
        <v>0</v>
      </c>
      <c r="CH185" s="528">
        <v>0</v>
      </c>
      <c r="CI185" s="528">
        <f t="shared" si="2"/>
        <v>82655.919999999431</v>
      </c>
      <c r="CJ185" s="528">
        <v>75194.7</v>
      </c>
      <c r="CK185" s="528">
        <v>0</v>
      </c>
      <c r="CL185" s="528">
        <v>0</v>
      </c>
      <c r="CM185" s="528">
        <v>75194.7</v>
      </c>
      <c r="CN185" s="528">
        <v>0</v>
      </c>
      <c r="CO185" s="528">
        <v>0</v>
      </c>
      <c r="CP185" s="528">
        <v>4206.68</v>
      </c>
      <c r="CQ185" s="528">
        <v>0</v>
      </c>
      <c r="CR185" s="528">
        <v>0</v>
      </c>
      <c r="CS185" s="528">
        <v>79401.38</v>
      </c>
      <c r="CT185" s="528">
        <v>250</v>
      </c>
      <c r="CU185" s="528">
        <v>0</v>
      </c>
      <c r="CV185" s="528">
        <v>0</v>
      </c>
      <c r="CW185" s="528">
        <v>250</v>
      </c>
      <c r="CX185" s="528"/>
      <c r="CY185" s="528"/>
      <c r="CZ185" s="528"/>
      <c r="DA185" s="528">
        <v>0</v>
      </c>
      <c r="DB185" s="528">
        <v>250</v>
      </c>
      <c r="DC185" s="528">
        <v>0</v>
      </c>
      <c r="DD185" s="528">
        <v>21633.56</v>
      </c>
      <c r="DE185" s="528">
        <v>0</v>
      </c>
      <c r="DF185" s="528">
        <v>0</v>
      </c>
      <c r="DG185" s="528">
        <v>-4613.08</v>
      </c>
      <c r="DH185" s="528">
        <v>0</v>
      </c>
      <c r="DI185" s="528">
        <v>0</v>
      </c>
      <c r="DJ185" s="528">
        <v>-4556</v>
      </c>
      <c r="DK185" s="528">
        <v>12464.480000000003</v>
      </c>
      <c r="DL185" s="528">
        <v>0</v>
      </c>
      <c r="DM185" s="528">
        <v>0</v>
      </c>
      <c r="DN185" s="528">
        <v>-9459.94</v>
      </c>
      <c r="DO185" s="528">
        <v>0</v>
      </c>
      <c r="DP185" s="528">
        <v>0</v>
      </c>
      <c r="DQ185" s="529"/>
      <c r="DR185" s="530">
        <v>1653854.5100000002</v>
      </c>
      <c r="DS185" s="531">
        <v>392682.67000000039</v>
      </c>
      <c r="DT185" s="530">
        <v>3930</v>
      </c>
      <c r="DU185" s="530">
        <v>143482.34999999998</v>
      </c>
      <c r="DV185" s="530">
        <v>21726.66</v>
      </c>
      <c r="DW185" s="530">
        <v>-9459.94</v>
      </c>
    </row>
    <row r="186" spans="1:127" s="103" customFormat="1">
      <c r="A186" s="525">
        <v>5202</v>
      </c>
      <c r="B186" s="526" t="s">
        <v>827</v>
      </c>
      <c r="C186" s="525">
        <v>5202</v>
      </c>
      <c r="D186" s="527" t="s">
        <v>1284</v>
      </c>
      <c r="E186" s="527" t="s">
        <v>538</v>
      </c>
      <c r="F186" s="527" t="s">
        <v>5</v>
      </c>
      <c r="G186" s="527" t="s">
        <v>535</v>
      </c>
      <c r="H186" s="528">
        <v>1757664.47</v>
      </c>
      <c r="I186" s="528">
        <v>0</v>
      </c>
      <c r="J186" s="528">
        <v>127484.95</v>
      </c>
      <c r="K186" s="528">
        <v>0</v>
      </c>
      <c r="L186" s="528">
        <v>74700</v>
      </c>
      <c r="M186" s="528">
        <v>2228.2199999999998</v>
      </c>
      <c r="N186" s="528">
        <v>0</v>
      </c>
      <c r="O186" s="528">
        <v>67165.91</v>
      </c>
      <c r="P186" s="528">
        <v>34.18</v>
      </c>
      <c r="Q186" s="528">
        <v>97816.43</v>
      </c>
      <c r="R186" s="528">
        <v>0</v>
      </c>
      <c r="S186" s="528">
        <v>0</v>
      </c>
      <c r="T186" s="528">
        <v>99894.26</v>
      </c>
      <c r="U186" s="528">
        <v>44568.3</v>
      </c>
      <c r="V186" s="528">
        <v>0</v>
      </c>
      <c r="W186" s="528">
        <v>4.38</v>
      </c>
      <c r="X186" s="528">
        <v>19589</v>
      </c>
      <c r="Y186" s="528">
        <v>2291150.0999999992</v>
      </c>
      <c r="Z186" s="528">
        <v>1145677.81</v>
      </c>
      <c r="AA186" s="528">
        <v>0</v>
      </c>
      <c r="AB186" s="528">
        <v>244431.67</v>
      </c>
      <c r="AC186" s="528">
        <v>44433.74</v>
      </c>
      <c r="AD186" s="528">
        <v>131318.57</v>
      </c>
      <c r="AE186" s="528">
        <v>85968.81</v>
      </c>
      <c r="AF186" s="528">
        <v>90532.09</v>
      </c>
      <c r="AG186" s="528">
        <v>3548.33</v>
      </c>
      <c r="AH186" s="528">
        <v>7948.94</v>
      </c>
      <c r="AI186" s="528">
        <v>0</v>
      </c>
      <c r="AJ186" s="528">
        <v>0</v>
      </c>
      <c r="AK186" s="528">
        <v>25064.7</v>
      </c>
      <c r="AL186" s="528">
        <v>8766.16</v>
      </c>
      <c r="AM186" s="528">
        <v>43080.89</v>
      </c>
      <c r="AN186" s="528">
        <v>7307.58</v>
      </c>
      <c r="AO186" s="528">
        <v>34163.08</v>
      </c>
      <c r="AP186" s="528">
        <v>4213.47</v>
      </c>
      <c r="AQ186" s="528">
        <v>63340.130000000005</v>
      </c>
      <c r="AR186" s="528">
        <v>93332.160000000003</v>
      </c>
      <c r="AS186" s="528">
        <v>4441.66</v>
      </c>
      <c r="AT186" s="528">
        <v>0</v>
      </c>
      <c r="AU186" s="528">
        <v>44211.240000000005</v>
      </c>
      <c r="AV186" s="528">
        <v>10947.51</v>
      </c>
      <c r="AW186" s="528">
        <v>2070</v>
      </c>
      <c r="AX186" s="528">
        <v>44227.98</v>
      </c>
      <c r="AY186" s="528">
        <v>71916.47</v>
      </c>
      <c r="AZ186" s="528">
        <v>9025.2000000000007</v>
      </c>
      <c r="BA186" s="528">
        <v>36882.550000000003</v>
      </c>
      <c r="BB186" s="528">
        <v>0</v>
      </c>
      <c r="BC186" s="528">
        <v>0</v>
      </c>
      <c r="BD186" s="528">
        <v>0</v>
      </c>
      <c r="BE186" s="528">
        <v>2256850.7400000002</v>
      </c>
      <c r="BF186" s="528">
        <v>197488.27000000008</v>
      </c>
      <c r="BG186" s="528">
        <v>34299.359999998938</v>
      </c>
      <c r="BH186" s="528">
        <v>231787.62999999902</v>
      </c>
      <c r="BI186" s="528">
        <v>8050</v>
      </c>
      <c r="BJ186" s="528">
        <v>0</v>
      </c>
      <c r="BK186" s="528">
        <v>0</v>
      </c>
      <c r="BL186" s="528">
        <v>8050</v>
      </c>
      <c r="BM186" s="528">
        <v>0</v>
      </c>
      <c r="BN186" s="528">
        <v>0</v>
      </c>
      <c r="BO186" s="528">
        <v>0</v>
      </c>
      <c r="BP186" s="528">
        <v>0</v>
      </c>
      <c r="BQ186" s="528">
        <v>0</v>
      </c>
      <c r="BR186" s="528">
        <v>19419</v>
      </c>
      <c r="BS186" s="528">
        <v>8050</v>
      </c>
      <c r="BT186" s="528">
        <v>27469</v>
      </c>
      <c r="BU186" s="528">
        <v>0</v>
      </c>
      <c r="BV186" s="528">
        <v>0</v>
      </c>
      <c r="BW186" s="528">
        <v>0</v>
      </c>
      <c r="BX186" s="528">
        <v>0</v>
      </c>
      <c r="BY186" s="528">
        <v>0</v>
      </c>
      <c r="BZ186" s="528">
        <v>0</v>
      </c>
      <c r="CA186" s="528">
        <v>0</v>
      </c>
      <c r="CB186" s="528">
        <v>0</v>
      </c>
      <c r="CC186" s="528">
        <v>0</v>
      </c>
      <c r="CD186" s="528">
        <v>231787.62999999902</v>
      </c>
      <c r="CE186" s="528">
        <v>0</v>
      </c>
      <c r="CF186" s="528">
        <v>27469</v>
      </c>
      <c r="CG186" s="528">
        <v>0</v>
      </c>
      <c r="CH186" s="528">
        <v>0</v>
      </c>
      <c r="CI186" s="528">
        <f t="shared" si="2"/>
        <v>259256.62999999902</v>
      </c>
      <c r="CJ186" s="528">
        <v>351166.47</v>
      </c>
      <c r="CK186" s="528">
        <v>62774.23</v>
      </c>
      <c r="CL186" s="528">
        <v>0</v>
      </c>
      <c r="CM186" s="528">
        <v>288392.24</v>
      </c>
      <c r="CN186" s="528">
        <v>230.08</v>
      </c>
      <c r="CO186" s="528">
        <v>0</v>
      </c>
      <c r="CP186" s="528">
        <v>6961.12</v>
      </c>
      <c r="CQ186" s="528">
        <v>0</v>
      </c>
      <c r="CR186" s="528">
        <v>0</v>
      </c>
      <c r="CS186" s="528">
        <v>295583.44</v>
      </c>
      <c r="CT186" s="528">
        <v>612.03</v>
      </c>
      <c r="CU186" s="528">
        <v>0</v>
      </c>
      <c r="CV186" s="528">
        <v>0</v>
      </c>
      <c r="CW186" s="528">
        <v>612.03</v>
      </c>
      <c r="CX186" s="528"/>
      <c r="CY186" s="528"/>
      <c r="CZ186" s="528"/>
      <c r="DA186" s="528">
        <v>0</v>
      </c>
      <c r="DB186" s="528">
        <v>612.03</v>
      </c>
      <c r="DC186" s="528">
        <v>13165.5</v>
      </c>
      <c r="DD186" s="528">
        <v>0</v>
      </c>
      <c r="DE186" s="528">
        <v>0</v>
      </c>
      <c r="DF186" s="528">
        <v>0</v>
      </c>
      <c r="DG186" s="528">
        <v>-14713.58</v>
      </c>
      <c r="DH186" s="528">
        <v>-35390.770000000004</v>
      </c>
      <c r="DI186" s="528">
        <v>0</v>
      </c>
      <c r="DJ186" s="528">
        <v>0</v>
      </c>
      <c r="DK186" s="528">
        <v>-36938.850000000006</v>
      </c>
      <c r="DL186" s="528">
        <v>0</v>
      </c>
      <c r="DM186" s="528">
        <v>0</v>
      </c>
      <c r="DN186" s="528">
        <v>0</v>
      </c>
      <c r="DO186" s="528">
        <v>0</v>
      </c>
      <c r="DP186" s="528">
        <v>0</v>
      </c>
      <c r="DQ186" s="529">
        <v>1.0000000009313226E-2</v>
      </c>
      <c r="DR186" s="530">
        <v>1745911.0200000003</v>
      </c>
      <c r="DS186" s="531">
        <v>510939.72</v>
      </c>
      <c r="DT186" s="530">
        <v>71916.47</v>
      </c>
      <c r="DU186" s="530">
        <v>264910.77999999997</v>
      </c>
      <c r="DV186" s="530">
        <v>44568.3</v>
      </c>
      <c r="DW186" s="530">
        <v>0</v>
      </c>
    </row>
    <row r="187" spans="1:127" s="103" customFormat="1">
      <c r="A187" s="525">
        <v>2108</v>
      </c>
      <c r="B187" s="526" t="s">
        <v>829</v>
      </c>
      <c r="C187" s="525">
        <v>2108</v>
      </c>
      <c r="D187" s="527" t="s">
        <v>1284</v>
      </c>
      <c r="E187" s="527" t="s">
        <v>538</v>
      </c>
      <c r="F187" s="527" t="s">
        <v>5</v>
      </c>
      <c r="G187" s="527" t="s">
        <v>535</v>
      </c>
      <c r="H187" s="528">
        <v>5094626.16</v>
      </c>
      <c r="I187" s="528">
        <v>0</v>
      </c>
      <c r="J187" s="528">
        <v>360471.19</v>
      </c>
      <c r="K187" s="528">
        <v>0</v>
      </c>
      <c r="L187" s="528">
        <v>508560</v>
      </c>
      <c r="M187" s="528">
        <v>17395.71</v>
      </c>
      <c r="N187" s="528">
        <v>0</v>
      </c>
      <c r="O187" s="528">
        <v>0</v>
      </c>
      <c r="P187" s="528">
        <v>141074.28000000003</v>
      </c>
      <c r="Q187" s="528">
        <v>92143.19</v>
      </c>
      <c r="R187" s="528">
        <v>0</v>
      </c>
      <c r="S187" s="528">
        <v>0</v>
      </c>
      <c r="T187" s="528">
        <v>887.7</v>
      </c>
      <c r="U187" s="528">
        <v>0</v>
      </c>
      <c r="V187" s="528">
        <v>0</v>
      </c>
      <c r="W187" s="528">
        <v>28955.52</v>
      </c>
      <c r="X187" s="528">
        <v>143284</v>
      </c>
      <c r="Y187" s="528">
        <v>6387397.7500000009</v>
      </c>
      <c r="Z187" s="528">
        <v>2538374.0599999977</v>
      </c>
      <c r="AA187" s="528">
        <v>583.07999999999993</v>
      </c>
      <c r="AB187" s="528">
        <v>-12549.070000000012</v>
      </c>
      <c r="AC187" s="528">
        <v>997151.2600000028</v>
      </c>
      <c r="AD187" s="528">
        <v>537.68999999999983</v>
      </c>
      <c r="AE187" s="528">
        <v>0</v>
      </c>
      <c r="AF187" s="528">
        <v>1063535.7000000034</v>
      </c>
      <c r="AG187" s="528">
        <v>55773.439999999828</v>
      </c>
      <c r="AH187" s="528">
        <v>19969.12</v>
      </c>
      <c r="AI187" s="528">
        <v>0</v>
      </c>
      <c r="AJ187" s="528">
        <v>0</v>
      </c>
      <c r="AK187" s="528">
        <v>72684.369999999981</v>
      </c>
      <c r="AL187" s="528">
        <v>5602</v>
      </c>
      <c r="AM187" s="528">
        <v>4802.130000000001</v>
      </c>
      <c r="AN187" s="528">
        <v>3834.6</v>
      </c>
      <c r="AO187" s="528">
        <v>76924.37000000001</v>
      </c>
      <c r="AP187" s="528">
        <v>70489.570000000007</v>
      </c>
      <c r="AQ187" s="528">
        <v>71202.48</v>
      </c>
      <c r="AR187" s="528">
        <v>135499.95000000022</v>
      </c>
      <c r="AS187" s="528">
        <v>60</v>
      </c>
      <c r="AT187" s="528">
        <v>333.48</v>
      </c>
      <c r="AU187" s="528">
        <v>80953.98</v>
      </c>
      <c r="AV187" s="528">
        <v>24312.75</v>
      </c>
      <c r="AW187" s="528">
        <v>11150.6</v>
      </c>
      <c r="AX187" s="528">
        <v>498333.31999999995</v>
      </c>
      <c r="AY187" s="528">
        <v>297462.39000000013</v>
      </c>
      <c r="AZ187" s="528">
        <v>21209.22</v>
      </c>
      <c r="BA187" s="528">
        <v>357215.76999999979</v>
      </c>
      <c r="BB187" s="528">
        <v>0</v>
      </c>
      <c r="BC187" s="528">
        <v>0</v>
      </c>
      <c r="BD187" s="528">
        <v>0</v>
      </c>
      <c r="BE187" s="528">
        <v>6395446.2600000044</v>
      </c>
      <c r="BF187" s="528">
        <v>1099945.7299999995</v>
      </c>
      <c r="BG187" s="528">
        <v>-8048.5100000035018</v>
      </c>
      <c r="BH187" s="528">
        <v>1091897.219999996</v>
      </c>
      <c r="BI187" s="528">
        <v>13958.5</v>
      </c>
      <c r="BJ187" s="528">
        <v>0</v>
      </c>
      <c r="BK187" s="528">
        <v>0</v>
      </c>
      <c r="BL187" s="528">
        <v>13958.5</v>
      </c>
      <c r="BM187" s="528">
        <v>0</v>
      </c>
      <c r="BN187" s="528">
        <v>0</v>
      </c>
      <c r="BO187" s="528">
        <v>0</v>
      </c>
      <c r="BP187" s="528">
        <v>0</v>
      </c>
      <c r="BQ187" s="528">
        <v>0</v>
      </c>
      <c r="BR187" s="528">
        <v>132712</v>
      </c>
      <c r="BS187" s="528">
        <v>13958.5</v>
      </c>
      <c r="BT187" s="528">
        <v>146670.5</v>
      </c>
      <c r="BU187" s="528">
        <v>0</v>
      </c>
      <c r="BV187" s="528">
        <v>0</v>
      </c>
      <c r="BW187" s="528">
        <v>0</v>
      </c>
      <c r="BX187" s="528">
        <v>0</v>
      </c>
      <c r="BY187" s="528">
        <v>0</v>
      </c>
      <c r="BZ187" s="528">
        <v>0</v>
      </c>
      <c r="CA187" s="528">
        <v>0</v>
      </c>
      <c r="CB187" s="528">
        <v>0</v>
      </c>
      <c r="CC187" s="528">
        <v>0</v>
      </c>
      <c r="CD187" s="528">
        <v>1091897.219999996</v>
      </c>
      <c r="CE187" s="528">
        <v>0</v>
      </c>
      <c r="CF187" s="528">
        <v>146670.5</v>
      </c>
      <c r="CG187" s="528">
        <v>0</v>
      </c>
      <c r="CH187" s="528">
        <v>0</v>
      </c>
      <c r="CI187" s="528">
        <f t="shared" si="2"/>
        <v>1238567.719999996</v>
      </c>
      <c r="CJ187" s="528">
        <v>1791707.43</v>
      </c>
      <c r="CK187" s="528">
        <v>0</v>
      </c>
      <c r="CL187" s="528">
        <v>0</v>
      </c>
      <c r="CM187" s="528">
        <v>1791707.43</v>
      </c>
      <c r="CN187" s="528">
        <v>0</v>
      </c>
      <c r="CO187" s="528">
        <v>0</v>
      </c>
      <c r="CP187" s="528">
        <v>20181.95</v>
      </c>
      <c r="CQ187" s="528">
        <v>10791.71</v>
      </c>
      <c r="CR187" s="528">
        <v>-504992.22</v>
      </c>
      <c r="CS187" s="528">
        <v>1317688.8699999999</v>
      </c>
      <c r="CT187" s="528">
        <v>0</v>
      </c>
      <c r="CU187" s="528">
        <v>0</v>
      </c>
      <c r="CV187" s="528">
        <v>0</v>
      </c>
      <c r="CW187" s="528">
        <v>0</v>
      </c>
      <c r="CX187" s="528"/>
      <c r="CY187" s="528"/>
      <c r="CZ187" s="528"/>
      <c r="DA187" s="528">
        <v>0</v>
      </c>
      <c r="DB187" s="528">
        <v>0</v>
      </c>
      <c r="DC187" s="528">
        <v>0</v>
      </c>
      <c r="DD187" s="528">
        <v>31420.03</v>
      </c>
      <c r="DE187" s="528">
        <v>0</v>
      </c>
      <c r="DF187" s="528">
        <v>0</v>
      </c>
      <c r="DG187" s="528">
        <v>0</v>
      </c>
      <c r="DH187" s="528">
        <v>-110541.18</v>
      </c>
      <c r="DI187" s="528">
        <v>0</v>
      </c>
      <c r="DJ187" s="528">
        <v>0</v>
      </c>
      <c r="DK187" s="528">
        <v>-79121.149999999994</v>
      </c>
      <c r="DL187" s="528">
        <v>0</v>
      </c>
      <c r="DM187" s="528">
        <v>0</v>
      </c>
      <c r="DN187" s="528">
        <v>0</v>
      </c>
      <c r="DO187" s="528">
        <v>0</v>
      </c>
      <c r="DP187" s="528">
        <v>0</v>
      </c>
      <c r="DQ187" s="529">
        <v>0</v>
      </c>
      <c r="DR187" s="530">
        <v>4643406.1600000039</v>
      </c>
      <c r="DS187" s="531">
        <v>1752040.1000000006</v>
      </c>
      <c r="DT187" s="530">
        <v>297462.39000000013</v>
      </c>
      <c r="DU187" s="530">
        <v>234105.17000000004</v>
      </c>
      <c r="DV187" s="530">
        <v>0</v>
      </c>
      <c r="DW187" s="530">
        <v>0</v>
      </c>
    </row>
    <row r="188" spans="1:127" s="103" customFormat="1">
      <c r="A188" s="525">
        <v>1019</v>
      </c>
      <c r="B188" s="526" t="s">
        <v>873</v>
      </c>
      <c r="C188" s="525">
        <v>1019</v>
      </c>
      <c r="D188" s="527" t="s">
        <v>1284</v>
      </c>
      <c r="E188" s="527" t="s">
        <v>534</v>
      </c>
      <c r="F188" s="527" t="s">
        <v>5</v>
      </c>
      <c r="G188" s="527" t="s">
        <v>957</v>
      </c>
      <c r="H188" s="528">
        <v>863544.65</v>
      </c>
      <c r="I188" s="528">
        <v>0</v>
      </c>
      <c r="J188" s="528">
        <v>23140.19</v>
      </c>
      <c r="K188" s="528">
        <v>0</v>
      </c>
      <c r="L188" s="528">
        <v>0</v>
      </c>
      <c r="M188" s="528">
        <v>0</v>
      </c>
      <c r="N188" s="528">
        <v>0</v>
      </c>
      <c r="O188" s="528">
        <v>0</v>
      </c>
      <c r="P188" s="528">
        <v>131422.41</v>
      </c>
      <c r="Q188" s="528">
        <v>5789.15</v>
      </c>
      <c r="R188" s="528">
        <v>0</v>
      </c>
      <c r="S188" s="528">
        <v>0</v>
      </c>
      <c r="T188" s="528">
        <v>7146.3699999999953</v>
      </c>
      <c r="U188" s="528">
        <v>24000</v>
      </c>
      <c r="V188" s="528">
        <v>0</v>
      </c>
      <c r="W188" s="528">
        <v>0</v>
      </c>
      <c r="X188" s="528">
        <v>0</v>
      </c>
      <c r="Y188" s="528">
        <v>1055042.77</v>
      </c>
      <c r="Z188" s="528">
        <v>219576.99999999991</v>
      </c>
      <c r="AA188" s="528">
        <v>0</v>
      </c>
      <c r="AB188" s="528">
        <v>280299.87</v>
      </c>
      <c r="AC188" s="528">
        <v>1882.5500000000466</v>
      </c>
      <c r="AD188" s="528">
        <v>42575.42</v>
      </c>
      <c r="AE188" s="528">
        <v>22520</v>
      </c>
      <c r="AF188" s="528">
        <v>18158.750000000087</v>
      </c>
      <c r="AG188" s="528">
        <v>3259.8499999999876</v>
      </c>
      <c r="AH188" s="528">
        <v>4343.05</v>
      </c>
      <c r="AI188" s="528">
        <v>0</v>
      </c>
      <c r="AJ188" s="528">
        <v>0</v>
      </c>
      <c r="AK188" s="528">
        <v>19510.21</v>
      </c>
      <c r="AL188" s="528">
        <v>0</v>
      </c>
      <c r="AM188" s="528">
        <v>24492.2</v>
      </c>
      <c r="AN188" s="528">
        <v>974.04</v>
      </c>
      <c r="AO188" s="528">
        <v>13936.189999999964</v>
      </c>
      <c r="AP188" s="528">
        <v>5764</v>
      </c>
      <c r="AQ188" s="528">
        <v>8333.75</v>
      </c>
      <c r="AR188" s="528">
        <v>5110.2199999999866</v>
      </c>
      <c r="AS188" s="528">
        <v>1176</v>
      </c>
      <c r="AT188" s="528">
        <v>0</v>
      </c>
      <c r="AU188" s="528">
        <v>13484.550000000001</v>
      </c>
      <c r="AV188" s="528">
        <v>3291.75</v>
      </c>
      <c r="AW188" s="528">
        <v>0</v>
      </c>
      <c r="AX188" s="528">
        <v>6414.28</v>
      </c>
      <c r="AY188" s="528">
        <v>37321.589999999997</v>
      </c>
      <c r="AZ188" s="528">
        <v>0</v>
      </c>
      <c r="BA188" s="528">
        <v>86232.05</v>
      </c>
      <c r="BB188" s="528">
        <v>0</v>
      </c>
      <c r="BC188" s="528">
        <v>0</v>
      </c>
      <c r="BD188" s="528">
        <v>0</v>
      </c>
      <c r="BE188" s="528">
        <v>818657.32000000007</v>
      </c>
      <c r="BF188" s="528">
        <v>-477525.38999999984</v>
      </c>
      <c r="BG188" s="528">
        <v>236385.44999999995</v>
      </c>
      <c r="BH188" s="528">
        <v>-241139.93999999989</v>
      </c>
      <c r="BI188" s="528">
        <v>5147.5</v>
      </c>
      <c r="BJ188" s="528">
        <v>0</v>
      </c>
      <c r="BK188" s="528">
        <v>0</v>
      </c>
      <c r="BL188" s="528">
        <v>5147.5</v>
      </c>
      <c r="BM188" s="528">
        <v>0</v>
      </c>
      <c r="BN188" s="528">
        <v>0</v>
      </c>
      <c r="BO188" s="528">
        <v>0</v>
      </c>
      <c r="BP188" s="528">
        <v>0</v>
      </c>
      <c r="BQ188" s="528">
        <v>0</v>
      </c>
      <c r="BR188" s="528">
        <v>42680.45</v>
      </c>
      <c r="BS188" s="528">
        <v>5147.5</v>
      </c>
      <c r="BT188" s="528">
        <v>47827.95</v>
      </c>
      <c r="BU188" s="528">
        <v>0</v>
      </c>
      <c r="BV188" s="528">
        <v>0</v>
      </c>
      <c r="BW188" s="528">
        <v>0</v>
      </c>
      <c r="BX188" s="528">
        <v>0</v>
      </c>
      <c r="BY188" s="528">
        <v>0</v>
      </c>
      <c r="BZ188" s="528">
        <v>0</v>
      </c>
      <c r="CA188" s="528">
        <v>0</v>
      </c>
      <c r="CB188" s="528">
        <v>0</v>
      </c>
      <c r="CC188" s="528">
        <v>0</v>
      </c>
      <c r="CD188" s="528">
        <v>-241139.94</v>
      </c>
      <c r="CE188" s="528">
        <v>0</v>
      </c>
      <c r="CF188" s="528">
        <v>47827.95</v>
      </c>
      <c r="CG188" s="528">
        <v>0</v>
      </c>
      <c r="CH188" s="528">
        <v>0</v>
      </c>
      <c r="CI188" s="528">
        <f t="shared" si="2"/>
        <v>-193311.99</v>
      </c>
      <c r="CJ188" s="528">
        <v>0</v>
      </c>
      <c r="CK188" s="528">
        <v>0</v>
      </c>
      <c r="CL188" s="528">
        <v>0</v>
      </c>
      <c r="CM188" s="528">
        <v>0</v>
      </c>
      <c r="CN188" s="528">
        <v>0</v>
      </c>
      <c r="CO188" s="528">
        <v>0</v>
      </c>
      <c r="CP188" s="528">
        <v>0</v>
      </c>
      <c r="CQ188" s="528">
        <v>0</v>
      </c>
      <c r="CR188" s="528">
        <v>0</v>
      </c>
      <c r="CS188" s="528">
        <v>0</v>
      </c>
      <c r="CT188" s="528">
        <v>0</v>
      </c>
      <c r="CU188" s="528">
        <v>0</v>
      </c>
      <c r="CV188" s="528">
        <v>0</v>
      </c>
      <c r="CW188" s="528">
        <v>0</v>
      </c>
      <c r="CX188" s="528"/>
      <c r="CY188" s="528"/>
      <c r="CZ188" s="528"/>
      <c r="DA188" s="528">
        <v>-192582.22999999986</v>
      </c>
      <c r="DB188" s="528">
        <v>-192582.22999999986</v>
      </c>
      <c r="DC188" s="528">
        <v>0</v>
      </c>
      <c r="DD188" s="528">
        <v>0</v>
      </c>
      <c r="DE188" s="528">
        <v>0</v>
      </c>
      <c r="DF188" s="528">
        <v>0</v>
      </c>
      <c r="DG188" s="528">
        <v>-729.76</v>
      </c>
      <c r="DH188" s="528">
        <v>0</v>
      </c>
      <c r="DI188" s="528">
        <v>0</v>
      </c>
      <c r="DJ188" s="528">
        <v>0</v>
      </c>
      <c r="DK188" s="528">
        <v>-729.76</v>
      </c>
      <c r="DL188" s="528">
        <v>0</v>
      </c>
      <c r="DM188" s="528">
        <v>0</v>
      </c>
      <c r="DN188" s="528">
        <v>0</v>
      </c>
      <c r="DO188" s="528">
        <v>0</v>
      </c>
      <c r="DP188" s="528">
        <v>0</v>
      </c>
      <c r="DQ188" s="529">
        <v>0</v>
      </c>
      <c r="DR188" s="530">
        <v>588273.44000000006</v>
      </c>
      <c r="DS188" s="531">
        <v>230383.88</v>
      </c>
      <c r="DT188" s="530">
        <v>37321.589999999997</v>
      </c>
      <c r="DU188" s="530">
        <v>144357.93</v>
      </c>
      <c r="DV188" s="530">
        <v>24000</v>
      </c>
      <c r="DW188" s="530">
        <v>0</v>
      </c>
    </row>
    <row r="189" spans="1:127" s="103" customFormat="1">
      <c r="A189" s="525">
        <v>2306</v>
      </c>
      <c r="B189" s="526" t="s">
        <v>831</v>
      </c>
      <c r="C189" s="525">
        <v>2306</v>
      </c>
      <c r="D189" s="527" t="s">
        <v>1284</v>
      </c>
      <c r="E189" s="527" t="s">
        <v>538</v>
      </c>
      <c r="F189" s="527" t="s">
        <v>5</v>
      </c>
      <c r="G189" s="527" t="s">
        <v>535</v>
      </c>
      <c r="H189" s="528">
        <v>1270425.44</v>
      </c>
      <c r="I189" s="528">
        <v>0</v>
      </c>
      <c r="J189" s="528">
        <v>23661.119999999999</v>
      </c>
      <c r="K189" s="528">
        <v>0</v>
      </c>
      <c r="L189" s="528">
        <v>113960</v>
      </c>
      <c r="M189" s="528">
        <v>6142.57</v>
      </c>
      <c r="N189" s="528">
        <v>0</v>
      </c>
      <c r="O189" s="528">
        <v>-50</v>
      </c>
      <c r="P189" s="528">
        <v>74643.650000000023</v>
      </c>
      <c r="Q189" s="528">
        <v>7422.13</v>
      </c>
      <c r="R189" s="528">
        <v>0</v>
      </c>
      <c r="S189" s="528">
        <v>0</v>
      </c>
      <c r="T189" s="528">
        <v>7222.71</v>
      </c>
      <c r="U189" s="528">
        <v>0</v>
      </c>
      <c r="V189" s="528">
        <v>0</v>
      </c>
      <c r="W189" s="528">
        <v>6790</v>
      </c>
      <c r="X189" s="528">
        <v>50657</v>
      </c>
      <c r="Y189" s="528">
        <v>1560874.62</v>
      </c>
      <c r="Z189" s="528">
        <v>716624.84000000113</v>
      </c>
      <c r="AA189" s="528">
        <v>1779.0000000000005</v>
      </c>
      <c r="AB189" s="528">
        <v>272135.09000000003</v>
      </c>
      <c r="AC189" s="528">
        <v>43834.27000000031</v>
      </c>
      <c r="AD189" s="528">
        <v>103017.88</v>
      </c>
      <c r="AE189" s="528">
        <v>0</v>
      </c>
      <c r="AF189" s="528">
        <v>58725.979999999661</v>
      </c>
      <c r="AG189" s="528">
        <v>0</v>
      </c>
      <c r="AH189" s="528">
        <v>18767.63</v>
      </c>
      <c r="AI189" s="528">
        <v>0</v>
      </c>
      <c r="AJ189" s="528">
        <v>4.32</v>
      </c>
      <c r="AK189" s="528">
        <v>24811.66</v>
      </c>
      <c r="AL189" s="528">
        <v>1565.5</v>
      </c>
      <c r="AM189" s="528">
        <v>1460.76</v>
      </c>
      <c r="AN189" s="528">
        <v>5329.54</v>
      </c>
      <c r="AO189" s="528">
        <v>26561.649999999998</v>
      </c>
      <c r="AP189" s="528">
        <v>19886.79</v>
      </c>
      <c r="AQ189" s="528">
        <v>1762.38</v>
      </c>
      <c r="AR189" s="528">
        <v>132979.56</v>
      </c>
      <c r="AS189" s="528">
        <v>0</v>
      </c>
      <c r="AT189" s="528">
        <v>24.04</v>
      </c>
      <c r="AU189" s="528">
        <v>9440.2999999999975</v>
      </c>
      <c r="AV189" s="528">
        <v>5139.75</v>
      </c>
      <c r="AW189" s="528">
        <v>2607</v>
      </c>
      <c r="AX189" s="528">
        <v>82190.499999999971</v>
      </c>
      <c r="AY189" s="528">
        <v>12535.400000000001</v>
      </c>
      <c r="AZ189" s="528">
        <v>5189.49</v>
      </c>
      <c r="BA189" s="528">
        <v>54360.240000000005</v>
      </c>
      <c r="BB189" s="528">
        <v>0</v>
      </c>
      <c r="BC189" s="528">
        <v>0</v>
      </c>
      <c r="BD189" s="528">
        <v>0</v>
      </c>
      <c r="BE189" s="528">
        <v>1600733.570000001</v>
      </c>
      <c r="BF189" s="528">
        <v>319770.74999999936</v>
      </c>
      <c r="BG189" s="528">
        <v>-39858.950000000885</v>
      </c>
      <c r="BH189" s="528">
        <v>279911.79999999847</v>
      </c>
      <c r="BI189" s="528">
        <v>26109</v>
      </c>
      <c r="BJ189" s="528">
        <v>0</v>
      </c>
      <c r="BK189" s="528">
        <v>0</v>
      </c>
      <c r="BL189" s="528">
        <v>26109</v>
      </c>
      <c r="BM189" s="528">
        <v>0</v>
      </c>
      <c r="BN189" s="528">
        <v>21372.31</v>
      </c>
      <c r="BO189" s="528">
        <v>0</v>
      </c>
      <c r="BP189" s="528">
        <v>3199</v>
      </c>
      <c r="BQ189" s="528">
        <v>24571.31</v>
      </c>
      <c r="BR189" s="528">
        <v>29505.29</v>
      </c>
      <c r="BS189" s="528">
        <v>1537.6899999999987</v>
      </c>
      <c r="BT189" s="528">
        <v>31042.98</v>
      </c>
      <c r="BU189" s="528">
        <v>0</v>
      </c>
      <c r="BV189" s="528">
        <v>0</v>
      </c>
      <c r="BW189" s="528">
        <v>0</v>
      </c>
      <c r="BX189" s="528">
        <v>0</v>
      </c>
      <c r="BY189" s="528">
        <v>0</v>
      </c>
      <c r="BZ189" s="528">
        <v>0</v>
      </c>
      <c r="CA189" s="528">
        <v>0</v>
      </c>
      <c r="CB189" s="528">
        <v>0</v>
      </c>
      <c r="CC189" s="528">
        <v>0</v>
      </c>
      <c r="CD189" s="528">
        <v>279911.79999999847</v>
      </c>
      <c r="CE189" s="528">
        <v>0</v>
      </c>
      <c r="CF189" s="528">
        <v>31042.98</v>
      </c>
      <c r="CG189" s="528">
        <v>0</v>
      </c>
      <c r="CH189" s="528">
        <v>0</v>
      </c>
      <c r="CI189" s="528">
        <f t="shared" si="2"/>
        <v>310954.77999999846</v>
      </c>
      <c r="CJ189" s="528">
        <v>458548.66</v>
      </c>
      <c r="CK189" s="528">
        <v>126</v>
      </c>
      <c r="CL189" s="528">
        <v>0</v>
      </c>
      <c r="CM189" s="528">
        <v>458422.66</v>
      </c>
      <c r="CN189" s="528">
        <v>0</v>
      </c>
      <c r="CO189" s="528">
        <v>0</v>
      </c>
      <c r="CP189" s="528">
        <v>3027.06</v>
      </c>
      <c r="CQ189" s="528">
        <v>0</v>
      </c>
      <c r="CR189" s="528">
        <v>-160885</v>
      </c>
      <c r="CS189" s="528">
        <v>300564.71999999997</v>
      </c>
      <c r="CT189" s="528">
        <v>0</v>
      </c>
      <c r="CU189" s="528">
        <v>0</v>
      </c>
      <c r="CV189" s="528">
        <v>0</v>
      </c>
      <c r="CW189" s="528">
        <v>0</v>
      </c>
      <c r="CX189" s="528"/>
      <c r="CY189" s="528"/>
      <c r="CZ189" s="528"/>
      <c r="DA189" s="528">
        <v>0</v>
      </c>
      <c r="DB189" s="528">
        <v>0</v>
      </c>
      <c r="DC189" s="528">
        <v>0</v>
      </c>
      <c r="DD189" s="528">
        <v>10389.74</v>
      </c>
      <c r="DE189" s="528">
        <v>0</v>
      </c>
      <c r="DF189" s="528">
        <v>0</v>
      </c>
      <c r="DG189" s="528">
        <v>0</v>
      </c>
      <c r="DH189" s="528">
        <v>0</v>
      </c>
      <c r="DI189" s="528">
        <v>0</v>
      </c>
      <c r="DJ189" s="528">
        <v>0</v>
      </c>
      <c r="DK189" s="528">
        <v>10389.74</v>
      </c>
      <c r="DL189" s="528">
        <v>0</v>
      </c>
      <c r="DM189" s="528">
        <v>0</v>
      </c>
      <c r="DN189" s="528">
        <v>0</v>
      </c>
      <c r="DO189" s="528">
        <v>0</v>
      </c>
      <c r="DP189" s="528">
        <v>0</v>
      </c>
      <c r="DQ189" s="529">
        <v>0.32000000000698492</v>
      </c>
      <c r="DR189" s="530">
        <v>1196117.0600000012</v>
      </c>
      <c r="DS189" s="531">
        <v>404616.50999999978</v>
      </c>
      <c r="DT189" s="530">
        <v>12535.400000000001</v>
      </c>
      <c r="DU189" s="530">
        <v>89238.490000000034</v>
      </c>
      <c r="DV189" s="530">
        <v>0</v>
      </c>
      <c r="DW189" s="530">
        <v>0</v>
      </c>
    </row>
    <row r="190" spans="1:127" s="103" customFormat="1">
      <c r="A190" s="525">
        <v>2308</v>
      </c>
      <c r="B190" s="526" t="s">
        <v>833</v>
      </c>
      <c r="C190" s="525">
        <v>2308</v>
      </c>
      <c r="D190" s="527" t="s">
        <v>1284</v>
      </c>
      <c r="E190" s="527" t="s">
        <v>538</v>
      </c>
      <c r="F190" s="527" t="s">
        <v>5</v>
      </c>
      <c r="G190" s="527" t="s">
        <v>535</v>
      </c>
      <c r="H190" s="528">
        <v>2690724.42</v>
      </c>
      <c r="I190" s="528">
        <v>0</v>
      </c>
      <c r="J190" s="528">
        <v>125308.44</v>
      </c>
      <c r="K190" s="528">
        <v>0</v>
      </c>
      <c r="L190" s="528">
        <v>337440</v>
      </c>
      <c r="M190" s="528">
        <v>2342.5700000000002</v>
      </c>
      <c r="N190" s="528">
        <v>0</v>
      </c>
      <c r="O190" s="528">
        <v>3217</v>
      </c>
      <c r="P190" s="528">
        <v>38012.36</v>
      </c>
      <c r="Q190" s="528">
        <v>35108.769999999997</v>
      </c>
      <c r="R190" s="528">
        <v>0</v>
      </c>
      <c r="S190" s="528">
        <v>0</v>
      </c>
      <c r="T190" s="528">
        <v>9010.7000000000007</v>
      </c>
      <c r="U190" s="528">
        <v>1100</v>
      </c>
      <c r="V190" s="528">
        <v>0</v>
      </c>
      <c r="W190" s="528">
        <v>11143.88</v>
      </c>
      <c r="X190" s="528">
        <v>49826</v>
      </c>
      <c r="Y190" s="528">
        <v>3303234.1399999997</v>
      </c>
      <c r="Z190" s="528">
        <v>1424416.2</v>
      </c>
      <c r="AA190" s="528">
        <v>0</v>
      </c>
      <c r="AB190" s="528">
        <v>610462.31000000006</v>
      </c>
      <c r="AC190" s="528">
        <v>133866.78</v>
      </c>
      <c r="AD190" s="528">
        <v>213164.35</v>
      </c>
      <c r="AE190" s="528">
        <v>98932.49</v>
      </c>
      <c r="AF190" s="528">
        <v>94683.62</v>
      </c>
      <c r="AG190" s="528">
        <v>-438.75</v>
      </c>
      <c r="AH190" s="528">
        <v>6652.22</v>
      </c>
      <c r="AI190" s="528">
        <v>0</v>
      </c>
      <c r="AJ190" s="528">
        <v>0</v>
      </c>
      <c r="AK190" s="528">
        <v>33117.85</v>
      </c>
      <c r="AL190" s="528">
        <v>5281.38</v>
      </c>
      <c r="AM190" s="528">
        <v>22538.11</v>
      </c>
      <c r="AN190" s="528">
        <v>10604.48</v>
      </c>
      <c r="AO190" s="528">
        <v>49728.39</v>
      </c>
      <c r="AP190" s="528">
        <v>36039.78</v>
      </c>
      <c r="AQ190" s="528">
        <v>13268.25</v>
      </c>
      <c r="AR190" s="528">
        <v>45016.27</v>
      </c>
      <c r="AS190" s="528">
        <v>25014.199999999997</v>
      </c>
      <c r="AT190" s="528">
        <v>0</v>
      </c>
      <c r="AU190" s="528">
        <v>58762.589999999989</v>
      </c>
      <c r="AV190" s="528">
        <v>9471</v>
      </c>
      <c r="AW190" s="528">
        <v>0</v>
      </c>
      <c r="AX190" s="528">
        <v>74386.139999999985</v>
      </c>
      <c r="AY190" s="528">
        <v>239292.77</v>
      </c>
      <c r="AZ190" s="528">
        <v>29420</v>
      </c>
      <c r="BA190" s="528">
        <v>143573.47</v>
      </c>
      <c r="BB190" s="528">
        <v>0</v>
      </c>
      <c r="BC190" s="528">
        <v>0</v>
      </c>
      <c r="BD190" s="528">
        <v>0</v>
      </c>
      <c r="BE190" s="528">
        <v>3377253.9000000008</v>
      </c>
      <c r="BF190" s="528">
        <v>506946.21999999945</v>
      </c>
      <c r="BG190" s="528">
        <v>-74019.760000001173</v>
      </c>
      <c r="BH190" s="528">
        <v>432926.45999999827</v>
      </c>
      <c r="BI190" s="528">
        <v>8892.6299999999992</v>
      </c>
      <c r="BJ190" s="528">
        <v>0</v>
      </c>
      <c r="BK190" s="528">
        <v>0</v>
      </c>
      <c r="BL190" s="528">
        <v>8892.6299999999992</v>
      </c>
      <c r="BM190" s="528">
        <v>0</v>
      </c>
      <c r="BN190" s="528">
        <v>0</v>
      </c>
      <c r="BO190" s="528">
        <v>0</v>
      </c>
      <c r="BP190" s="528">
        <v>0</v>
      </c>
      <c r="BQ190" s="528">
        <v>0</v>
      </c>
      <c r="BR190" s="528">
        <v>17537.740000000002</v>
      </c>
      <c r="BS190" s="528">
        <v>8892.6299999999992</v>
      </c>
      <c r="BT190" s="528">
        <v>26430.370000000003</v>
      </c>
      <c r="BU190" s="528">
        <v>0</v>
      </c>
      <c r="BV190" s="528">
        <v>0</v>
      </c>
      <c r="BW190" s="528">
        <v>0</v>
      </c>
      <c r="BX190" s="528">
        <v>0</v>
      </c>
      <c r="BY190" s="528">
        <v>0</v>
      </c>
      <c r="BZ190" s="528">
        <v>0</v>
      </c>
      <c r="CA190" s="528">
        <v>0</v>
      </c>
      <c r="CB190" s="528">
        <v>0</v>
      </c>
      <c r="CC190" s="528">
        <v>0</v>
      </c>
      <c r="CD190" s="528">
        <v>432926.45999999827</v>
      </c>
      <c r="CE190" s="528">
        <v>0</v>
      </c>
      <c r="CF190" s="528">
        <v>26430.370000000003</v>
      </c>
      <c r="CG190" s="528">
        <v>0</v>
      </c>
      <c r="CH190" s="528">
        <v>0</v>
      </c>
      <c r="CI190" s="528">
        <f t="shared" si="2"/>
        <v>459356.82999999827</v>
      </c>
      <c r="CJ190" s="528">
        <v>445156.52</v>
      </c>
      <c r="CK190" s="528">
        <v>275205.09000000003</v>
      </c>
      <c r="CL190" s="528">
        <v>0</v>
      </c>
      <c r="CM190" s="528">
        <v>169951.43</v>
      </c>
      <c r="CN190" s="528">
        <v>0</v>
      </c>
      <c r="CO190" s="528">
        <v>0</v>
      </c>
      <c r="CP190" s="528">
        <v>13044.74</v>
      </c>
      <c r="CQ190" s="528">
        <v>0</v>
      </c>
      <c r="CR190" s="528">
        <v>-1703.27</v>
      </c>
      <c r="CS190" s="528">
        <v>181292.9</v>
      </c>
      <c r="CT190" s="528">
        <v>296911.31</v>
      </c>
      <c r="CU190" s="528">
        <v>0</v>
      </c>
      <c r="CV190" s="528">
        <v>0</v>
      </c>
      <c r="CW190" s="528">
        <v>296911.31</v>
      </c>
      <c r="CX190" s="528"/>
      <c r="CY190" s="528"/>
      <c r="CZ190" s="528"/>
      <c r="DA190" s="528">
        <v>0</v>
      </c>
      <c r="DB190" s="528">
        <v>296911.31</v>
      </c>
      <c r="DC190" s="528">
        <v>0</v>
      </c>
      <c r="DD190" s="528">
        <v>0</v>
      </c>
      <c r="DE190" s="528">
        <v>0</v>
      </c>
      <c r="DF190" s="528">
        <v>0</v>
      </c>
      <c r="DG190" s="528">
        <v>-12812.75</v>
      </c>
      <c r="DH190" s="528">
        <v>-6034.56</v>
      </c>
      <c r="DI190" s="528">
        <v>0</v>
      </c>
      <c r="DJ190" s="528">
        <v>0</v>
      </c>
      <c r="DK190" s="528">
        <v>-18847.310000000001</v>
      </c>
      <c r="DL190" s="528">
        <v>0</v>
      </c>
      <c r="DM190" s="528">
        <v>0</v>
      </c>
      <c r="DN190" s="528">
        <v>0</v>
      </c>
      <c r="DO190" s="528">
        <v>0</v>
      </c>
      <c r="DP190" s="528">
        <v>0</v>
      </c>
      <c r="DQ190" s="529">
        <v>-6.9999999948777258E-2</v>
      </c>
      <c r="DR190" s="530">
        <v>2575087.0000000005</v>
      </c>
      <c r="DS190" s="531">
        <v>802166.90000000037</v>
      </c>
      <c r="DT190" s="530">
        <v>239292.77</v>
      </c>
      <c r="DU190" s="530">
        <v>85348.83</v>
      </c>
      <c r="DV190" s="530">
        <v>1100</v>
      </c>
      <c r="DW190" s="530">
        <v>0</v>
      </c>
    </row>
    <row r="191" spans="1:127" s="103" customFormat="1" ht="31.2">
      <c r="A191" s="525">
        <v>2245</v>
      </c>
      <c r="B191" s="526" t="s">
        <v>835</v>
      </c>
      <c r="C191" s="525">
        <v>2245</v>
      </c>
      <c r="D191" s="527" t="s">
        <v>1284</v>
      </c>
      <c r="E191" s="527" t="s">
        <v>538</v>
      </c>
      <c r="F191" s="527" t="s">
        <v>5</v>
      </c>
      <c r="G191" s="527" t="s">
        <v>535</v>
      </c>
      <c r="H191" s="528">
        <v>1673592.95</v>
      </c>
      <c r="I191" s="528">
        <v>0</v>
      </c>
      <c r="J191" s="528">
        <v>169034.9</v>
      </c>
      <c r="K191" s="528">
        <v>0</v>
      </c>
      <c r="L191" s="528">
        <v>201280</v>
      </c>
      <c r="M191" s="528">
        <v>856.93</v>
      </c>
      <c r="N191" s="528">
        <v>0</v>
      </c>
      <c r="O191" s="528">
        <v>260</v>
      </c>
      <c r="P191" s="528">
        <v>12656.67</v>
      </c>
      <c r="Q191" s="528">
        <v>0</v>
      </c>
      <c r="R191" s="528">
        <v>0</v>
      </c>
      <c r="S191" s="528">
        <v>0</v>
      </c>
      <c r="T191" s="528">
        <v>0</v>
      </c>
      <c r="U191" s="528">
        <v>24217.91</v>
      </c>
      <c r="V191" s="528">
        <v>0</v>
      </c>
      <c r="W191" s="528">
        <v>8083.25</v>
      </c>
      <c r="X191" s="528">
        <v>33281</v>
      </c>
      <c r="Y191" s="528">
        <v>2123263.6099999994</v>
      </c>
      <c r="Z191" s="528">
        <v>872625.20000000135</v>
      </c>
      <c r="AA191" s="528">
        <v>0</v>
      </c>
      <c r="AB191" s="528">
        <v>356156.64</v>
      </c>
      <c r="AC191" s="528">
        <v>78590.67000000074</v>
      </c>
      <c r="AD191" s="528">
        <v>171037.93</v>
      </c>
      <c r="AE191" s="528">
        <v>0</v>
      </c>
      <c r="AF191" s="528">
        <v>12342.609999999637</v>
      </c>
      <c r="AG191" s="528">
        <v>6864.170000000051</v>
      </c>
      <c r="AH191" s="528">
        <v>4288.6899999999996</v>
      </c>
      <c r="AI191" s="528">
        <v>0</v>
      </c>
      <c r="AJ191" s="528">
        <v>3476.15</v>
      </c>
      <c r="AK191" s="528">
        <v>10875.28</v>
      </c>
      <c r="AL191" s="528">
        <v>2730</v>
      </c>
      <c r="AM191" s="528">
        <v>190.55</v>
      </c>
      <c r="AN191" s="528">
        <v>4797.7</v>
      </c>
      <c r="AO191" s="528">
        <v>35377.29</v>
      </c>
      <c r="AP191" s="528">
        <v>18595.43</v>
      </c>
      <c r="AQ191" s="528">
        <v>15766.4</v>
      </c>
      <c r="AR191" s="528">
        <v>85183.330000000133</v>
      </c>
      <c r="AS191" s="528">
        <v>4756.5</v>
      </c>
      <c r="AT191" s="528">
        <v>52582</v>
      </c>
      <c r="AU191" s="528">
        <v>0</v>
      </c>
      <c r="AV191" s="528">
        <v>5139.75</v>
      </c>
      <c r="AW191" s="528">
        <v>3676.4</v>
      </c>
      <c r="AX191" s="528">
        <v>121801.60000000001</v>
      </c>
      <c r="AY191" s="528">
        <v>238425.51</v>
      </c>
      <c r="AZ191" s="528">
        <v>37175.700000000004</v>
      </c>
      <c r="BA191" s="528">
        <v>159849.27000000002</v>
      </c>
      <c r="BB191" s="528">
        <v>0</v>
      </c>
      <c r="BC191" s="528">
        <v>0</v>
      </c>
      <c r="BD191" s="528">
        <v>0</v>
      </c>
      <c r="BE191" s="528">
        <v>2302304.7700000019</v>
      </c>
      <c r="BF191" s="528">
        <v>204337.54000000044</v>
      </c>
      <c r="BG191" s="528">
        <v>-179041.16000000248</v>
      </c>
      <c r="BH191" s="528">
        <v>25296.379999997967</v>
      </c>
      <c r="BI191" s="528">
        <v>6551.5</v>
      </c>
      <c r="BJ191" s="528">
        <v>0</v>
      </c>
      <c r="BK191" s="528">
        <v>0</v>
      </c>
      <c r="BL191" s="528">
        <v>6551.5</v>
      </c>
      <c r="BM191" s="528">
        <v>0</v>
      </c>
      <c r="BN191" s="528">
        <v>5203.83</v>
      </c>
      <c r="BO191" s="528">
        <v>0</v>
      </c>
      <c r="BP191" s="528">
        <v>1888.07</v>
      </c>
      <c r="BQ191" s="528">
        <v>7091.9</v>
      </c>
      <c r="BR191" s="528">
        <v>45641.729999999996</v>
      </c>
      <c r="BS191" s="528">
        <v>-540.39999999999964</v>
      </c>
      <c r="BT191" s="528">
        <v>45101.329999999994</v>
      </c>
      <c r="BU191" s="528">
        <v>0</v>
      </c>
      <c r="BV191" s="528">
        <v>0</v>
      </c>
      <c r="BW191" s="528">
        <v>0</v>
      </c>
      <c r="BX191" s="528">
        <v>0</v>
      </c>
      <c r="BY191" s="528">
        <v>0</v>
      </c>
      <c r="BZ191" s="528">
        <v>0</v>
      </c>
      <c r="CA191" s="528">
        <v>0</v>
      </c>
      <c r="CB191" s="528">
        <v>0</v>
      </c>
      <c r="CC191" s="528">
        <v>0</v>
      </c>
      <c r="CD191" s="528">
        <v>25296.379999997967</v>
      </c>
      <c r="CE191" s="528">
        <v>0</v>
      </c>
      <c r="CF191" s="528">
        <v>45101.329999999994</v>
      </c>
      <c r="CG191" s="528">
        <v>0</v>
      </c>
      <c r="CH191" s="528">
        <v>0</v>
      </c>
      <c r="CI191" s="528">
        <f t="shared" si="2"/>
        <v>70397.709999997955</v>
      </c>
      <c r="CJ191" s="528">
        <v>231188.33</v>
      </c>
      <c r="CK191" s="528">
        <v>338.22</v>
      </c>
      <c r="CL191" s="528">
        <v>0</v>
      </c>
      <c r="CM191" s="528">
        <v>230850.11</v>
      </c>
      <c r="CN191" s="528">
        <v>0</v>
      </c>
      <c r="CO191" s="528">
        <v>0</v>
      </c>
      <c r="CP191" s="528">
        <v>4217.21</v>
      </c>
      <c r="CQ191" s="528">
        <v>0</v>
      </c>
      <c r="CR191" s="528">
        <v>-120067.83</v>
      </c>
      <c r="CS191" s="528">
        <v>114999.48999999998</v>
      </c>
      <c r="CT191" s="528">
        <v>0</v>
      </c>
      <c r="CU191" s="528">
        <v>0</v>
      </c>
      <c r="CV191" s="528">
        <v>0</v>
      </c>
      <c r="CW191" s="528">
        <v>0</v>
      </c>
      <c r="CX191" s="528"/>
      <c r="CY191" s="528"/>
      <c r="CZ191" s="528"/>
      <c r="DA191" s="528">
        <v>0</v>
      </c>
      <c r="DB191" s="528">
        <v>0</v>
      </c>
      <c r="DC191" s="528">
        <v>0</v>
      </c>
      <c r="DD191" s="528">
        <v>7671.67</v>
      </c>
      <c r="DE191" s="528">
        <v>0</v>
      </c>
      <c r="DF191" s="528">
        <v>0</v>
      </c>
      <c r="DG191" s="528">
        <v>-21652.79</v>
      </c>
      <c r="DH191" s="528">
        <v>-30620.66</v>
      </c>
      <c r="DI191" s="528">
        <v>0</v>
      </c>
      <c r="DJ191" s="528">
        <v>0</v>
      </c>
      <c r="DK191" s="528">
        <v>-44601.78</v>
      </c>
      <c r="DL191" s="528">
        <v>0</v>
      </c>
      <c r="DM191" s="528">
        <v>0</v>
      </c>
      <c r="DN191" s="528">
        <v>0</v>
      </c>
      <c r="DO191" s="528">
        <v>0</v>
      </c>
      <c r="DP191" s="528">
        <v>0</v>
      </c>
      <c r="DQ191" s="529">
        <v>0</v>
      </c>
      <c r="DR191" s="530">
        <v>1497617.2200000018</v>
      </c>
      <c r="DS191" s="531">
        <v>804687.55</v>
      </c>
      <c r="DT191" s="530">
        <v>238425.51</v>
      </c>
      <c r="DU191" s="530">
        <v>12916.67</v>
      </c>
      <c r="DV191" s="530">
        <v>24217.91</v>
      </c>
      <c r="DW191" s="530">
        <v>0</v>
      </c>
    </row>
    <row r="192" spans="1:127" s="103" customFormat="1">
      <c r="A192" s="525">
        <v>1020</v>
      </c>
      <c r="B192" s="526" t="s">
        <v>937</v>
      </c>
      <c r="C192" s="525">
        <v>1020</v>
      </c>
      <c r="D192" s="527" t="s">
        <v>1284</v>
      </c>
      <c r="E192" s="527" t="s">
        <v>534</v>
      </c>
      <c r="F192" s="527" t="s">
        <v>5</v>
      </c>
      <c r="G192" s="527" t="s">
        <v>958</v>
      </c>
      <c r="H192" s="528">
        <v>1305931.0900000001</v>
      </c>
      <c r="I192" s="528">
        <v>0</v>
      </c>
      <c r="J192" s="528">
        <v>72809.97</v>
      </c>
      <c r="K192" s="528">
        <v>0</v>
      </c>
      <c r="L192" s="528">
        <v>0</v>
      </c>
      <c r="M192" s="528">
        <v>0</v>
      </c>
      <c r="N192" s="528">
        <v>0</v>
      </c>
      <c r="O192" s="528">
        <v>1000</v>
      </c>
      <c r="P192" s="528">
        <v>0</v>
      </c>
      <c r="Q192" s="528">
        <v>0</v>
      </c>
      <c r="R192" s="528">
        <v>0</v>
      </c>
      <c r="S192" s="528">
        <v>0</v>
      </c>
      <c r="T192" s="528">
        <v>104734.65</v>
      </c>
      <c r="U192" s="528">
        <v>424893.08</v>
      </c>
      <c r="V192" s="528">
        <v>0</v>
      </c>
      <c r="W192" s="528">
        <v>0</v>
      </c>
      <c r="X192" s="528">
        <v>0</v>
      </c>
      <c r="Y192" s="528">
        <v>1909368.79</v>
      </c>
      <c r="Z192" s="528">
        <v>421825.90999999963</v>
      </c>
      <c r="AA192" s="528">
        <v>0</v>
      </c>
      <c r="AB192" s="528">
        <v>591421.76</v>
      </c>
      <c r="AC192" s="528">
        <v>79236.210000000021</v>
      </c>
      <c r="AD192" s="528">
        <v>56278.95</v>
      </c>
      <c r="AE192" s="528">
        <v>0</v>
      </c>
      <c r="AF192" s="528">
        <v>3831.6800000008661</v>
      </c>
      <c r="AG192" s="528">
        <v>4672.4499999999844</v>
      </c>
      <c r="AH192" s="528">
        <v>3061</v>
      </c>
      <c r="AI192" s="528">
        <v>0</v>
      </c>
      <c r="AJ192" s="528">
        <v>0</v>
      </c>
      <c r="AK192" s="528">
        <v>7665.2100000000019</v>
      </c>
      <c r="AL192" s="528">
        <v>0</v>
      </c>
      <c r="AM192" s="528">
        <v>14298.810000000001</v>
      </c>
      <c r="AN192" s="528">
        <v>4057.3</v>
      </c>
      <c r="AO192" s="528">
        <v>36036.550000000003</v>
      </c>
      <c r="AP192" s="528">
        <v>20981.57</v>
      </c>
      <c r="AQ192" s="528">
        <v>1966.6899999999998</v>
      </c>
      <c r="AR192" s="528">
        <v>37622.9</v>
      </c>
      <c r="AS192" s="528">
        <v>0</v>
      </c>
      <c r="AT192" s="528">
        <v>0</v>
      </c>
      <c r="AU192" s="528">
        <v>13372.159999999993</v>
      </c>
      <c r="AV192" s="528">
        <v>3291.75</v>
      </c>
      <c r="AW192" s="528">
        <v>0</v>
      </c>
      <c r="AX192" s="528">
        <v>18389.740000000002</v>
      </c>
      <c r="AY192" s="528">
        <v>265339.14</v>
      </c>
      <c r="AZ192" s="528">
        <v>7164.99</v>
      </c>
      <c r="BA192" s="528">
        <v>99413.260000000766</v>
      </c>
      <c r="BB192" s="528">
        <v>1264.3499999999999</v>
      </c>
      <c r="BC192" s="528">
        <v>0</v>
      </c>
      <c r="BD192" s="528">
        <v>0</v>
      </c>
      <c r="BE192" s="528">
        <v>1691192.3800000011</v>
      </c>
      <c r="BF192" s="528">
        <v>-431316.2</v>
      </c>
      <c r="BG192" s="528">
        <v>218176.40999999898</v>
      </c>
      <c r="BH192" s="528">
        <v>-213139.79000000103</v>
      </c>
      <c r="BI192" s="528">
        <v>5208.25</v>
      </c>
      <c r="BJ192" s="528">
        <v>0</v>
      </c>
      <c r="BK192" s="528">
        <v>0</v>
      </c>
      <c r="BL192" s="528">
        <v>5208.25</v>
      </c>
      <c r="BM192" s="528">
        <v>0</v>
      </c>
      <c r="BN192" s="528">
        <v>0</v>
      </c>
      <c r="BO192" s="528">
        <v>0</v>
      </c>
      <c r="BP192" s="528">
        <v>0</v>
      </c>
      <c r="BQ192" s="528">
        <v>0</v>
      </c>
      <c r="BR192" s="528">
        <v>46517.25</v>
      </c>
      <c r="BS192" s="528">
        <v>5208.25</v>
      </c>
      <c r="BT192" s="528">
        <v>51725.5</v>
      </c>
      <c r="BU192" s="528">
        <v>0</v>
      </c>
      <c r="BV192" s="528">
        <v>0</v>
      </c>
      <c r="BW192" s="528">
        <v>0</v>
      </c>
      <c r="BX192" s="528">
        <v>0</v>
      </c>
      <c r="BY192" s="528">
        <v>0</v>
      </c>
      <c r="BZ192" s="528">
        <v>0</v>
      </c>
      <c r="CA192" s="528">
        <v>0</v>
      </c>
      <c r="CB192" s="528">
        <v>0</v>
      </c>
      <c r="CC192" s="528">
        <v>0</v>
      </c>
      <c r="CD192" s="528">
        <v>-213139.79</v>
      </c>
      <c r="CE192" s="528">
        <v>0</v>
      </c>
      <c r="CF192" s="528">
        <v>51725.5</v>
      </c>
      <c r="CG192" s="528">
        <v>0</v>
      </c>
      <c r="CH192" s="528">
        <v>0</v>
      </c>
      <c r="CI192" s="528">
        <f t="shared" si="2"/>
        <v>-161414.29</v>
      </c>
      <c r="CJ192" s="528">
        <v>0</v>
      </c>
      <c r="CK192" s="528">
        <v>0</v>
      </c>
      <c r="CL192" s="528">
        <v>0</v>
      </c>
      <c r="CM192" s="528">
        <v>0</v>
      </c>
      <c r="CN192" s="528">
        <v>0</v>
      </c>
      <c r="CO192" s="528">
        <v>0</v>
      </c>
      <c r="CP192" s="528">
        <v>0</v>
      </c>
      <c r="CQ192" s="528">
        <v>0</v>
      </c>
      <c r="CR192" s="528">
        <v>0</v>
      </c>
      <c r="CS192" s="528">
        <v>0</v>
      </c>
      <c r="CT192" s="528">
        <v>0</v>
      </c>
      <c r="CU192" s="528">
        <v>0</v>
      </c>
      <c r="CV192" s="528">
        <v>0</v>
      </c>
      <c r="CW192" s="528">
        <v>0</v>
      </c>
      <c r="CX192" s="528"/>
      <c r="CY192" s="528"/>
      <c r="CZ192" s="528"/>
      <c r="DA192" s="528">
        <v>-134063.94000000102</v>
      </c>
      <c r="DB192" s="528">
        <v>-134063.94000000102</v>
      </c>
      <c r="DC192" s="528">
        <v>0</v>
      </c>
      <c r="DD192" s="528">
        <v>0</v>
      </c>
      <c r="DE192" s="528">
        <v>0</v>
      </c>
      <c r="DF192" s="528">
        <v>0</v>
      </c>
      <c r="DG192" s="528">
        <v>-27350.35</v>
      </c>
      <c r="DH192" s="528">
        <v>0</v>
      </c>
      <c r="DI192" s="528">
        <v>0</v>
      </c>
      <c r="DJ192" s="528">
        <v>0</v>
      </c>
      <c r="DK192" s="528">
        <v>-27350.35</v>
      </c>
      <c r="DL192" s="528">
        <v>0</v>
      </c>
      <c r="DM192" s="528">
        <v>0</v>
      </c>
      <c r="DN192" s="528">
        <v>0</v>
      </c>
      <c r="DO192" s="528">
        <v>0</v>
      </c>
      <c r="DP192" s="528">
        <v>0</v>
      </c>
      <c r="DQ192" s="529">
        <v>1.0186340659856796E-9</v>
      </c>
      <c r="DR192" s="530">
        <v>1157266.9600000004</v>
      </c>
      <c r="DS192" s="531">
        <v>533925.42000000062</v>
      </c>
      <c r="DT192" s="530">
        <v>265339.14</v>
      </c>
      <c r="DU192" s="530">
        <v>105734.65</v>
      </c>
      <c r="DV192" s="530">
        <v>424893.08</v>
      </c>
      <c r="DW192" s="530">
        <v>0</v>
      </c>
    </row>
    <row r="193" spans="1:127" s="103" customFormat="1">
      <c r="A193" s="535">
        <v>1014</v>
      </c>
      <c r="B193" s="536" t="s">
        <v>837</v>
      </c>
      <c r="C193" s="535">
        <v>1014</v>
      </c>
      <c r="D193" s="527" t="s">
        <v>1284</v>
      </c>
      <c r="E193" s="527" t="s">
        <v>534</v>
      </c>
      <c r="F193" s="97" t="s">
        <v>5</v>
      </c>
      <c r="G193" s="527" t="s">
        <v>535</v>
      </c>
      <c r="H193" s="537">
        <v>764704.48</v>
      </c>
      <c r="I193" s="537">
        <v>0</v>
      </c>
      <c r="J193" s="537">
        <v>45292.67</v>
      </c>
      <c r="K193" s="537">
        <v>0</v>
      </c>
      <c r="L193" s="537">
        <v>0</v>
      </c>
      <c r="M193" s="537">
        <v>22087.48</v>
      </c>
      <c r="N193" s="537">
        <v>0</v>
      </c>
      <c r="O193" s="537">
        <v>0</v>
      </c>
      <c r="P193" s="537">
        <v>36872.479999999996</v>
      </c>
      <c r="Q193" s="537">
        <v>0</v>
      </c>
      <c r="R193" s="537">
        <v>0</v>
      </c>
      <c r="S193" s="537">
        <v>0</v>
      </c>
      <c r="T193" s="537">
        <v>0</v>
      </c>
      <c r="U193" s="537">
        <v>12000</v>
      </c>
      <c r="V193" s="537">
        <v>0</v>
      </c>
      <c r="W193" s="537">
        <v>0</v>
      </c>
      <c r="X193" s="537">
        <v>0</v>
      </c>
      <c r="Y193" s="537">
        <v>880957.11</v>
      </c>
      <c r="Z193" s="537">
        <v>200807.43</v>
      </c>
      <c r="AA193" s="537">
        <v>0</v>
      </c>
      <c r="AB193" s="537">
        <v>151532.87000000002</v>
      </c>
      <c r="AC193" s="537">
        <v>27473.80999999991</v>
      </c>
      <c r="AD193" s="537">
        <v>123953.83</v>
      </c>
      <c r="AE193" s="537">
        <v>0</v>
      </c>
      <c r="AF193" s="537">
        <v>13325.549999999785</v>
      </c>
      <c r="AG193" s="537">
        <v>2045.7300000000059</v>
      </c>
      <c r="AH193" s="537">
        <v>7470.4</v>
      </c>
      <c r="AI193" s="537">
        <v>0</v>
      </c>
      <c r="AJ193" s="537">
        <v>0</v>
      </c>
      <c r="AK193" s="537">
        <v>37967.949999999997</v>
      </c>
      <c r="AL193" s="537">
        <v>4100.6099999999997</v>
      </c>
      <c r="AM193" s="537">
        <v>1481.8099999999997</v>
      </c>
      <c r="AN193" s="537">
        <v>1370.5</v>
      </c>
      <c r="AO193" s="537">
        <v>8715.82</v>
      </c>
      <c r="AP193" s="537">
        <v>0</v>
      </c>
      <c r="AQ193" s="537">
        <v>4523.67</v>
      </c>
      <c r="AR193" s="537">
        <v>14276.279999999992</v>
      </c>
      <c r="AS193" s="537">
        <v>654</v>
      </c>
      <c r="AT193" s="537">
        <v>0</v>
      </c>
      <c r="AU193" s="537">
        <v>52303.990000000005</v>
      </c>
      <c r="AV193" s="537">
        <v>3291.75</v>
      </c>
      <c r="AW193" s="537">
        <v>0</v>
      </c>
      <c r="AX193" s="537">
        <v>4533.130000000001</v>
      </c>
      <c r="AY193" s="537">
        <v>92015.560000000085</v>
      </c>
      <c r="AZ193" s="537">
        <v>0</v>
      </c>
      <c r="BA193" s="537">
        <v>66761.790000000008</v>
      </c>
      <c r="BB193" s="537">
        <v>0</v>
      </c>
      <c r="BC193" s="537">
        <v>0</v>
      </c>
      <c r="BD193" s="537">
        <v>0</v>
      </c>
      <c r="BE193" s="537">
        <v>818606.47999999986</v>
      </c>
      <c r="BF193" s="537">
        <v>206981.41000000003</v>
      </c>
      <c r="BG193" s="537">
        <v>62350.630000000121</v>
      </c>
      <c r="BH193" s="537">
        <v>269332.04000000015</v>
      </c>
      <c r="BI193" s="537">
        <v>4978.75</v>
      </c>
      <c r="BJ193" s="537">
        <v>0</v>
      </c>
      <c r="BK193" s="537">
        <v>0</v>
      </c>
      <c r="BL193" s="537">
        <v>4978.75</v>
      </c>
      <c r="BM193" s="537">
        <v>0</v>
      </c>
      <c r="BN193" s="537">
        <v>0</v>
      </c>
      <c r="BO193" s="537">
        <v>0</v>
      </c>
      <c r="BP193" s="537">
        <v>0</v>
      </c>
      <c r="BQ193" s="537">
        <v>0</v>
      </c>
      <c r="BR193" s="537">
        <v>24876.93</v>
      </c>
      <c r="BS193" s="537">
        <v>4978.75</v>
      </c>
      <c r="BT193" s="537">
        <v>29855.68</v>
      </c>
      <c r="BU193" s="537">
        <v>0</v>
      </c>
      <c r="BV193" s="537">
        <v>0</v>
      </c>
      <c r="BW193" s="537">
        <v>0</v>
      </c>
      <c r="BX193" s="537">
        <v>0</v>
      </c>
      <c r="BY193" s="537">
        <v>0</v>
      </c>
      <c r="BZ193" s="537">
        <v>0</v>
      </c>
      <c r="CA193" s="537">
        <v>0</v>
      </c>
      <c r="CB193" s="537">
        <v>0</v>
      </c>
      <c r="CC193" s="537">
        <v>0</v>
      </c>
      <c r="CD193" s="537">
        <v>269332.04000000015</v>
      </c>
      <c r="CE193" s="537"/>
      <c r="CF193" s="537">
        <v>29855.68</v>
      </c>
      <c r="CG193" s="537"/>
      <c r="CH193" s="537">
        <v>0</v>
      </c>
      <c r="CI193" s="528">
        <v>299187.72000000015</v>
      </c>
      <c r="CJ193" s="537">
        <v>351927.86</v>
      </c>
      <c r="CK193" s="537">
        <v>0</v>
      </c>
      <c r="CL193" s="537">
        <v>0</v>
      </c>
      <c r="CM193" s="537">
        <v>351927.86</v>
      </c>
      <c r="CN193" s="537">
        <v>0</v>
      </c>
      <c r="CO193" s="537">
        <v>0</v>
      </c>
      <c r="CP193" s="537">
        <v>0</v>
      </c>
      <c r="CQ193" s="537">
        <v>0</v>
      </c>
      <c r="CR193" s="537">
        <v>-58860.821199466096</v>
      </c>
      <c r="CS193" s="537">
        <v>293067.03880053386</v>
      </c>
      <c r="CT193" s="537">
        <v>0</v>
      </c>
      <c r="CU193" s="537">
        <v>0</v>
      </c>
      <c r="CV193" s="537">
        <v>0</v>
      </c>
      <c r="CW193" s="537">
        <v>0</v>
      </c>
      <c r="CX193" s="537"/>
      <c r="CY193" s="537"/>
      <c r="CZ193" s="537"/>
      <c r="DA193" s="537"/>
      <c r="DB193" s="537">
        <v>0</v>
      </c>
      <c r="DC193" s="537">
        <v>0</v>
      </c>
      <c r="DD193" s="537">
        <v>6246.3</v>
      </c>
      <c r="DE193" s="537">
        <v>0</v>
      </c>
      <c r="DF193" s="537">
        <v>0</v>
      </c>
      <c r="DG193" s="537">
        <v>0</v>
      </c>
      <c r="DH193" s="528">
        <v>-126</v>
      </c>
      <c r="DI193" s="537">
        <v>0</v>
      </c>
      <c r="DJ193" s="537">
        <v>0</v>
      </c>
      <c r="DK193" s="528">
        <v>6120.3</v>
      </c>
      <c r="DL193" s="537">
        <v>0</v>
      </c>
      <c r="DM193" s="537">
        <v>0</v>
      </c>
      <c r="DN193" s="537">
        <v>0</v>
      </c>
      <c r="DO193" s="537">
        <v>0</v>
      </c>
      <c r="DP193" s="537">
        <v>0</v>
      </c>
      <c r="DQ193" s="537">
        <v>1.1994661181233823E-3</v>
      </c>
      <c r="DR193" s="530">
        <v>680125.59999999963</v>
      </c>
      <c r="DS193" s="531">
        <v>299467.26000000013</v>
      </c>
      <c r="DT193" s="530">
        <v>92015.560000000085</v>
      </c>
      <c r="DU193" s="530">
        <v>36872.479999999996</v>
      </c>
      <c r="DV193" s="530">
        <v>12000</v>
      </c>
      <c r="DW193" s="530">
        <v>0</v>
      </c>
    </row>
    <row r="194" spans="1:127" s="103" customFormat="1">
      <c r="A194" s="133">
        <v>2019</v>
      </c>
      <c r="B194" s="133" t="s">
        <v>939</v>
      </c>
      <c r="C194" s="133">
        <v>2019</v>
      </c>
      <c r="D194" s="527" t="s">
        <v>1284</v>
      </c>
      <c r="E194" s="527" t="s">
        <v>538</v>
      </c>
      <c r="F194" s="133" t="s">
        <v>5</v>
      </c>
      <c r="G194" s="527" t="s">
        <v>958</v>
      </c>
      <c r="H194" s="530">
        <v>2344849.91</v>
      </c>
      <c r="I194" s="530">
        <v>0</v>
      </c>
      <c r="J194" s="530">
        <v>172470.33</v>
      </c>
      <c r="K194" s="530">
        <v>0</v>
      </c>
      <c r="L194" s="530">
        <v>296620</v>
      </c>
      <c r="M194" s="530">
        <v>-20030.55</v>
      </c>
      <c r="N194" s="530">
        <v>0</v>
      </c>
      <c r="O194" s="530">
        <v>0</v>
      </c>
      <c r="P194" s="530">
        <v>82589.50999999998</v>
      </c>
      <c r="Q194" s="530">
        <v>0</v>
      </c>
      <c r="R194" s="530">
        <v>0</v>
      </c>
      <c r="S194" s="530">
        <v>0</v>
      </c>
      <c r="T194" s="530">
        <v>33748.950000000004</v>
      </c>
      <c r="U194" s="530">
        <v>0</v>
      </c>
      <c r="V194" s="530">
        <v>0</v>
      </c>
      <c r="W194" s="530">
        <v>17745</v>
      </c>
      <c r="X194" s="530">
        <v>65659</v>
      </c>
      <c r="Y194" s="530">
        <v>2993652.1500000004</v>
      </c>
      <c r="Z194" s="530">
        <v>1464756.1800000004</v>
      </c>
      <c r="AA194" s="530">
        <v>0</v>
      </c>
      <c r="AB194" s="530">
        <v>297546.2</v>
      </c>
      <c r="AC194" s="530">
        <v>22841.970000000438</v>
      </c>
      <c r="AD194" s="530">
        <v>308002</v>
      </c>
      <c r="AE194" s="530">
        <v>0</v>
      </c>
      <c r="AF194" s="530">
        <v>76209.56999999992</v>
      </c>
      <c r="AG194" s="530">
        <v>1339.8700000000499</v>
      </c>
      <c r="AH194" s="530">
        <v>1914.4</v>
      </c>
      <c r="AI194" s="530">
        <v>0</v>
      </c>
      <c r="AJ194" s="530">
        <v>0</v>
      </c>
      <c r="AK194" s="530">
        <v>3251.880000000001</v>
      </c>
      <c r="AL194" s="530">
        <v>28690.959999999995</v>
      </c>
      <c r="AM194" s="530">
        <v>4091.8999999999996</v>
      </c>
      <c r="AN194" s="530">
        <v>36534.300000000003</v>
      </c>
      <c r="AO194" s="530">
        <v>91321.12</v>
      </c>
      <c r="AP194" s="530">
        <v>57582.77</v>
      </c>
      <c r="AQ194" s="530">
        <v>8870.23</v>
      </c>
      <c r="AR194" s="530">
        <v>54521.770000000004</v>
      </c>
      <c r="AS194" s="530">
        <v>0</v>
      </c>
      <c r="AT194" s="530">
        <v>0</v>
      </c>
      <c r="AU194" s="530">
        <v>167767.13000000018</v>
      </c>
      <c r="AV194" s="530">
        <v>0</v>
      </c>
      <c r="AW194" s="530">
        <v>0</v>
      </c>
      <c r="AX194" s="530">
        <v>159196.03000000003</v>
      </c>
      <c r="AY194" s="530">
        <v>11095.2</v>
      </c>
      <c r="AZ194" s="530">
        <v>36.059999999999491</v>
      </c>
      <c r="BA194" s="530">
        <v>269792.19</v>
      </c>
      <c r="BB194" s="530">
        <v>0</v>
      </c>
      <c r="BC194" s="530">
        <v>0</v>
      </c>
      <c r="BD194" s="530">
        <v>0</v>
      </c>
      <c r="BE194" s="530">
        <v>3065361.7300000014</v>
      </c>
      <c r="BF194" s="530">
        <v>194887.88999999972</v>
      </c>
      <c r="BG194" s="530">
        <v>-71709.580000001006</v>
      </c>
      <c r="BH194" s="530">
        <v>123178.30999999872</v>
      </c>
      <c r="BI194" s="530">
        <v>29632.48</v>
      </c>
      <c r="BJ194" s="530">
        <v>0</v>
      </c>
      <c r="BK194" s="530">
        <v>0</v>
      </c>
      <c r="BL194" s="530">
        <v>29632.48</v>
      </c>
      <c r="BM194" s="530">
        <v>0</v>
      </c>
      <c r="BN194" s="530">
        <v>0</v>
      </c>
      <c r="BO194" s="530">
        <v>0</v>
      </c>
      <c r="BP194" s="530">
        <v>0</v>
      </c>
      <c r="BQ194" s="530">
        <v>0</v>
      </c>
      <c r="BR194" s="530">
        <v>1255.239999999998</v>
      </c>
      <c r="BS194" s="530">
        <v>29632.48</v>
      </c>
      <c r="BT194" s="530">
        <v>30887.719999999998</v>
      </c>
      <c r="BU194" s="530">
        <v>0</v>
      </c>
      <c r="BV194" s="530">
        <v>0</v>
      </c>
      <c r="BW194" s="530">
        <v>0</v>
      </c>
      <c r="BX194" s="530">
        <v>0</v>
      </c>
      <c r="BY194" s="530">
        <v>0</v>
      </c>
      <c r="BZ194" s="530">
        <v>0</v>
      </c>
      <c r="CA194" s="530">
        <v>0</v>
      </c>
      <c r="CB194" s="530">
        <v>0</v>
      </c>
      <c r="CC194" s="530">
        <v>0</v>
      </c>
      <c r="CD194" s="530">
        <v>123178.31</v>
      </c>
      <c r="CE194" s="530">
        <v>0</v>
      </c>
      <c r="CF194" s="530">
        <v>30887.72</v>
      </c>
      <c r="CG194" s="530">
        <v>0</v>
      </c>
      <c r="CH194" s="530">
        <v>0</v>
      </c>
      <c r="CI194" s="528">
        <f t="shared" si="2"/>
        <v>154066.03</v>
      </c>
      <c r="CJ194" s="530">
        <v>0</v>
      </c>
      <c r="CK194" s="530">
        <v>0</v>
      </c>
      <c r="CL194" s="530">
        <v>0</v>
      </c>
      <c r="CM194" s="530">
        <v>0</v>
      </c>
      <c r="CN194" s="530">
        <v>0</v>
      </c>
      <c r="CO194" s="530">
        <v>0</v>
      </c>
      <c r="CP194" s="530">
        <v>0</v>
      </c>
      <c r="CQ194" s="530">
        <v>0</v>
      </c>
      <c r="CR194" s="530">
        <v>0</v>
      </c>
      <c r="CS194" s="530">
        <v>0</v>
      </c>
      <c r="CT194" s="530">
        <v>0</v>
      </c>
      <c r="CU194" s="530">
        <v>0</v>
      </c>
      <c r="CV194" s="530">
        <v>0</v>
      </c>
      <c r="CW194" s="530">
        <v>0</v>
      </c>
      <c r="CX194" s="530"/>
      <c r="CY194" s="530"/>
      <c r="CZ194" s="530"/>
      <c r="DA194" s="530">
        <v>149045.59999999873</v>
      </c>
      <c r="DB194" s="530">
        <v>149045.59999999873</v>
      </c>
      <c r="DC194" s="530">
        <v>0</v>
      </c>
      <c r="DD194" s="530">
        <v>5020.43</v>
      </c>
      <c r="DE194" s="530">
        <v>0</v>
      </c>
      <c r="DF194" s="530">
        <v>0</v>
      </c>
      <c r="DG194" s="530">
        <v>0</v>
      </c>
      <c r="DH194" s="528">
        <v>0</v>
      </c>
      <c r="DI194" s="530">
        <v>0</v>
      </c>
      <c r="DJ194" s="530">
        <v>0</v>
      </c>
      <c r="DK194" s="528">
        <v>5020.43</v>
      </c>
      <c r="DL194" s="530">
        <v>0</v>
      </c>
      <c r="DM194" s="530">
        <v>0</v>
      </c>
      <c r="DN194" s="530">
        <v>0</v>
      </c>
      <c r="DO194" s="530">
        <v>0</v>
      </c>
      <c r="DP194" s="530">
        <v>0</v>
      </c>
      <c r="DQ194" s="538">
        <v>1.280568540096283E-9</v>
      </c>
      <c r="DR194" s="530">
        <v>2170695.790000001</v>
      </c>
      <c r="DS194" s="531">
        <v>894665.94000000041</v>
      </c>
      <c r="DT194" s="530">
        <v>11095.2</v>
      </c>
      <c r="DU194" s="530">
        <v>116338.45999999999</v>
      </c>
      <c r="DV194" s="530">
        <v>0</v>
      </c>
      <c r="DW194" s="530">
        <v>0</v>
      </c>
    </row>
    <row r="195" spans="1:127" s="103" customFormat="1">
      <c r="A195" s="525">
        <v>2011</v>
      </c>
      <c r="B195" s="526" t="s">
        <v>839</v>
      </c>
      <c r="C195" s="525">
        <v>2011</v>
      </c>
      <c r="D195" s="527" t="s">
        <v>1284</v>
      </c>
      <c r="E195" s="527" t="s">
        <v>538</v>
      </c>
      <c r="F195" s="527" t="s">
        <v>5</v>
      </c>
      <c r="G195" s="527" t="s">
        <v>535</v>
      </c>
      <c r="H195" s="528">
        <v>3470607.35</v>
      </c>
      <c r="I195" s="528">
        <v>0</v>
      </c>
      <c r="J195" s="528">
        <v>140181.97</v>
      </c>
      <c r="K195" s="528">
        <v>0</v>
      </c>
      <c r="L195" s="528">
        <v>299610</v>
      </c>
      <c r="M195" s="528">
        <v>1913.86</v>
      </c>
      <c r="N195" s="528">
        <v>0</v>
      </c>
      <c r="O195" s="528">
        <v>17594.93</v>
      </c>
      <c r="P195" s="528">
        <v>68.94</v>
      </c>
      <c r="Q195" s="528">
        <v>46119.68</v>
      </c>
      <c r="R195" s="528">
        <v>0</v>
      </c>
      <c r="S195" s="528">
        <v>0</v>
      </c>
      <c r="T195" s="528">
        <v>35153.599999999999</v>
      </c>
      <c r="U195" s="528">
        <v>58071.24</v>
      </c>
      <c r="V195" s="528">
        <v>0</v>
      </c>
      <c r="W195" s="528">
        <v>11975</v>
      </c>
      <c r="X195" s="528">
        <v>96286</v>
      </c>
      <c r="Y195" s="528">
        <v>4177582.5700000008</v>
      </c>
      <c r="Z195" s="528">
        <v>2123594.4700000002</v>
      </c>
      <c r="AA195" s="528">
        <v>-338</v>
      </c>
      <c r="AB195" s="528">
        <v>269595.34000000003</v>
      </c>
      <c r="AC195" s="528">
        <v>0</v>
      </c>
      <c r="AD195" s="528">
        <v>222587.94</v>
      </c>
      <c r="AE195" s="528">
        <v>136639.09</v>
      </c>
      <c r="AF195" s="528">
        <v>75429.48</v>
      </c>
      <c r="AG195" s="528">
        <v>28809.51</v>
      </c>
      <c r="AH195" s="528">
        <v>1160</v>
      </c>
      <c r="AI195" s="528">
        <v>0</v>
      </c>
      <c r="AJ195" s="528">
        <v>0</v>
      </c>
      <c r="AK195" s="528">
        <v>3644.8</v>
      </c>
      <c r="AL195" s="528">
        <v>0</v>
      </c>
      <c r="AM195" s="528">
        <v>0</v>
      </c>
      <c r="AN195" s="528">
        <v>19828.63</v>
      </c>
      <c r="AO195" s="528">
        <v>41410.15</v>
      </c>
      <c r="AP195" s="528">
        <v>87256.25</v>
      </c>
      <c r="AQ195" s="528">
        <v>8678.2000000000007</v>
      </c>
      <c r="AR195" s="528">
        <v>155091.46000000002</v>
      </c>
      <c r="AS195" s="528">
        <v>58326.14</v>
      </c>
      <c r="AT195" s="528">
        <v>0</v>
      </c>
      <c r="AU195" s="528">
        <v>5403.84</v>
      </c>
      <c r="AV195" s="528">
        <v>18745.650000000001</v>
      </c>
      <c r="AW195" s="528">
        <v>5998</v>
      </c>
      <c r="AX195" s="528">
        <v>74815.63</v>
      </c>
      <c r="AY195" s="528">
        <v>352483.99</v>
      </c>
      <c r="AZ195" s="528">
        <v>58063.819999999992</v>
      </c>
      <c r="BA195" s="528">
        <v>109859.39</v>
      </c>
      <c r="BB195" s="528">
        <v>234603</v>
      </c>
      <c r="BC195" s="528">
        <v>0</v>
      </c>
      <c r="BD195" s="528">
        <v>0</v>
      </c>
      <c r="BE195" s="528">
        <v>4091686.7799999993</v>
      </c>
      <c r="BF195" s="528">
        <v>382019.71999999986</v>
      </c>
      <c r="BG195" s="528">
        <v>85895.790000001434</v>
      </c>
      <c r="BH195" s="528">
        <v>467915.51000000129</v>
      </c>
      <c r="BI195" s="528">
        <v>11080.75</v>
      </c>
      <c r="BJ195" s="528">
        <v>0</v>
      </c>
      <c r="BK195" s="528">
        <v>0</v>
      </c>
      <c r="BL195" s="528">
        <v>11080.75</v>
      </c>
      <c r="BM195" s="528">
        <v>0</v>
      </c>
      <c r="BN195" s="528">
        <v>0</v>
      </c>
      <c r="BO195" s="528">
        <v>0</v>
      </c>
      <c r="BP195" s="528">
        <v>0</v>
      </c>
      <c r="BQ195" s="528">
        <v>0</v>
      </c>
      <c r="BR195" s="528">
        <v>36951.25</v>
      </c>
      <c r="BS195" s="528">
        <v>11080.75</v>
      </c>
      <c r="BT195" s="528">
        <v>48032</v>
      </c>
      <c r="BU195" s="528">
        <v>0</v>
      </c>
      <c r="BV195" s="528">
        <v>0</v>
      </c>
      <c r="BW195" s="528">
        <v>0</v>
      </c>
      <c r="BX195" s="528">
        <v>0</v>
      </c>
      <c r="BY195" s="528">
        <v>0</v>
      </c>
      <c r="BZ195" s="528">
        <v>0</v>
      </c>
      <c r="CA195" s="528">
        <v>0</v>
      </c>
      <c r="CB195" s="528">
        <v>0</v>
      </c>
      <c r="CC195" s="528">
        <v>0</v>
      </c>
      <c r="CD195" s="528">
        <v>467915.51000000129</v>
      </c>
      <c r="CE195" s="528">
        <v>0</v>
      </c>
      <c r="CF195" s="528">
        <v>48032</v>
      </c>
      <c r="CG195" s="528">
        <v>0</v>
      </c>
      <c r="CH195" s="528">
        <v>0</v>
      </c>
      <c r="CI195" s="528">
        <f t="shared" si="2"/>
        <v>515947.51000000129</v>
      </c>
      <c r="CJ195" s="528">
        <v>567708.17000000004</v>
      </c>
      <c r="CK195" s="528">
        <v>21531.47</v>
      </c>
      <c r="CL195" s="528">
        <v>0</v>
      </c>
      <c r="CM195" s="528">
        <v>546176.70000000007</v>
      </c>
      <c r="CN195" s="528">
        <v>0</v>
      </c>
      <c r="CO195" s="528">
        <v>0</v>
      </c>
      <c r="CP195" s="528">
        <v>14633.39</v>
      </c>
      <c r="CQ195" s="528">
        <v>0</v>
      </c>
      <c r="CR195" s="528">
        <v>8436.02</v>
      </c>
      <c r="CS195" s="528">
        <v>569246.1100000001</v>
      </c>
      <c r="CT195" s="528">
        <v>0</v>
      </c>
      <c r="CU195" s="528">
        <v>0</v>
      </c>
      <c r="CV195" s="528">
        <v>0</v>
      </c>
      <c r="CW195" s="528">
        <v>0</v>
      </c>
      <c r="CX195" s="528"/>
      <c r="CY195" s="528"/>
      <c r="CZ195" s="528"/>
      <c r="DA195" s="528">
        <v>0</v>
      </c>
      <c r="DB195" s="528">
        <v>0</v>
      </c>
      <c r="DC195" s="528">
        <v>0</v>
      </c>
      <c r="DD195" s="528">
        <v>0</v>
      </c>
      <c r="DE195" s="528">
        <v>0</v>
      </c>
      <c r="DF195" s="528">
        <v>0</v>
      </c>
      <c r="DG195" s="528">
        <v>-53036.800000000003</v>
      </c>
      <c r="DH195" s="528">
        <v>-261.8</v>
      </c>
      <c r="DI195" s="528">
        <v>0</v>
      </c>
      <c r="DJ195" s="528">
        <v>0</v>
      </c>
      <c r="DK195" s="528">
        <v>-53298.600000000006</v>
      </c>
      <c r="DL195" s="528">
        <v>0</v>
      </c>
      <c r="DM195" s="528">
        <v>0</v>
      </c>
      <c r="DN195" s="528">
        <v>0</v>
      </c>
      <c r="DO195" s="528">
        <v>0</v>
      </c>
      <c r="DP195" s="528">
        <v>0</v>
      </c>
      <c r="DQ195" s="529">
        <v>0</v>
      </c>
      <c r="DR195" s="530">
        <v>2856317.8299999996</v>
      </c>
      <c r="DS195" s="531">
        <v>1235368.9499999997</v>
      </c>
      <c r="DT195" s="530">
        <v>352483.99</v>
      </c>
      <c r="DU195" s="530">
        <v>98937.15</v>
      </c>
      <c r="DV195" s="530">
        <v>58071.24</v>
      </c>
      <c r="DW195" s="530">
        <v>0</v>
      </c>
    </row>
    <row r="196" spans="1:127" s="103" customFormat="1">
      <c r="A196" s="525">
        <v>4193</v>
      </c>
      <c r="B196" s="526" t="s">
        <v>841</v>
      </c>
      <c r="C196" s="525">
        <v>4193</v>
      </c>
      <c r="D196" s="527" t="s">
        <v>1284</v>
      </c>
      <c r="E196" s="527" t="s">
        <v>564</v>
      </c>
      <c r="F196" s="527" t="s">
        <v>5</v>
      </c>
      <c r="G196" s="527" t="s">
        <v>535</v>
      </c>
      <c r="H196" s="528">
        <v>5599296.29</v>
      </c>
      <c r="I196" s="528">
        <v>0</v>
      </c>
      <c r="J196" s="528">
        <v>181171.69</v>
      </c>
      <c r="K196" s="528">
        <v>0</v>
      </c>
      <c r="L196" s="528">
        <v>247660</v>
      </c>
      <c r="M196" s="528">
        <v>856.93</v>
      </c>
      <c r="N196" s="528">
        <v>16007.2</v>
      </c>
      <c r="O196" s="528">
        <v>0</v>
      </c>
      <c r="P196" s="528">
        <v>6464.72</v>
      </c>
      <c r="Q196" s="528">
        <v>0</v>
      </c>
      <c r="R196" s="528">
        <v>0</v>
      </c>
      <c r="S196" s="528">
        <v>0</v>
      </c>
      <c r="T196" s="528">
        <v>20375.979999999996</v>
      </c>
      <c r="U196" s="528">
        <v>161241.72</v>
      </c>
      <c r="V196" s="528">
        <v>0</v>
      </c>
      <c r="W196" s="528">
        <v>25189.5</v>
      </c>
      <c r="X196" s="528">
        <v>0</v>
      </c>
      <c r="Y196" s="528">
        <v>6258264.0300000003</v>
      </c>
      <c r="Z196" s="528">
        <v>2791592</v>
      </c>
      <c r="AA196" s="528">
        <v>0</v>
      </c>
      <c r="AB196" s="528">
        <v>227557.98</v>
      </c>
      <c r="AC196" s="528">
        <v>0</v>
      </c>
      <c r="AD196" s="528">
        <v>910475.61</v>
      </c>
      <c r="AE196" s="528">
        <v>0</v>
      </c>
      <c r="AF196" s="528">
        <v>109937.18</v>
      </c>
      <c r="AG196" s="528">
        <v>47282.85</v>
      </c>
      <c r="AH196" s="528">
        <v>12627.02</v>
      </c>
      <c r="AI196" s="528">
        <v>0</v>
      </c>
      <c r="AJ196" s="528">
        <v>0</v>
      </c>
      <c r="AK196" s="528">
        <v>1516.48</v>
      </c>
      <c r="AL196" s="528">
        <v>1220.25</v>
      </c>
      <c r="AM196" s="528">
        <v>55.06</v>
      </c>
      <c r="AN196" s="528">
        <v>75003.58</v>
      </c>
      <c r="AO196" s="528">
        <v>125949.23</v>
      </c>
      <c r="AP196" s="528">
        <v>118188.96</v>
      </c>
      <c r="AQ196" s="528">
        <v>20265.47</v>
      </c>
      <c r="AR196" s="528">
        <v>88300.169999999984</v>
      </c>
      <c r="AS196" s="528">
        <v>0</v>
      </c>
      <c r="AT196" s="528">
        <v>-7363.8600000000006</v>
      </c>
      <c r="AU196" s="528">
        <v>74906.59</v>
      </c>
      <c r="AV196" s="528">
        <v>19754.829999999998</v>
      </c>
      <c r="AW196" s="528">
        <v>0</v>
      </c>
      <c r="AX196" s="528">
        <v>151848.07</v>
      </c>
      <c r="AY196" s="528">
        <v>113173.13</v>
      </c>
      <c r="AZ196" s="528">
        <v>71588.97</v>
      </c>
      <c r="BA196" s="528">
        <v>392491.26</v>
      </c>
      <c r="BB196" s="528">
        <v>323190</v>
      </c>
      <c r="BC196" s="528">
        <v>0</v>
      </c>
      <c r="BD196" s="528">
        <v>0</v>
      </c>
      <c r="BE196" s="528">
        <v>5669560.8299999991</v>
      </c>
      <c r="BF196" s="528">
        <v>991598.75</v>
      </c>
      <c r="BG196" s="528">
        <v>588703.20000000112</v>
      </c>
      <c r="BH196" s="528">
        <v>1580301.9500000011</v>
      </c>
      <c r="BI196" s="528">
        <v>15264.06</v>
      </c>
      <c r="BJ196" s="528">
        <v>0</v>
      </c>
      <c r="BK196" s="528">
        <v>0</v>
      </c>
      <c r="BL196" s="528">
        <v>15264.06</v>
      </c>
      <c r="BM196" s="528">
        <v>0</v>
      </c>
      <c r="BN196" s="528">
        <v>0</v>
      </c>
      <c r="BO196" s="528">
        <v>0</v>
      </c>
      <c r="BP196" s="528">
        <v>0</v>
      </c>
      <c r="BQ196" s="528">
        <v>0</v>
      </c>
      <c r="BR196" s="528">
        <v>60207.53</v>
      </c>
      <c r="BS196" s="528">
        <v>15264.06</v>
      </c>
      <c r="BT196" s="528">
        <v>75471.59</v>
      </c>
      <c r="BU196" s="528">
        <v>0</v>
      </c>
      <c r="BV196" s="528">
        <v>0</v>
      </c>
      <c r="BW196" s="528">
        <v>0</v>
      </c>
      <c r="BX196" s="528">
        <v>0</v>
      </c>
      <c r="BY196" s="528">
        <v>0</v>
      </c>
      <c r="BZ196" s="528">
        <v>0</v>
      </c>
      <c r="CA196" s="528">
        <v>0</v>
      </c>
      <c r="CB196" s="528">
        <v>0</v>
      </c>
      <c r="CC196" s="528">
        <v>0</v>
      </c>
      <c r="CD196" s="528">
        <v>1580301.9500000011</v>
      </c>
      <c r="CE196" s="528">
        <v>0</v>
      </c>
      <c r="CF196" s="528">
        <v>75471.59</v>
      </c>
      <c r="CG196" s="528">
        <v>0</v>
      </c>
      <c r="CH196" s="528">
        <v>0</v>
      </c>
      <c r="CI196" s="528">
        <f t="shared" si="2"/>
        <v>1655773.5400000012</v>
      </c>
      <c r="CJ196" s="528">
        <v>1590157.87</v>
      </c>
      <c r="CK196" s="528">
        <v>2090.5100000000002</v>
      </c>
      <c r="CL196" s="528">
        <v>3367.43</v>
      </c>
      <c r="CM196" s="528">
        <v>1591434.79</v>
      </c>
      <c r="CN196" s="528">
        <v>0</v>
      </c>
      <c r="CO196" s="528">
        <v>0</v>
      </c>
      <c r="CP196" s="528">
        <v>19516.87</v>
      </c>
      <c r="CQ196" s="528">
        <v>0</v>
      </c>
      <c r="CR196" s="528">
        <v>0</v>
      </c>
      <c r="CS196" s="528">
        <v>1610951.6600000001</v>
      </c>
      <c r="CT196" s="528">
        <v>0</v>
      </c>
      <c r="CU196" s="528">
        <v>0</v>
      </c>
      <c r="CV196" s="528">
        <v>0</v>
      </c>
      <c r="CW196" s="528">
        <v>0</v>
      </c>
      <c r="CX196" s="528"/>
      <c r="CY196" s="528"/>
      <c r="CZ196" s="528"/>
      <c r="DA196" s="528">
        <v>0</v>
      </c>
      <c r="DB196" s="528">
        <v>0</v>
      </c>
      <c r="DC196" s="528">
        <v>0</v>
      </c>
      <c r="DD196" s="528">
        <v>4097.1400000000003</v>
      </c>
      <c r="DE196" s="528">
        <v>130852.08</v>
      </c>
      <c r="DF196" s="528">
        <v>0</v>
      </c>
      <c r="DG196" s="528">
        <v>-24103.1</v>
      </c>
      <c r="DH196" s="528">
        <v>-3140.82</v>
      </c>
      <c r="DI196" s="528">
        <v>0</v>
      </c>
      <c r="DJ196" s="528">
        <v>-62883.42</v>
      </c>
      <c r="DK196" s="528">
        <v>44821.87999999999</v>
      </c>
      <c r="DL196" s="528">
        <v>0</v>
      </c>
      <c r="DM196" s="528">
        <v>0</v>
      </c>
      <c r="DN196" s="528">
        <v>0</v>
      </c>
      <c r="DO196" s="528">
        <v>0</v>
      </c>
      <c r="DP196" s="528">
        <v>0</v>
      </c>
      <c r="DQ196" s="529">
        <v>0</v>
      </c>
      <c r="DR196" s="530">
        <v>4086845.62</v>
      </c>
      <c r="DS196" s="531">
        <v>1582715.209999999</v>
      </c>
      <c r="DT196" s="530">
        <v>113173.13</v>
      </c>
      <c r="DU196" s="530">
        <v>26840.699999999997</v>
      </c>
      <c r="DV196" s="530">
        <v>161241.72</v>
      </c>
      <c r="DW196" s="530">
        <v>0</v>
      </c>
    </row>
    <row r="197" spans="1:127" s="103" customFormat="1">
      <c r="A197" s="525">
        <v>2478</v>
      </c>
      <c r="B197" s="526" t="s">
        <v>843</v>
      </c>
      <c r="C197" s="525">
        <v>2478</v>
      </c>
      <c r="D197" s="527" t="s">
        <v>1284</v>
      </c>
      <c r="E197" s="527" t="s">
        <v>538</v>
      </c>
      <c r="F197" s="527" t="s">
        <v>5</v>
      </c>
      <c r="G197" s="527" t="s">
        <v>535</v>
      </c>
      <c r="H197" s="528">
        <v>2258853.7799999998</v>
      </c>
      <c r="I197" s="528">
        <v>0</v>
      </c>
      <c r="J197" s="528">
        <v>14375.53</v>
      </c>
      <c r="K197" s="528">
        <v>0</v>
      </c>
      <c r="L197" s="528">
        <v>63170</v>
      </c>
      <c r="M197" s="528">
        <v>200</v>
      </c>
      <c r="N197" s="528">
        <v>318954.40999999997</v>
      </c>
      <c r="O197" s="528">
        <v>228269.11</v>
      </c>
      <c r="P197" s="528">
        <v>12533.06</v>
      </c>
      <c r="Q197" s="528">
        <v>0</v>
      </c>
      <c r="R197" s="528">
        <v>0</v>
      </c>
      <c r="S197" s="528">
        <v>0</v>
      </c>
      <c r="T197" s="528">
        <v>63083.77</v>
      </c>
      <c r="U197" s="528">
        <v>0</v>
      </c>
      <c r="V197" s="528">
        <v>0</v>
      </c>
      <c r="W197" s="528">
        <v>1005.83</v>
      </c>
      <c r="X197" s="528">
        <v>99553</v>
      </c>
      <c r="Y197" s="528">
        <v>3059998.4899999998</v>
      </c>
      <c r="Z197" s="528">
        <v>1185052.94</v>
      </c>
      <c r="AA197" s="528">
        <v>19453.25</v>
      </c>
      <c r="AB197" s="528">
        <v>282832.45</v>
      </c>
      <c r="AC197" s="528">
        <v>57927.55</v>
      </c>
      <c r="AD197" s="528">
        <v>182176.08</v>
      </c>
      <c r="AE197" s="528">
        <v>0</v>
      </c>
      <c r="AF197" s="528">
        <v>123462.17</v>
      </c>
      <c r="AG197" s="528">
        <v>1564.33</v>
      </c>
      <c r="AH197" s="528">
        <v>407.65</v>
      </c>
      <c r="AI197" s="528">
        <v>0</v>
      </c>
      <c r="AJ197" s="528">
        <v>0</v>
      </c>
      <c r="AK197" s="528">
        <v>63657.79</v>
      </c>
      <c r="AL197" s="528">
        <v>5514.78</v>
      </c>
      <c r="AM197" s="528">
        <v>55602.76</v>
      </c>
      <c r="AN197" s="528">
        <v>10651.29</v>
      </c>
      <c r="AO197" s="528">
        <v>89623.89</v>
      </c>
      <c r="AP197" s="528">
        <v>47099.58</v>
      </c>
      <c r="AQ197" s="528">
        <v>14129.630000000001</v>
      </c>
      <c r="AR197" s="528">
        <v>52822.939999999995</v>
      </c>
      <c r="AS197" s="528">
        <v>7631.93</v>
      </c>
      <c r="AT197" s="528">
        <v>0</v>
      </c>
      <c r="AU197" s="528">
        <v>43557.71</v>
      </c>
      <c r="AV197" s="528">
        <v>19362</v>
      </c>
      <c r="AW197" s="528">
        <v>0</v>
      </c>
      <c r="AX197" s="528">
        <v>72572.27</v>
      </c>
      <c r="AY197" s="528">
        <v>185677.92</v>
      </c>
      <c r="AZ197" s="528">
        <v>29663.200000000001</v>
      </c>
      <c r="BA197" s="528">
        <v>239729.36</v>
      </c>
      <c r="BB197" s="528">
        <v>0</v>
      </c>
      <c r="BC197" s="528">
        <v>0</v>
      </c>
      <c r="BD197" s="528">
        <v>0</v>
      </c>
      <c r="BE197" s="528">
        <v>2790173.4699999997</v>
      </c>
      <c r="BF197" s="528">
        <v>305774.75000000012</v>
      </c>
      <c r="BG197" s="528">
        <v>269825.02</v>
      </c>
      <c r="BH197" s="528">
        <v>575599.77000000014</v>
      </c>
      <c r="BI197" s="528">
        <v>4273.96</v>
      </c>
      <c r="BJ197" s="528">
        <v>0</v>
      </c>
      <c r="BK197" s="528">
        <v>0</v>
      </c>
      <c r="BL197" s="528">
        <v>4273.96</v>
      </c>
      <c r="BM197" s="528">
        <v>0</v>
      </c>
      <c r="BN197" s="528">
        <v>0</v>
      </c>
      <c r="BO197" s="528">
        <v>4273.96</v>
      </c>
      <c r="BP197" s="528">
        <v>0</v>
      </c>
      <c r="BQ197" s="528">
        <v>4273.96</v>
      </c>
      <c r="BR197" s="528">
        <v>4255.9600000000028</v>
      </c>
      <c r="BS197" s="528">
        <v>0</v>
      </c>
      <c r="BT197" s="528">
        <v>4255.9600000000028</v>
      </c>
      <c r="BU197" s="528">
        <v>0</v>
      </c>
      <c r="BV197" s="528">
        <v>0</v>
      </c>
      <c r="BW197" s="528">
        <v>0</v>
      </c>
      <c r="BX197" s="528">
        <v>0</v>
      </c>
      <c r="BY197" s="528">
        <v>0</v>
      </c>
      <c r="BZ197" s="528">
        <v>0</v>
      </c>
      <c r="CA197" s="528">
        <v>0</v>
      </c>
      <c r="CB197" s="528">
        <v>0</v>
      </c>
      <c r="CC197" s="528">
        <v>0</v>
      </c>
      <c r="CD197" s="528">
        <v>575599.77000000014</v>
      </c>
      <c r="CE197" s="528">
        <v>0</v>
      </c>
      <c r="CF197" s="528">
        <v>4255.9600000000028</v>
      </c>
      <c r="CG197" s="528">
        <v>0</v>
      </c>
      <c r="CH197" s="528">
        <v>0</v>
      </c>
      <c r="CI197" s="528">
        <f t="shared" si="2"/>
        <v>579855.7300000001</v>
      </c>
      <c r="CJ197" s="528">
        <v>100000</v>
      </c>
      <c r="CK197" s="528">
        <v>149893.71</v>
      </c>
      <c r="CL197" s="528">
        <v>216.6</v>
      </c>
      <c r="CM197" s="528">
        <v>-49677.109999999993</v>
      </c>
      <c r="CN197" s="528">
        <v>0</v>
      </c>
      <c r="CO197" s="528">
        <v>0</v>
      </c>
      <c r="CP197" s="528">
        <v>13607.41</v>
      </c>
      <c r="CQ197" s="528">
        <v>0</v>
      </c>
      <c r="CR197" s="528">
        <v>1208</v>
      </c>
      <c r="CS197" s="528">
        <v>-34861.699999999997</v>
      </c>
      <c r="CT197" s="528">
        <v>565368.44999999995</v>
      </c>
      <c r="CU197" s="528">
        <v>0</v>
      </c>
      <c r="CV197" s="528">
        <v>0</v>
      </c>
      <c r="CW197" s="528">
        <v>565368.44999999995</v>
      </c>
      <c r="CX197" s="528"/>
      <c r="CY197" s="528"/>
      <c r="CZ197" s="528"/>
      <c r="DA197" s="528">
        <v>0</v>
      </c>
      <c r="DB197" s="528">
        <v>565368.44999999995</v>
      </c>
      <c r="DC197" s="528">
        <v>5331.66</v>
      </c>
      <c r="DD197" s="528">
        <v>9724.73</v>
      </c>
      <c r="DE197" s="528">
        <v>0</v>
      </c>
      <c r="DF197" s="528">
        <v>0</v>
      </c>
      <c r="DG197" s="528">
        <v>-51126.06</v>
      </c>
      <c r="DH197" s="528">
        <v>-69621.7</v>
      </c>
      <c r="DI197" s="528">
        <v>0</v>
      </c>
      <c r="DJ197" s="528">
        <v>0</v>
      </c>
      <c r="DK197" s="528">
        <v>-105691.37</v>
      </c>
      <c r="DL197" s="528">
        <v>0</v>
      </c>
      <c r="DM197" s="528">
        <v>0</v>
      </c>
      <c r="DN197" s="528">
        <v>0</v>
      </c>
      <c r="DO197" s="528">
        <v>0</v>
      </c>
      <c r="DP197" s="528">
        <v>155040.82999999999</v>
      </c>
      <c r="DQ197" s="529">
        <v>-0.47999999998137355</v>
      </c>
      <c r="DR197" s="530">
        <v>1852468.77</v>
      </c>
      <c r="DS197" s="531">
        <v>937704.69999999972</v>
      </c>
      <c r="DT197" s="530">
        <v>185677.92</v>
      </c>
      <c r="DU197" s="530">
        <v>303885.94</v>
      </c>
      <c r="DV197" s="530">
        <v>0</v>
      </c>
      <c r="DW197" s="530">
        <v>155040.82999999999</v>
      </c>
    </row>
    <row r="198" spans="1:127" s="103" customFormat="1">
      <c r="A198" s="525">
        <v>2293</v>
      </c>
      <c r="B198" s="526" t="s">
        <v>845</v>
      </c>
      <c r="C198" s="525">
        <v>2293</v>
      </c>
      <c r="D198" s="527" t="s">
        <v>1284</v>
      </c>
      <c r="E198" s="527" t="s">
        <v>538</v>
      </c>
      <c r="F198" s="527" t="s">
        <v>5</v>
      </c>
      <c r="G198" s="527" t="s">
        <v>535</v>
      </c>
      <c r="H198" s="528">
        <v>3527738.87</v>
      </c>
      <c r="I198" s="528">
        <v>0</v>
      </c>
      <c r="J198" s="528">
        <v>48477.02</v>
      </c>
      <c r="K198" s="528">
        <v>0</v>
      </c>
      <c r="L198" s="528">
        <v>345180</v>
      </c>
      <c r="M198" s="528">
        <v>5000</v>
      </c>
      <c r="N198" s="528">
        <v>0</v>
      </c>
      <c r="O198" s="528">
        <v>0</v>
      </c>
      <c r="P198" s="528">
        <v>109.24</v>
      </c>
      <c r="Q198" s="528">
        <v>0</v>
      </c>
      <c r="R198" s="528">
        <v>0</v>
      </c>
      <c r="S198" s="528">
        <v>0</v>
      </c>
      <c r="T198" s="528">
        <v>0</v>
      </c>
      <c r="U198" s="528">
        <v>157213.97</v>
      </c>
      <c r="V198" s="528">
        <v>0</v>
      </c>
      <c r="W198" s="528">
        <v>14846.88</v>
      </c>
      <c r="X198" s="528">
        <v>90586</v>
      </c>
      <c r="Y198" s="528">
        <v>4189151.9800000004</v>
      </c>
      <c r="Z198" s="528">
        <v>1746781.16</v>
      </c>
      <c r="AA198" s="528">
        <v>0</v>
      </c>
      <c r="AB198" s="528">
        <v>526800.54</v>
      </c>
      <c r="AC198" s="528">
        <v>173416.59</v>
      </c>
      <c r="AD198" s="528">
        <v>240615.94</v>
      </c>
      <c r="AE198" s="528">
        <v>138424.09</v>
      </c>
      <c r="AF198" s="528">
        <v>143719.84</v>
      </c>
      <c r="AG198" s="528">
        <v>0</v>
      </c>
      <c r="AH198" s="528">
        <v>7051.18</v>
      </c>
      <c r="AI198" s="528">
        <v>0</v>
      </c>
      <c r="AJ198" s="528">
        <v>0</v>
      </c>
      <c r="AK198" s="528">
        <v>30092.38</v>
      </c>
      <c r="AL198" s="528">
        <v>2518.7600000000002</v>
      </c>
      <c r="AM198" s="528">
        <v>940.52</v>
      </c>
      <c r="AN198" s="528">
        <v>7156.8</v>
      </c>
      <c r="AO198" s="528">
        <v>78501.440000000002</v>
      </c>
      <c r="AP198" s="528">
        <v>41074.75</v>
      </c>
      <c r="AQ198" s="528">
        <v>20223.66</v>
      </c>
      <c r="AR198" s="528">
        <v>151337.29999999999</v>
      </c>
      <c r="AS198" s="528">
        <v>8965.82</v>
      </c>
      <c r="AT198" s="528">
        <v>0</v>
      </c>
      <c r="AU198" s="528">
        <v>104825.94</v>
      </c>
      <c r="AV198" s="528">
        <v>12566.4</v>
      </c>
      <c r="AW198" s="528">
        <v>4299.05</v>
      </c>
      <c r="AX198" s="528">
        <v>109174.21</v>
      </c>
      <c r="AY198" s="528">
        <v>309285.17</v>
      </c>
      <c r="AZ198" s="528">
        <v>85982.33</v>
      </c>
      <c r="BA198" s="528">
        <v>215223.89</v>
      </c>
      <c r="BB198" s="528">
        <v>0</v>
      </c>
      <c r="BC198" s="528">
        <v>0</v>
      </c>
      <c r="BD198" s="528">
        <v>0</v>
      </c>
      <c r="BE198" s="528">
        <v>4158977.7599999988</v>
      </c>
      <c r="BF198" s="528">
        <v>1003300.02</v>
      </c>
      <c r="BG198" s="528">
        <v>30174.220000001602</v>
      </c>
      <c r="BH198" s="528">
        <v>1033474.2400000016</v>
      </c>
      <c r="BI198" s="528">
        <v>10914.25</v>
      </c>
      <c r="BJ198" s="528">
        <v>0</v>
      </c>
      <c r="BK198" s="528">
        <v>0</v>
      </c>
      <c r="BL198" s="528">
        <v>10914.25</v>
      </c>
      <c r="BM198" s="528">
        <v>0</v>
      </c>
      <c r="BN198" s="528">
        <v>122504.7</v>
      </c>
      <c r="BO198" s="528">
        <v>0</v>
      </c>
      <c r="BP198" s="528">
        <v>0</v>
      </c>
      <c r="BQ198" s="528">
        <v>122504.7</v>
      </c>
      <c r="BR198" s="528">
        <v>194118.39999999999</v>
      </c>
      <c r="BS198" s="528">
        <v>-111590.45</v>
      </c>
      <c r="BT198" s="528">
        <v>82527.95</v>
      </c>
      <c r="BU198" s="528">
        <v>0</v>
      </c>
      <c r="BV198" s="528">
        <v>0</v>
      </c>
      <c r="BW198" s="528">
        <v>0</v>
      </c>
      <c r="BX198" s="528">
        <v>0</v>
      </c>
      <c r="BY198" s="528">
        <v>0</v>
      </c>
      <c r="BZ198" s="528">
        <v>0</v>
      </c>
      <c r="CA198" s="528">
        <v>0</v>
      </c>
      <c r="CB198" s="528">
        <v>0</v>
      </c>
      <c r="CC198" s="528">
        <v>0</v>
      </c>
      <c r="CD198" s="528">
        <v>1033474.2400000016</v>
      </c>
      <c r="CE198" s="528">
        <v>0</v>
      </c>
      <c r="CF198" s="528">
        <v>82527.95</v>
      </c>
      <c r="CG198" s="528">
        <v>0</v>
      </c>
      <c r="CH198" s="528">
        <v>0</v>
      </c>
      <c r="CI198" s="528">
        <f t="shared" si="2"/>
        <v>1116002.1900000016</v>
      </c>
      <c r="CJ198" s="528">
        <v>1062587.43</v>
      </c>
      <c r="CK198" s="528">
        <v>51849.98</v>
      </c>
      <c r="CL198" s="528">
        <v>1751.61</v>
      </c>
      <c r="CM198" s="528">
        <v>1012489.0599999999</v>
      </c>
      <c r="CN198" s="528">
        <v>0</v>
      </c>
      <c r="CO198" s="528">
        <v>0</v>
      </c>
      <c r="CP198" s="528">
        <v>10350</v>
      </c>
      <c r="CQ198" s="528">
        <v>102871.83</v>
      </c>
      <c r="CR198" s="528">
        <v>0</v>
      </c>
      <c r="CS198" s="528">
        <v>1125710.8899999999</v>
      </c>
      <c r="CT198" s="528">
        <v>0</v>
      </c>
      <c r="CU198" s="528">
        <v>0</v>
      </c>
      <c r="CV198" s="528">
        <v>0</v>
      </c>
      <c r="CW198" s="528">
        <v>0</v>
      </c>
      <c r="CX198" s="528"/>
      <c r="CY198" s="528"/>
      <c r="CZ198" s="528"/>
      <c r="DA198" s="528">
        <v>0</v>
      </c>
      <c r="DB198" s="528">
        <v>0</v>
      </c>
      <c r="DC198" s="528">
        <v>0</v>
      </c>
      <c r="DD198" s="528">
        <v>0</v>
      </c>
      <c r="DE198" s="528">
        <v>0</v>
      </c>
      <c r="DF198" s="528">
        <v>0</v>
      </c>
      <c r="DG198" s="528">
        <v>0</v>
      </c>
      <c r="DH198" s="528">
        <v>-11171.11</v>
      </c>
      <c r="DI198" s="528">
        <v>0</v>
      </c>
      <c r="DJ198" s="528">
        <v>0</v>
      </c>
      <c r="DK198" s="528">
        <v>-11171.11</v>
      </c>
      <c r="DL198" s="528">
        <v>0</v>
      </c>
      <c r="DM198" s="528">
        <v>0</v>
      </c>
      <c r="DN198" s="528">
        <v>0</v>
      </c>
      <c r="DO198" s="528">
        <v>1462.31</v>
      </c>
      <c r="DP198" s="528">
        <v>0</v>
      </c>
      <c r="DQ198" s="529">
        <v>0.10000000009313226</v>
      </c>
      <c r="DR198" s="530">
        <v>2969758.1599999997</v>
      </c>
      <c r="DS198" s="531">
        <v>1189219.5999999992</v>
      </c>
      <c r="DT198" s="530">
        <v>309285.17</v>
      </c>
      <c r="DU198" s="530">
        <v>109.24</v>
      </c>
      <c r="DV198" s="530">
        <v>157213.97</v>
      </c>
      <c r="DW198" s="530">
        <v>1462.31</v>
      </c>
    </row>
    <row r="199" spans="1:127" s="103" customFormat="1">
      <c r="A199" s="525">
        <v>2445</v>
      </c>
      <c r="B199" s="526" t="s">
        <v>875</v>
      </c>
      <c r="C199" s="525">
        <v>2445</v>
      </c>
      <c r="D199" s="527" t="s">
        <v>1284</v>
      </c>
      <c r="E199" s="527" t="s">
        <v>538</v>
      </c>
      <c r="F199" s="527" t="s">
        <v>5</v>
      </c>
      <c r="G199" s="527" t="s">
        <v>957</v>
      </c>
      <c r="H199" s="528">
        <v>1352656.56</v>
      </c>
      <c r="I199" s="528">
        <v>0</v>
      </c>
      <c r="J199" s="528">
        <v>83626.37</v>
      </c>
      <c r="K199" s="528">
        <v>0</v>
      </c>
      <c r="L199" s="528">
        <v>213120</v>
      </c>
      <c r="M199" s="528">
        <v>0</v>
      </c>
      <c r="N199" s="528">
        <v>0</v>
      </c>
      <c r="O199" s="528">
        <v>0</v>
      </c>
      <c r="P199" s="528">
        <v>38366.23000000001</v>
      </c>
      <c r="Q199" s="528">
        <v>17559.78</v>
      </c>
      <c r="R199" s="528">
        <v>0</v>
      </c>
      <c r="S199" s="528">
        <v>0</v>
      </c>
      <c r="T199" s="528">
        <v>8559.2799999999988</v>
      </c>
      <c r="U199" s="528">
        <v>0</v>
      </c>
      <c r="V199" s="528">
        <v>0</v>
      </c>
      <c r="W199" s="528">
        <v>11850</v>
      </c>
      <c r="X199" s="528">
        <v>32187</v>
      </c>
      <c r="Y199" s="528">
        <v>1757925.2200000002</v>
      </c>
      <c r="Z199" s="528">
        <v>633135.87000000046</v>
      </c>
      <c r="AA199" s="528">
        <v>-162.34</v>
      </c>
      <c r="AB199" s="528">
        <v>379155.44</v>
      </c>
      <c r="AC199" s="528">
        <v>64982.96000000037</v>
      </c>
      <c r="AD199" s="528">
        <v>108501.18999999999</v>
      </c>
      <c r="AE199" s="528">
        <v>0</v>
      </c>
      <c r="AF199" s="528">
        <v>81236.049999999988</v>
      </c>
      <c r="AG199" s="528">
        <v>372.99999999999818</v>
      </c>
      <c r="AH199" s="528">
        <v>2785</v>
      </c>
      <c r="AI199" s="528">
        <v>0</v>
      </c>
      <c r="AJ199" s="528">
        <v>130</v>
      </c>
      <c r="AK199" s="528">
        <v>5734.9999999999982</v>
      </c>
      <c r="AL199" s="528">
        <v>5675</v>
      </c>
      <c r="AM199" s="528">
        <v>4922</v>
      </c>
      <c r="AN199" s="528">
        <v>11133</v>
      </c>
      <c r="AO199" s="528">
        <v>59961.999999999993</v>
      </c>
      <c r="AP199" s="528">
        <v>24535.64</v>
      </c>
      <c r="AQ199" s="528">
        <v>12659</v>
      </c>
      <c r="AR199" s="528">
        <v>69344.600000000006</v>
      </c>
      <c r="AS199" s="528">
        <v>38619</v>
      </c>
      <c r="AT199" s="528">
        <v>0</v>
      </c>
      <c r="AU199" s="528">
        <v>10920.000000000007</v>
      </c>
      <c r="AV199" s="528">
        <v>5139.75</v>
      </c>
      <c r="AW199" s="528">
        <v>3525</v>
      </c>
      <c r="AX199" s="528">
        <v>98317.63</v>
      </c>
      <c r="AY199" s="528">
        <v>60693.389999999978</v>
      </c>
      <c r="AZ199" s="528">
        <v>31868.93</v>
      </c>
      <c r="BA199" s="528">
        <v>18753</v>
      </c>
      <c r="BB199" s="528">
        <v>0</v>
      </c>
      <c r="BC199" s="528">
        <v>0</v>
      </c>
      <c r="BD199" s="528">
        <v>0</v>
      </c>
      <c r="BE199" s="528">
        <v>1731940.1100000008</v>
      </c>
      <c r="BF199" s="528">
        <v>-2464.4900000002513</v>
      </c>
      <c r="BG199" s="528">
        <v>25985.109999999404</v>
      </c>
      <c r="BH199" s="528">
        <v>23520.619999999151</v>
      </c>
      <c r="BI199" s="528">
        <v>6193.75</v>
      </c>
      <c r="BJ199" s="528">
        <v>0</v>
      </c>
      <c r="BK199" s="528">
        <v>0</v>
      </c>
      <c r="BL199" s="528">
        <v>6193.75</v>
      </c>
      <c r="BM199" s="528">
        <v>0</v>
      </c>
      <c r="BN199" s="528">
        <v>6790</v>
      </c>
      <c r="BO199" s="528">
        <v>0</v>
      </c>
      <c r="BP199" s="528">
        <v>0</v>
      </c>
      <c r="BQ199" s="528">
        <v>6790</v>
      </c>
      <c r="BR199" s="528">
        <v>14114.849999999999</v>
      </c>
      <c r="BS199" s="528">
        <v>-596.25</v>
      </c>
      <c r="BT199" s="528">
        <v>13518.599999999999</v>
      </c>
      <c r="BU199" s="528">
        <v>0</v>
      </c>
      <c r="BV199" s="528">
        <v>0</v>
      </c>
      <c r="BW199" s="528">
        <v>0</v>
      </c>
      <c r="BX199" s="528">
        <v>0</v>
      </c>
      <c r="BY199" s="528">
        <v>0</v>
      </c>
      <c r="BZ199" s="528">
        <v>0</v>
      </c>
      <c r="CA199" s="528">
        <v>0</v>
      </c>
      <c r="CB199" s="528">
        <v>0</v>
      </c>
      <c r="CC199" s="528">
        <v>0</v>
      </c>
      <c r="CD199" s="528">
        <v>23520.619999999151</v>
      </c>
      <c r="CE199" s="528">
        <v>0</v>
      </c>
      <c r="CF199" s="528">
        <v>13518.599999999999</v>
      </c>
      <c r="CG199" s="528">
        <v>0</v>
      </c>
      <c r="CH199" s="528">
        <v>0</v>
      </c>
      <c r="CI199" s="528">
        <f t="shared" si="2"/>
        <v>37039.21999999915</v>
      </c>
      <c r="CJ199" s="528">
        <v>0</v>
      </c>
      <c r="CK199" s="528">
        <v>0</v>
      </c>
      <c r="CL199" s="528">
        <v>0</v>
      </c>
      <c r="CM199" s="528">
        <v>0</v>
      </c>
      <c r="CN199" s="528">
        <v>0</v>
      </c>
      <c r="CO199" s="528">
        <v>0</v>
      </c>
      <c r="CP199" s="528">
        <v>0</v>
      </c>
      <c r="CQ199" s="528">
        <v>0</v>
      </c>
      <c r="CR199" s="528">
        <v>0</v>
      </c>
      <c r="CS199" s="528">
        <v>0</v>
      </c>
      <c r="CT199" s="528">
        <v>0</v>
      </c>
      <c r="CU199" s="528">
        <v>0</v>
      </c>
      <c r="CV199" s="528">
        <v>0</v>
      </c>
      <c r="CW199" s="528">
        <v>0</v>
      </c>
      <c r="CX199" s="528"/>
      <c r="CY199" s="528"/>
      <c r="CZ199" s="528"/>
      <c r="DA199" s="528">
        <v>66755.939999999275</v>
      </c>
      <c r="DB199" s="528">
        <v>66755.939999999275</v>
      </c>
      <c r="DC199" s="528">
        <v>0</v>
      </c>
      <c r="DD199" s="528">
        <v>129.91</v>
      </c>
      <c r="DE199" s="528">
        <v>0</v>
      </c>
      <c r="DF199" s="528">
        <v>0</v>
      </c>
      <c r="DG199" s="528">
        <v>0</v>
      </c>
      <c r="DH199" s="528">
        <v>-29846.63</v>
      </c>
      <c r="DI199" s="528">
        <v>0</v>
      </c>
      <c r="DJ199" s="528">
        <v>0</v>
      </c>
      <c r="DK199" s="528">
        <v>-29716.720000000001</v>
      </c>
      <c r="DL199" s="528">
        <v>0</v>
      </c>
      <c r="DM199" s="528">
        <v>0</v>
      </c>
      <c r="DN199" s="528">
        <v>0</v>
      </c>
      <c r="DO199" s="528">
        <v>0</v>
      </c>
      <c r="DP199" s="528">
        <v>0</v>
      </c>
      <c r="DQ199" s="529">
        <v>7.2759576141834259E-10</v>
      </c>
      <c r="DR199" s="530">
        <v>1267222.1700000009</v>
      </c>
      <c r="DS199" s="531">
        <v>464717.93999999994</v>
      </c>
      <c r="DT199" s="530">
        <v>60693.389999999978</v>
      </c>
      <c r="DU199" s="530">
        <v>64485.290000000008</v>
      </c>
      <c r="DV199" s="530">
        <v>0</v>
      </c>
      <c r="DW199" s="530">
        <v>0</v>
      </c>
    </row>
    <row r="200" spans="1:127" s="103" customFormat="1">
      <c r="A200" s="525">
        <v>2278</v>
      </c>
      <c r="B200" s="526" t="s">
        <v>847</v>
      </c>
      <c r="C200" s="525">
        <v>2278</v>
      </c>
      <c r="D200" s="527" t="s">
        <v>1284</v>
      </c>
      <c r="E200" s="527" t="s">
        <v>538</v>
      </c>
      <c r="F200" s="527" t="s">
        <v>5</v>
      </c>
      <c r="G200" s="527" t="s">
        <v>535</v>
      </c>
      <c r="H200" s="528">
        <v>2459656.35</v>
      </c>
      <c r="I200" s="528">
        <v>0</v>
      </c>
      <c r="J200" s="528">
        <v>261614.39</v>
      </c>
      <c r="K200" s="528">
        <v>0</v>
      </c>
      <c r="L200" s="528">
        <v>360060</v>
      </c>
      <c r="M200" s="528">
        <v>1256.93</v>
      </c>
      <c r="N200" s="528">
        <v>0</v>
      </c>
      <c r="O200" s="528">
        <v>2796.25</v>
      </c>
      <c r="P200" s="528">
        <v>18131.18</v>
      </c>
      <c r="Q200" s="528">
        <v>0</v>
      </c>
      <c r="R200" s="528">
        <v>0</v>
      </c>
      <c r="S200" s="528">
        <v>0</v>
      </c>
      <c r="T200" s="528">
        <v>13800.4</v>
      </c>
      <c r="U200" s="528">
        <v>20556.28</v>
      </c>
      <c r="V200" s="528">
        <v>0</v>
      </c>
      <c r="W200" s="528">
        <v>5884.38</v>
      </c>
      <c r="X200" s="528">
        <v>45635</v>
      </c>
      <c r="Y200" s="528">
        <v>3189391.16</v>
      </c>
      <c r="Z200" s="528">
        <v>1394428.3100000003</v>
      </c>
      <c r="AA200" s="528">
        <v>-585</v>
      </c>
      <c r="AB200" s="528">
        <v>676968.34</v>
      </c>
      <c r="AC200" s="528">
        <v>84011.540000000095</v>
      </c>
      <c r="AD200" s="528">
        <v>147993.81</v>
      </c>
      <c r="AE200" s="528">
        <v>0</v>
      </c>
      <c r="AF200" s="528">
        <v>73728.979999999399</v>
      </c>
      <c r="AG200" s="528">
        <v>12324.910000000029</v>
      </c>
      <c r="AH200" s="528">
        <v>0</v>
      </c>
      <c r="AI200" s="528">
        <v>0</v>
      </c>
      <c r="AJ200" s="528">
        <v>0</v>
      </c>
      <c r="AK200" s="528">
        <v>51800.61</v>
      </c>
      <c r="AL200" s="528">
        <v>0</v>
      </c>
      <c r="AM200" s="528">
        <v>2516.84</v>
      </c>
      <c r="AN200" s="528">
        <v>2990.44</v>
      </c>
      <c r="AO200" s="528">
        <v>70505.24000000002</v>
      </c>
      <c r="AP200" s="528">
        <v>24535.64</v>
      </c>
      <c r="AQ200" s="528">
        <v>5579.37</v>
      </c>
      <c r="AR200" s="528">
        <v>53927.48000000001</v>
      </c>
      <c r="AS200" s="528">
        <v>0</v>
      </c>
      <c r="AT200" s="528">
        <v>0</v>
      </c>
      <c r="AU200" s="528">
        <v>52015.1</v>
      </c>
      <c r="AV200" s="528">
        <v>9471</v>
      </c>
      <c r="AW200" s="528">
        <v>2530</v>
      </c>
      <c r="AX200" s="528">
        <v>174614.53</v>
      </c>
      <c r="AY200" s="528">
        <v>34350.120000000003</v>
      </c>
      <c r="AZ200" s="528">
        <v>10128.280000000001</v>
      </c>
      <c r="BA200" s="528">
        <v>177655.84</v>
      </c>
      <c r="BB200" s="528">
        <v>0</v>
      </c>
      <c r="BC200" s="528">
        <v>0</v>
      </c>
      <c r="BD200" s="528">
        <v>0</v>
      </c>
      <c r="BE200" s="528">
        <v>3061491.38</v>
      </c>
      <c r="BF200" s="528">
        <v>384182.56999999995</v>
      </c>
      <c r="BG200" s="528">
        <v>127899.78000000026</v>
      </c>
      <c r="BH200" s="528">
        <v>512082.35000000021</v>
      </c>
      <c r="BI200" s="528">
        <v>8545</v>
      </c>
      <c r="BJ200" s="528">
        <v>0</v>
      </c>
      <c r="BK200" s="528">
        <v>0</v>
      </c>
      <c r="BL200" s="528">
        <v>8545</v>
      </c>
      <c r="BM200" s="528">
        <v>0</v>
      </c>
      <c r="BN200" s="528">
        <v>0</v>
      </c>
      <c r="BO200" s="528">
        <v>0</v>
      </c>
      <c r="BP200" s="528">
        <v>0</v>
      </c>
      <c r="BQ200" s="528">
        <v>0</v>
      </c>
      <c r="BR200" s="528">
        <v>19492.59</v>
      </c>
      <c r="BS200" s="528">
        <v>8545</v>
      </c>
      <c r="BT200" s="528">
        <v>28037.59</v>
      </c>
      <c r="BU200" s="528">
        <v>0</v>
      </c>
      <c r="BV200" s="528">
        <v>0</v>
      </c>
      <c r="BW200" s="528">
        <v>0</v>
      </c>
      <c r="BX200" s="528">
        <v>0</v>
      </c>
      <c r="BY200" s="528">
        <v>0</v>
      </c>
      <c r="BZ200" s="528">
        <v>0</v>
      </c>
      <c r="CA200" s="528">
        <v>0</v>
      </c>
      <c r="CB200" s="528">
        <v>0</v>
      </c>
      <c r="CC200" s="528">
        <v>0</v>
      </c>
      <c r="CD200" s="528">
        <v>512082.35000000021</v>
      </c>
      <c r="CE200" s="528">
        <v>0</v>
      </c>
      <c r="CF200" s="528">
        <v>28037.59</v>
      </c>
      <c r="CG200" s="528">
        <v>0</v>
      </c>
      <c r="CH200" s="528">
        <v>0</v>
      </c>
      <c r="CI200" s="528">
        <f t="shared" si="2"/>
        <v>540119.94000000018</v>
      </c>
      <c r="CJ200" s="528">
        <v>1034407.63</v>
      </c>
      <c r="CK200" s="528">
        <v>35651.040000000001</v>
      </c>
      <c r="CL200" s="528">
        <v>0</v>
      </c>
      <c r="CM200" s="528">
        <v>998756.59</v>
      </c>
      <c r="CN200" s="528">
        <v>0</v>
      </c>
      <c r="CO200" s="528">
        <v>0</v>
      </c>
      <c r="CP200" s="528">
        <v>0</v>
      </c>
      <c r="CQ200" s="528">
        <v>0</v>
      </c>
      <c r="CR200" s="528">
        <v>-430178.39999999997</v>
      </c>
      <c r="CS200" s="528">
        <v>568578.18999999994</v>
      </c>
      <c r="CT200" s="528">
        <v>0</v>
      </c>
      <c r="CU200" s="528">
        <v>0</v>
      </c>
      <c r="CV200" s="528">
        <v>0</v>
      </c>
      <c r="CW200" s="528">
        <v>0</v>
      </c>
      <c r="CX200" s="528"/>
      <c r="CY200" s="528"/>
      <c r="CZ200" s="528"/>
      <c r="DA200" s="528">
        <v>0</v>
      </c>
      <c r="DB200" s="528">
        <v>0</v>
      </c>
      <c r="DC200" s="528">
        <v>0</v>
      </c>
      <c r="DD200" s="528">
        <v>11375.55</v>
      </c>
      <c r="DE200" s="528">
        <v>0</v>
      </c>
      <c r="DF200" s="528">
        <v>0</v>
      </c>
      <c r="DG200" s="528">
        <v>0</v>
      </c>
      <c r="DH200" s="528">
        <v>-43930.35</v>
      </c>
      <c r="DI200" s="528">
        <v>0</v>
      </c>
      <c r="DJ200" s="528">
        <v>0</v>
      </c>
      <c r="DK200" s="528">
        <v>-32554.799999999999</v>
      </c>
      <c r="DL200" s="528">
        <v>4096.55</v>
      </c>
      <c r="DM200" s="528">
        <v>0</v>
      </c>
      <c r="DN200" s="528">
        <v>0</v>
      </c>
      <c r="DO200" s="528">
        <v>0</v>
      </c>
      <c r="DP200" s="528">
        <v>0</v>
      </c>
      <c r="DQ200" s="529">
        <v>0</v>
      </c>
      <c r="DR200" s="530">
        <v>2388870.89</v>
      </c>
      <c r="DS200" s="531">
        <v>672620.48999999976</v>
      </c>
      <c r="DT200" s="530">
        <v>34350.120000000003</v>
      </c>
      <c r="DU200" s="530">
        <v>34727.83</v>
      </c>
      <c r="DV200" s="530">
        <v>20556.28</v>
      </c>
      <c r="DW200" s="530">
        <v>4096.55</v>
      </c>
    </row>
    <row r="201" spans="1:127" s="103" customFormat="1">
      <c r="A201" s="525">
        <v>2314</v>
      </c>
      <c r="B201" s="526" t="s">
        <v>849</v>
      </c>
      <c r="C201" s="525">
        <v>2314</v>
      </c>
      <c r="D201" s="527" t="s">
        <v>1284</v>
      </c>
      <c r="E201" s="527" t="s">
        <v>538</v>
      </c>
      <c r="F201" s="527" t="s">
        <v>5</v>
      </c>
      <c r="G201" s="527" t="s">
        <v>535</v>
      </c>
      <c r="H201" s="528">
        <v>1151233.5</v>
      </c>
      <c r="I201" s="528">
        <v>0</v>
      </c>
      <c r="J201" s="528">
        <v>44188</v>
      </c>
      <c r="K201" s="528">
        <v>0</v>
      </c>
      <c r="L201" s="528">
        <v>75330</v>
      </c>
      <c r="M201" s="528">
        <v>0</v>
      </c>
      <c r="N201" s="528">
        <v>0</v>
      </c>
      <c r="O201" s="528">
        <v>17387.5</v>
      </c>
      <c r="P201" s="528">
        <v>28726.869999999995</v>
      </c>
      <c r="Q201" s="528">
        <v>0</v>
      </c>
      <c r="R201" s="528">
        <v>0</v>
      </c>
      <c r="S201" s="528">
        <v>0</v>
      </c>
      <c r="T201" s="528">
        <v>26688.65</v>
      </c>
      <c r="U201" s="528">
        <v>47197.9</v>
      </c>
      <c r="V201" s="528">
        <v>0</v>
      </c>
      <c r="W201" s="528">
        <v>4089.17</v>
      </c>
      <c r="X201" s="528">
        <v>49441</v>
      </c>
      <c r="Y201" s="528">
        <v>1444282.5899999999</v>
      </c>
      <c r="Z201" s="528">
        <v>676322.20000000065</v>
      </c>
      <c r="AA201" s="528">
        <v>5532.96</v>
      </c>
      <c r="AB201" s="528">
        <v>282944.84000000003</v>
      </c>
      <c r="AC201" s="528">
        <v>50086.750000000175</v>
      </c>
      <c r="AD201" s="528">
        <v>75163.710000000006</v>
      </c>
      <c r="AE201" s="528">
        <v>0</v>
      </c>
      <c r="AF201" s="528">
        <v>38987.749999999971</v>
      </c>
      <c r="AG201" s="528">
        <v>15682.290000000017</v>
      </c>
      <c r="AH201" s="528">
        <v>5528</v>
      </c>
      <c r="AI201" s="528">
        <v>0</v>
      </c>
      <c r="AJ201" s="528">
        <v>0</v>
      </c>
      <c r="AK201" s="528">
        <v>4527.47</v>
      </c>
      <c r="AL201" s="528">
        <v>1268.0600000000002</v>
      </c>
      <c r="AM201" s="528">
        <v>1582.4</v>
      </c>
      <c r="AN201" s="528">
        <v>4890.6499999999996</v>
      </c>
      <c r="AO201" s="528">
        <v>23673.62999999999</v>
      </c>
      <c r="AP201" s="528">
        <v>18595.43</v>
      </c>
      <c r="AQ201" s="528">
        <v>3597.8299999999949</v>
      </c>
      <c r="AR201" s="528">
        <v>39742.869999999995</v>
      </c>
      <c r="AS201" s="528">
        <v>0</v>
      </c>
      <c r="AT201" s="528">
        <v>0</v>
      </c>
      <c r="AU201" s="528">
        <v>12654.370000000012</v>
      </c>
      <c r="AV201" s="528">
        <v>5139.75</v>
      </c>
      <c r="AW201" s="528">
        <v>3616.2</v>
      </c>
      <c r="AX201" s="528">
        <v>45065.83</v>
      </c>
      <c r="AY201" s="528">
        <v>99286.409999999945</v>
      </c>
      <c r="AZ201" s="528">
        <v>20240.29</v>
      </c>
      <c r="BA201" s="528">
        <v>88374.32</v>
      </c>
      <c r="BB201" s="528">
        <v>0</v>
      </c>
      <c r="BC201" s="528">
        <v>0</v>
      </c>
      <c r="BD201" s="528">
        <v>0</v>
      </c>
      <c r="BE201" s="528">
        <v>1522504.0100000009</v>
      </c>
      <c r="BF201" s="528">
        <v>134916.88999999981</v>
      </c>
      <c r="BG201" s="528">
        <v>-78221.42000000109</v>
      </c>
      <c r="BH201" s="528">
        <v>56695.469999998721</v>
      </c>
      <c r="BI201" s="528">
        <v>6396.25</v>
      </c>
      <c r="BJ201" s="528">
        <v>0</v>
      </c>
      <c r="BK201" s="528">
        <v>0</v>
      </c>
      <c r="BL201" s="528">
        <v>6396.25</v>
      </c>
      <c r="BM201" s="528">
        <v>0</v>
      </c>
      <c r="BN201" s="528">
        <v>19360</v>
      </c>
      <c r="BO201" s="528">
        <v>0</v>
      </c>
      <c r="BP201" s="528">
        <v>0</v>
      </c>
      <c r="BQ201" s="528">
        <v>19360</v>
      </c>
      <c r="BR201" s="528">
        <v>28630.629999999997</v>
      </c>
      <c r="BS201" s="528">
        <v>-12963.75</v>
      </c>
      <c r="BT201" s="528">
        <v>15666.879999999997</v>
      </c>
      <c r="BU201" s="528">
        <v>0</v>
      </c>
      <c r="BV201" s="528">
        <v>0</v>
      </c>
      <c r="BW201" s="528">
        <v>0</v>
      </c>
      <c r="BX201" s="528">
        <v>0</v>
      </c>
      <c r="BY201" s="528">
        <v>0</v>
      </c>
      <c r="BZ201" s="528">
        <v>0</v>
      </c>
      <c r="CA201" s="528">
        <v>0</v>
      </c>
      <c r="CB201" s="528">
        <v>0</v>
      </c>
      <c r="CC201" s="528">
        <v>0</v>
      </c>
      <c r="CD201" s="528">
        <v>56695.469999998721</v>
      </c>
      <c r="CE201" s="528">
        <v>0</v>
      </c>
      <c r="CF201" s="528">
        <v>15666.879999999997</v>
      </c>
      <c r="CG201" s="528">
        <v>0</v>
      </c>
      <c r="CH201" s="528">
        <v>0</v>
      </c>
      <c r="CI201" s="528">
        <f t="shared" ref="CI201:CI207" si="3">SUM(CD201:CF201)</f>
        <v>72362.349999998725</v>
      </c>
      <c r="CJ201" s="528">
        <v>160587.39000000001</v>
      </c>
      <c r="CK201" s="528">
        <v>0</v>
      </c>
      <c r="CL201" s="528">
        <v>0</v>
      </c>
      <c r="CM201" s="528">
        <v>160587.39000000001</v>
      </c>
      <c r="CN201" s="528">
        <v>0</v>
      </c>
      <c r="CO201" s="528">
        <v>0</v>
      </c>
      <c r="CP201" s="528">
        <v>4325.1400000000003</v>
      </c>
      <c r="CQ201" s="528">
        <v>0</v>
      </c>
      <c r="CR201" s="528">
        <v>-93417.900000000009</v>
      </c>
      <c r="CS201" s="528">
        <v>71494.630000000019</v>
      </c>
      <c r="CT201" s="528">
        <v>0</v>
      </c>
      <c r="CU201" s="528">
        <v>0</v>
      </c>
      <c r="CV201" s="528">
        <v>0</v>
      </c>
      <c r="CW201" s="528">
        <v>0</v>
      </c>
      <c r="CX201" s="528"/>
      <c r="CY201" s="528"/>
      <c r="CZ201" s="528"/>
      <c r="DA201" s="528">
        <v>0</v>
      </c>
      <c r="DB201" s="528">
        <v>0</v>
      </c>
      <c r="DC201" s="528">
        <v>0</v>
      </c>
      <c r="DD201" s="528">
        <v>4204.09</v>
      </c>
      <c r="DE201" s="528">
        <v>0</v>
      </c>
      <c r="DF201" s="528">
        <v>0</v>
      </c>
      <c r="DG201" s="528">
        <v>-3336.38</v>
      </c>
      <c r="DH201" s="528">
        <v>0</v>
      </c>
      <c r="DI201" s="528">
        <v>0</v>
      </c>
      <c r="DJ201" s="528">
        <v>0</v>
      </c>
      <c r="DK201" s="528">
        <v>867.71</v>
      </c>
      <c r="DL201" s="528">
        <v>0</v>
      </c>
      <c r="DM201" s="528">
        <v>0</v>
      </c>
      <c r="DN201" s="528">
        <v>0</v>
      </c>
      <c r="DO201" s="528">
        <v>0</v>
      </c>
      <c r="DP201" s="528">
        <v>0</v>
      </c>
      <c r="DQ201" s="529">
        <v>9.9999999802093953E-3</v>
      </c>
      <c r="DR201" s="530">
        <v>1144720.5000000009</v>
      </c>
      <c r="DS201" s="531">
        <v>377783.51</v>
      </c>
      <c r="DT201" s="530">
        <v>99286.409999999945</v>
      </c>
      <c r="DU201" s="530">
        <v>72803.01999999999</v>
      </c>
      <c r="DV201" s="530">
        <v>47197.9</v>
      </c>
      <c r="DW201" s="530">
        <v>0</v>
      </c>
    </row>
    <row r="202" spans="1:127" s="103" customFormat="1">
      <c r="A202" s="525">
        <v>2317</v>
      </c>
      <c r="B202" s="526" t="s">
        <v>851</v>
      </c>
      <c r="C202" s="525">
        <v>2317</v>
      </c>
      <c r="D202" s="527" t="s">
        <v>1284</v>
      </c>
      <c r="E202" s="527" t="s">
        <v>538</v>
      </c>
      <c r="F202" s="527" t="s">
        <v>5</v>
      </c>
      <c r="G202" s="527" t="s">
        <v>535</v>
      </c>
      <c r="H202" s="528">
        <v>1950561.46</v>
      </c>
      <c r="I202" s="528">
        <v>0</v>
      </c>
      <c r="J202" s="528">
        <v>82566.78</v>
      </c>
      <c r="K202" s="528">
        <v>0</v>
      </c>
      <c r="L202" s="528">
        <v>135380</v>
      </c>
      <c r="M202" s="528">
        <v>0</v>
      </c>
      <c r="N202" s="528">
        <v>0</v>
      </c>
      <c r="O202" s="528">
        <v>0</v>
      </c>
      <c r="P202" s="528">
        <v>40494.82</v>
      </c>
      <c r="Q202" s="528">
        <v>30347.99</v>
      </c>
      <c r="R202" s="528">
        <v>0</v>
      </c>
      <c r="S202" s="528">
        <v>0</v>
      </c>
      <c r="T202" s="528">
        <v>0</v>
      </c>
      <c r="U202" s="528">
        <v>0</v>
      </c>
      <c r="V202" s="528">
        <v>0</v>
      </c>
      <c r="W202" s="528">
        <v>3215.11</v>
      </c>
      <c r="X202" s="528">
        <v>84974</v>
      </c>
      <c r="Y202" s="528">
        <v>2327540.16</v>
      </c>
      <c r="Z202" s="528">
        <v>986998.17999999819</v>
      </c>
      <c r="AA202" s="528">
        <v>4697.83</v>
      </c>
      <c r="AB202" s="528">
        <v>2616.7799999999984</v>
      </c>
      <c r="AC202" s="528">
        <v>64509.059999999707</v>
      </c>
      <c r="AD202" s="528">
        <v>356041.79</v>
      </c>
      <c r="AE202" s="528">
        <v>0</v>
      </c>
      <c r="AF202" s="528">
        <v>406351.35000000062</v>
      </c>
      <c r="AG202" s="528">
        <v>19334.659999999996</v>
      </c>
      <c r="AH202" s="528">
        <v>0</v>
      </c>
      <c r="AI202" s="528">
        <v>0</v>
      </c>
      <c r="AJ202" s="528">
        <v>0</v>
      </c>
      <c r="AK202" s="528">
        <v>440</v>
      </c>
      <c r="AL202" s="528">
        <v>0</v>
      </c>
      <c r="AM202" s="528">
        <v>569.76</v>
      </c>
      <c r="AN202" s="528">
        <v>0</v>
      </c>
      <c r="AO202" s="528">
        <v>117704.4</v>
      </c>
      <c r="AP202" s="528">
        <v>15383.15</v>
      </c>
      <c r="AQ202" s="528">
        <v>0</v>
      </c>
      <c r="AR202" s="528">
        <v>192629.78000000003</v>
      </c>
      <c r="AS202" s="528">
        <v>0</v>
      </c>
      <c r="AT202" s="528">
        <v>300.5</v>
      </c>
      <c r="AU202" s="528">
        <v>163589.86000000004</v>
      </c>
      <c r="AV202" s="528">
        <v>5139.75</v>
      </c>
      <c r="AW202" s="528">
        <v>0</v>
      </c>
      <c r="AX202" s="528">
        <v>144501.1</v>
      </c>
      <c r="AY202" s="528">
        <v>0</v>
      </c>
      <c r="AZ202" s="528">
        <v>6392.85</v>
      </c>
      <c r="BA202" s="528">
        <v>20968.3</v>
      </c>
      <c r="BB202" s="528">
        <v>0</v>
      </c>
      <c r="BC202" s="528">
        <v>0</v>
      </c>
      <c r="BD202" s="528">
        <v>0</v>
      </c>
      <c r="BE202" s="528">
        <v>2508169.0999999982</v>
      </c>
      <c r="BF202" s="528">
        <v>88626.849999999977</v>
      </c>
      <c r="BG202" s="528">
        <v>-180628.93999999808</v>
      </c>
      <c r="BH202" s="528">
        <v>-92002.089999998105</v>
      </c>
      <c r="BI202" s="528">
        <v>7543.75</v>
      </c>
      <c r="BJ202" s="528">
        <v>0</v>
      </c>
      <c r="BK202" s="528">
        <v>0</v>
      </c>
      <c r="BL202" s="528">
        <v>7543.75</v>
      </c>
      <c r="BM202" s="528">
        <v>0</v>
      </c>
      <c r="BN202" s="528">
        <v>2349</v>
      </c>
      <c r="BO202" s="528">
        <v>0</v>
      </c>
      <c r="BP202" s="528">
        <v>0</v>
      </c>
      <c r="BQ202" s="528">
        <v>2349</v>
      </c>
      <c r="BR202" s="528">
        <v>13129.549999999997</v>
      </c>
      <c r="BS202" s="528">
        <v>5194.75</v>
      </c>
      <c r="BT202" s="528">
        <v>18324.299999999996</v>
      </c>
      <c r="BU202" s="528">
        <v>0</v>
      </c>
      <c r="BV202" s="528">
        <v>0</v>
      </c>
      <c r="BW202" s="528">
        <v>0</v>
      </c>
      <c r="BX202" s="528">
        <v>0</v>
      </c>
      <c r="BY202" s="528">
        <v>0</v>
      </c>
      <c r="BZ202" s="528">
        <v>0</v>
      </c>
      <c r="CA202" s="528">
        <v>0</v>
      </c>
      <c r="CB202" s="528">
        <v>0</v>
      </c>
      <c r="CC202" s="528">
        <v>0</v>
      </c>
      <c r="CD202" s="528">
        <v>-92002.089999998105</v>
      </c>
      <c r="CE202" s="528">
        <v>0</v>
      </c>
      <c r="CF202" s="528">
        <v>18324.299999999996</v>
      </c>
      <c r="CG202" s="528">
        <v>0</v>
      </c>
      <c r="CH202" s="528">
        <v>0</v>
      </c>
      <c r="CI202" s="528">
        <f t="shared" si="3"/>
        <v>-73677.789999998116</v>
      </c>
      <c r="CJ202" s="528">
        <v>122000.85</v>
      </c>
      <c r="CK202" s="528">
        <v>0</v>
      </c>
      <c r="CL202" s="528">
        <v>0</v>
      </c>
      <c r="CM202" s="528">
        <v>122000.85</v>
      </c>
      <c r="CN202" s="528">
        <v>0</v>
      </c>
      <c r="CO202" s="528">
        <v>0</v>
      </c>
      <c r="CP202" s="528">
        <v>2106.81</v>
      </c>
      <c r="CQ202" s="528">
        <v>0</v>
      </c>
      <c r="CR202" s="528">
        <v>-171452.06999999998</v>
      </c>
      <c r="CS202" s="528">
        <v>-47344.409999999974</v>
      </c>
      <c r="CT202" s="528">
        <v>0</v>
      </c>
      <c r="CU202" s="528">
        <v>0</v>
      </c>
      <c r="CV202" s="528">
        <v>0</v>
      </c>
      <c r="CW202" s="528">
        <v>0</v>
      </c>
      <c r="CX202" s="528"/>
      <c r="CY202" s="528"/>
      <c r="CZ202" s="528"/>
      <c r="DA202" s="528">
        <v>0</v>
      </c>
      <c r="DB202" s="528">
        <v>0</v>
      </c>
      <c r="DC202" s="528">
        <v>0</v>
      </c>
      <c r="DD202" s="528">
        <v>3036.46</v>
      </c>
      <c r="DE202" s="528">
        <v>0</v>
      </c>
      <c r="DF202" s="528">
        <v>0</v>
      </c>
      <c r="DG202" s="528">
        <v>0</v>
      </c>
      <c r="DH202" s="528">
        <v>-29369.85</v>
      </c>
      <c r="DI202" s="528">
        <v>0</v>
      </c>
      <c r="DJ202" s="528">
        <v>0</v>
      </c>
      <c r="DK202" s="528">
        <v>-26333.39</v>
      </c>
      <c r="DL202" s="528">
        <v>0</v>
      </c>
      <c r="DM202" s="528">
        <v>0</v>
      </c>
      <c r="DN202" s="528">
        <v>0</v>
      </c>
      <c r="DO202" s="528">
        <v>0</v>
      </c>
      <c r="DP202" s="528">
        <v>0</v>
      </c>
      <c r="DQ202" s="529">
        <v>9.9999999729334377E-3</v>
      </c>
      <c r="DR202" s="530">
        <v>1840549.6499999983</v>
      </c>
      <c r="DS202" s="531">
        <v>667619.44999999995</v>
      </c>
      <c r="DT202" s="530">
        <v>0</v>
      </c>
      <c r="DU202" s="530">
        <v>70842.81</v>
      </c>
      <c r="DV202" s="530">
        <v>0</v>
      </c>
      <c r="DW202" s="530">
        <v>0</v>
      </c>
    </row>
    <row r="203" spans="1:127" s="103" customFormat="1">
      <c r="A203" s="525">
        <v>2225</v>
      </c>
      <c r="B203" s="526" t="s">
        <v>853</v>
      </c>
      <c r="C203" s="525">
        <v>2225</v>
      </c>
      <c r="D203" s="527" t="s">
        <v>1284</v>
      </c>
      <c r="E203" s="527" t="s">
        <v>538</v>
      </c>
      <c r="F203" s="527" t="s">
        <v>5</v>
      </c>
      <c r="G203" s="527" t="s">
        <v>535</v>
      </c>
      <c r="H203" s="528">
        <v>2180712.71</v>
      </c>
      <c r="I203" s="528">
        <v>0</v>
      </c>
      <c r="J203" s="528">
        <v>226249.93</v>
      </c>
      <c r="K203" s="528">
        <v>0</v>
      </c>
      <c r="L203" s="528">
        <v>257520</v>
      </c>
      <c r="M203" s="528">
        <v>8571.2900000000009</v>
      </c>
      <c r="N203" s="528">
        <v>67299</v>
      </c>
      <c r="O203" s="528">
        <v>0</v>
      </c>
      <c r="P203" s="528">
        <v>19654.599999999999</v>
      </c>
      <c r="Q203" s="528">
        <v>31845.43</v>
      </c>
      <c r="R203" s="528">
        <v>0</v>
      </c>
      <c r="S203" s="528">
        <v>0</v>
      </c>
      <c r="T203" s="528">
        <v>58650.89</v>
      </c>
      <c r="U203" s="528">
        <v>79629.600000000006</v>
      </c>
      <c r="V203" s="528">
        <v>0</v>
      </c>
      <c r="W203" s="528">
        <v>-640</v>
      </c>
      <c r="X203" s="528">
        <v>19634</v>
      </c>
      <c r="Y203" s="528">
        <v>2949127.4500000007</v>
      </c>
      <c r="Z203" s="528">
        <v>1110713.53</v>
      </c>
      <c r="AA203" s="528">
        <v>0</v>
      </c>
      <c r="AB203" s="528">
        <v>656495.35</v>
      </c>
      <c r="AC203" s="528">
        <v>77571.44</v>
      </c>
      <c r="AD203" s="528">
        <v>152644.85</v>
      </c>
      <c r="AE203" s="528">
        <v>0</v>
      </c>
      <c r="AF203" s="528">
        <v>54241.98</v>
      </c>
      <c r="AG203" s="528">
        <v>746.14</v>
      </c>
      <c r="AH203" s="528">
        <v>10884.6</v>
      </c>
      <c r="AI203" s="528">
        <v>0</v>
      </c>
      <c r="AJ203" s="528">
        <v>0</v>
      </c>
      <c r="AK203" s="528">
        <v>52209.87</v>
      </c>
      <c r="AL203" s="528">
        <v>1173.8</v>
      </c>
      <c r="AM203" s="528">
        <v>5935.41</v>
      </c>
      <c r="AN203" s="528">
        <v>8777.26</v>
      </c>
      <c r="AO203" s="528">
        <v>105153.16</v>
      </c>
      <c r="AP203" s="528">
        <v>20391.63</v>
      </c>
      <c r="AQ203" s="528">
        <v>12813.43</v>
      </c>
      <c r="AR203" s="528">
        <v>86882.34</v>
      </c>
      <c r="AS203" s="528">
        <v>727.3</v>
      </c>
      <c r="AT203" s="528">
        <v>1584</v>
      </c>
      <c r="AU203" s="528">
        <v>18953.43</v>
      </c>
      <c r="AV203" s="528">
        <v>9250</v>
      </c>
      <c r="AW203" s="528">
        <v>6266.5</v>
      </c>
      <c r="AX203" s="528">
        <v>135707</v>
      </c>
      <c r="AY203" s="528">
        <v>84612.76</v>
      </c>
      <c r="AZ203" s="528">
        <v>51870.92</v>
      </c>
      <c r="BA203" s="528">
        <v>142754.01999999999</v>
      </c>
      <c r="BB203" s="528">
        <v>0</v>
      </c>
      <c r="BC203" s="528">
        <v>0</v>
      </c>
      <c r="BD203" s="528">
        <v>0</v>
      </c>
      <c r="BE203" s="528">
        <v>2808360.7199999993</v>
      </c>
      <c r="BF203" s="528">
        <v>436365.16999999946</v>
      </c>
      <c r="BG203" s="528">
        <v>140766.73000000138</v>
      </c>
      <c r="BH203" s="528">
        <v>577131.90000000084</v>
      </c>
      <c r="BI203" s="528">
        <v>8016.25</v>
      </c>
      <c r="BJ203" s="528">
        <v>0</v>
      </c>
      <c r="BK203" s="528">
        <v>0</v>
      </c>
      <c r="BL203" s="528">
        <v>8016.25</v>
      </c>
      <c r="BM203" s="528">
        <v>0</v>
      </c>
      <c r="BN203" s="528">
        <v>0</v>
      </c>
      <c r="BO203" s="528">
        <v>0</v>
      </c>
      <c r="BP203" s="528">
        <v>0</v>
      </c>
      <c r="BQ203" s="528">
        <v>0</v>
      </c>
      <c r="BR203" s="528">
        <v>50167.5</v>
      </c>
      <c r="BS203" s="528">
        <v>8016.25</v>
      </c>
      <c r="BT203" s="528">
        <v>58183.75</v>
      </c>
      <c r="BU203" s="528">
        <v>0</v>
      </c>
      <c r="BV203" s="528">
        <v>0</v>
      </c>
      <c r="BW203" s="528">
        <v>0</v>
      </c>
      <c r="BX203" s="528">
        <v>0</v>
      </c>
      <c r="BY203" s="528">
        <v>0</v>
      </c>
      <c r="BZ203" s="528">
        <v>0</v>
      </c>
      <c r="CA203" s="528">
        <v>0</v>
      </c>
      <c r="CB203" s="528">
        <v>0</v>
      </c>
      <c r="CC203" s="528">
        <v>0</v>
      </c>
      <c r="CD203" s="528">
        <v>577131.90000000084</v>
      </c>
      <c r="CE203" s="528">
        <v>0</v>
      </c>
      <c r="CF203" s="528">
        <v>58183.75</v>
      </c>
      <c r="CG203" s="528">
        <v>0</v>
      </c>
      <c r="CH203" s="528">
        <v>0</v>
      </c>
      <c r="CI203" s="528">
        <f t="shared" si="3"/>
        <v>635315.65000000084</v>
      </c>
      <c r="CJ203" s="528">
        <v>917754.95</v>
      </c>
      <c r="CK203" s="528">
        <v>12790.93</v>
      </c>
      <c r="CL203" s="528">
        <v>1361.03</v>
      </c>
      <c r="CM203" s="528">
        <v>906325.04999999993</v>
      </c>
      <c r="CN203" s="528">
        <v>0</v>
      </c>
      <c r="CO203" s="528">
        <v>0</v>
      </c>
      <c r="CP203" s="528">
        <v>4449.1499999999996</v>
      </c>
      <c r="CQ203" s="528">
        <v>4614.84</v>
      </c>
      <c r="CR203" s="528">
        <v>0</v>
      </c>
      <c r="CS203" s="528">
        <v>915389.03999999992</v>
      </c>
      <c r="CT203" s="528">
        <v>49005.85</v>
      </c>
      <c r="CU203" s="528">
        <v>0</v>
      </c>
      <c r="CV203" s="528">
        <v>0</v>
      </c>
      <c r="CW203" s="528">
        <v>49005.85</v>
      </c>
      <c r="CX203" s="528"/>
      <c r="CY203" s="528"/>
      <c r="CZ203" s="528"/>
      <c r="DA203" s="528">
        <v>0</v>
      </c>
      <c r="DB203" s="528">
        <v>49005.85</v>
      </c>
      <c r="DC203" s="528">
        <v>9410</v>
      </c>
      <c r="DD203" s="528">
        <v>0</v>
      </c>
      <c r="DE203" s="528">
        <v>0</v>
      </c>
      <c r="DF203" s="528">
        <v>0</v>
      </c>
      <c r="DG203" s="528">
        <v>-83208.759999999995</v>
      </c>
      <c r="DH203" s="528">
        <v>-37871.24</v>
      </c>
      <c r="DI203" s="528">
        <v>0</v>
      </c>
      <c r="DJ203" s="528">
        <v>0</v>
      </c>
      <c r="DK203" s="528">
        <v>-111670</v>
      </c>
      <c r="DL203" s="528">
        <v>0</v>
      </c>
      <c r="DM203" s="528">
        <v>0</v>
      </c>
      <c r="DN203" s="528">
        <v>-50988.79</v>
      </c>
      <c r="DO203" s="528">
        <v>-166420.43</v>
      </c>
      <c r="DP203" s="528">
        <v>0</v>
      </c>
      <c r="DQ203" s="529">
        <v>-1.999999990221113E-2</v>
      </c>
      <c r="DR203" s="530">
        <v>2052413.2899999998</v>
      </c>
      <c r="DS203" s="531">
        <v>755947.42999999947</v>
      </c>
      <c r="DT203" s="530">
        <v>84612.76</v>
      </c>
      <c r="DU203" s="530">
        <v>110150.92</v>
      </c>
      <c r="DV203" s="530">
        <v>79629.600000000006</v>
      </c>
      <c r="DW203" s="530">
        <v>-217409.22</v>
      </c>
    </row>
    <row r="204" spans="1:127" s="103" customFormat="1">
      <c r="A204" s="525">
        <v>2412</v>
      </c>
      <c r="B204" s="526" t="s">
        <v>855</v>
      </c>
      <c r="C204" s="525">
        <v>2412</v>
      </c>
      <c r="D204" s="527" t="s">
        <v>1284</v>
      </c>
      <c r="E204" s="527" t="s">
        <v>538</v>
      </c>
      <c r="F204" s="527" t="s">
        <v>5</v>
      </c>
      <c r="G204" s="527" t="s">
        <v>535</v>
      </c>
      <c r="H204" s="528">
        <v>2150447.38</v>
      </c>
      <c r="I204" s="528">
        <v>0</v>
      </c>
      <c r="J204" s="528">
        <v>105527.48</v>
      </c>
      <c r="K204" s="528">
        <v>0</v>
      </c>
      <c r="L204" s="528">
        <v>159760</v>
      </c>
      <c r="M204" s="528">
        <v>9371.2900000000009</v>
      </c>
      <c r="N204" s="528">
        <v>0</v>
      </c>
      <c r="O204" s="528">
        <v>616</v>
      </c>
      <c r="P204" s="528">
        <v>659.61999999999989</v>
      </c>
      <c r="Q204" s="528">
        <v>0</v>
      </c>
      <c r="R204" s="528">
        <v>0</v>
      </c>
      <c r="S204" s="528">
        <v>0</v>
      </c>
      <c r="T204" s="528">
        <v>30576.83</v>
      </c>
      <c r="U204" s="528">
        <v>118072.16</v>
      </c>
      <c r="V204" s="528">
        <v>0</v>
      </c>
      <c r="W204" s="528">
        <v>6196.88</v>
      </c>
      <c r="X204" s="528">
        <v>83739</v>
      </c>
      <c r="Y204" s="528">
        <v>2664966.64</v>
      </c>
      <c r="Z204" s="528">
        <v>1441779.31</v>
      </c>
      <c r="AA204" s="528">
        <v>0</v>
      </c>
      <c r="AB204" s="528">
        <v>189479.21</v>
      </c>
      <c r="AC204" s="528">
        <v>84715.05</v>
      </c>
      <c r="AD204" s="528">
        <v>85625.98</v>
      </c>
      <c r="AE204" s="528">
        <v>0</v>
      </c>
      <c r="AF204" s="528">
        <v>48699.54</v>
      </c>
      <c r="AG204" s="528">
        <v>7521.76</v>
      </c>
      <c r="AH204" s="528">
        <v>3797.68</v>
      </c>
      <c r="AI204" s="528">
        <v>0</v>
      </c>
      <c r="AJ204" s="528">
        <v>0</v>
      </c>
      <c r="AK204" s="528">
        <v>6849.54</v>
      </c>
      <c r="AL204" s="528">
        <v>2200</v>
      </c>
      <c r="AM204" s="528">
        <v>6023.18</v>
      </c>
      <c r="AN204" s="528">
        <v>7887.48</v>
      </c>
      <c r="AO204" s="528">
        <v>51434.54</v>
      </c>
      <c r="AP204" s="528">
        <v>32064.81</v>
      </c>
      <c r="AQ204" s="528">
        <v>9979.74</v>
      </c>
      <c r="AR204" s="528">
        <v>83060.25</v>
      </c>
      <c r="AS204" s="528">
        <v>67518.490000000005</v>
      </c>
      <c r="AT204" s="528">
        <v>0</v>
      </c>
      <c r="AU204" s="528">
        <v>31935.98</v>
      </c>
      <c r="AV204" s="528">
        <v>9471</v>
      </c>
      <c r="AW204" s="528">
        <v>2205.4</v>
      </c>
      <c r="AX204" s="528">
        <v>84500.52</v>
      </c>
      <c r="AY204" s="528">
        <v>203189.46</v>
      </c>
      <c r="AZ204" s="528">
        <v>16639.330000000002</v>
      </c>
      <c r="BA204" s="528">
        <v>140942.42000000001</v>
      </c>
      <c r="BB204" s="528">
        <v>0</v>
      </c>
      <c r="BC204" s="528">
        <v>0</v>
      </c>
      <c r="BD204" s="528">
        <v>0</v>
      </c>
      <c r="BE204" s="528">
        <v>2617520.67</v>
      </c>
      <c r="BF204" s="528">
        <v>569347.34000000008</v>
      </c>
      <c r="BG204" s="528">
        <v>47445.970000000205</v>
      </c>
      <c r="BH204" s="528">
        <v>616793.31000000029</v>
      </c>
      <c r="BI204" s="528">
        <v>8725</v>
      </c>
      <c r="BJ204" s="528">
        <v>0</v>
      </c>
      <c r="BK204" s="528">
        <v>0</v>
      </c>
      <c r="BL204" s="528">
        <v>8725</v>
      </c>
      <c r="BM204" s="528">
        <v>0</v>
      </c>
      <c r="BN204" s="528">
        <v>0</v>
      </c>
      <c r="BO204" s="528">
        <v>0</v>
      </c>
      <c r="BP204" s="528">
        <v>0</v>
      </c>
      <c r="BQ204" s="528">
        <v>0</v>
      </c>
      <c r="BR204" s="528">
        <v>61544.25</v>
      </c>
      <c r="BS204" s="528">
        <v>8725</v>
      </c>
      <c r="BT204" s="528">
        <v>70269.25</v>
      </c>
      <c r="BU204" s="528">
        <v>0</v>
      </c>
      <c r="BV204" s="528">
        <v>0</v>
      </c>
      <c r="BW204" s="528">
        <v>0</v>
      </c>
      <c r="BX204" s="528">
        <v>0</v>
      </c>
      <c r="BY204" s="528">
        <v>0</v>
      </c>
      <c r="BZ204" s="528">
        <v>0</v>
      </c>
      <c r="CA204" s="528">
        <v>0</v>
      </c>
      <c r="CB204" s="528">
        <v>0</v>
      </c>
      <c r="CC204" s="528">
        <v>0</v>
      </c>
      <c r="CD204" s="528">
        <v>616793.31000000029</v>
      </c>
      <c r="CE204" s="528">
        <v>0</v>
      </c>
      <c r="CF204" s="528">
        <v>70269.25</v>
      </c>
      <c r="CG204" s="528">
        <v>0</v>
      </c>
      <c r="CH204" s="528">
        <v>0</v>
      </c>
      <c r="CI204" s="528">
        <f t="shared" si="3"/>
        <v>687062.56000000029</v>
      </c>
      <c r="CJ204" s="528">
        <v>827157.67</v>
      </c>
      <c r="CK204" s="528">
        <v>149442</v>
      </c>
      <c r="CL204" s="528">
        <v>0</v>
      </c>
      <c r="CM204" s="528">
        <v>677715.67</v>
      </c>
      <c r="CN204" s="528">
        <v>0</v>
      </c>
      <c r="CO204" s="528">
        <v>0</v>
      </c>
      <c r="CP204" s="528">
        <v>21619.56</v>
      </c>
      <c r="CQ204" s="528">
        <v>0</v>
      </c>
      <c r="CR204" s="528">
        <v>0</v>
      </c>
      <c r="CS204" s="528">
        <v>699335.2300000001</v>
      </c>
      <c r="CT204" s="528">
        <v>0</v>
      </c>
      <c r="CU204" s="528">
        <v>0</v>
      </c>
      <c r="CV204" s="528">
        <v>0</v>
      </c>
      <c r="CW204" s="528">
        <v>0</v>
      </c>
      <c r="CX204" s="528"/>
      <c r="CY204" s="528"/>
      <c r="CZ204" s="528"/>
      <c r="DA204" s="528">
        <v>0</v>
      </c>
      <c r="DB204" s="528">
        <v>0</v>
      </c>
      <c r="DC204" s="528">
        <v>0</v>
      </c>
      <c r="DD204" s="528">
        <v>571.54999999999995</v>
      </c>
      <c r="DE204" s="528">
        <v>0</v>
      </c>
      <c r="DF204" s="528">
        <v>0</v>
      </c>
      <c r="DG204" s="528">
        <v>-12778</v>
      </c>
      <c r="DH204" s="528">
        <v>0</v>
      </c>
      <c r="DI204" s="528">
        <v>0</v>
      </c>
      <c r="DJ204" s="528">
        <v>0</v>
      </c>
      <c r="DK204" s="528">
        <v>-12206.45</v>
      </c>
      <c r="DL204" s="528">
        <v>-220</v>
      </c>
      <c r="DM204" s="528">
        <v>0</v>
      </c>
      <c r="DN204" s="528">
        <v>154</v>
      </c>
      <c r="DO204" s="528">
        <v>0</v>
      </c>
      <c r="DP204" s="528">
        <v>0</v>
      </c>
      <c r="DQ204" s="529">
        <v>6.4028427004814148E-10</v>
      </c>
      <c r="DR204" s="530">
        <v>1857820.85</v>
      </c>
      <c r="DS204" s="531">
        <v>759699.81999999983</v>
      </c>
      <c r="DT204" s="530">
        <v>203189.46</v>
      </c>
      <c r="DU204" s="530">
        <v>31852.45</v>
      </c>
      <c r="DV204" s="530">
        <v>118072.16</v>
      </c>
      <c r="DW204" s="530">
        <v>-66</v>
      </c>
    </row>
    <row r="205" spans="1:127" s="103" customFormat="1">
      <c r="A205" s="525">
        <v>3421</v>
      </c>
      <c r="B205" s="526" t="s">
        <v>857</v>
      </c>
      <c r="C205" s="525">
        <v>3421</v>
      </c>
      <c r="D205" s="527" t="s">
        <v>1284</v>
      </c>
      <c r="E205" s="527" t="s">
        <v>538</v>
      </c>
      <c r="F205" s="527" t="s">
        <v>5</v>
      </c>
      <c r="G205" s="527" t="s">
        <v>535</v>
      </c>
      <c r="H205" s="528">
        <v>4274605.9400000004</v>
      </c>
      <c r="I205" s="528">
        <v>0</v>
      </c>
      <c r="J205" s="528">
        <v>155377.51</v>
      </c>
      <c r="K205" s="528">
        <v>0</v>
      </c>
      <c r="L205" s="528">
        <v>421170</v>
      </c>
      <c r="M205" s="528">
        <v>180664.29</v>
      </c>
      <c r="N205" s="528">
        <v>0</v>
      </c>
      <c r="O205" s="528">
        <v>180</v>
      </c>
      <c r="P205" s="528">
        <v>62307.069999999992</v>
      </c>
      <c r="Q205" s="528">
        <v>36351.370000000003</v>
      </c>
      <c r="R205" s="528">
        <v>0</v>
      </c>
      <c r="S205" s="528">
        <v>0</v>
      </c>
      <c r="T205" s="528">
        <v>167401.09999999992</v>
      </c>
      <c r="U205" s="528">
        <v>0</v>
      </c>
      <c r="V205" s="528">
        <v>0</v>
      </c>
      <c r="W205" s="528">
        <v>24353.96</v>
      </c>
      <c r="X205" s="528">
        <v>123790</v>
      </c>
      <c r="Y205" s="528">
        <v>5446201.2400000002</v>
      </c>
      <c r="Z205" s="528">
        <v>3077455.4699999974</v>
      </c>
      <c r="AA205" s="528">
        <v>131859.43000000002</v>
      </c>
      <c r="AB205" s="528">
        <v>702273.39</v>
      </c>
      <c r="AC205" s="528">
        <v>93727.350000000326</v>
      </c>
      <c r="AD205" s="528">
        <v>228754.94</v>
      </c>
      <c r="AE205" s="528">
        <v>0</v>
      </c>
      <c r="AF205" s="528">
        <v>146152.63</v>
      </c>
      <c r="AG205" s="528">
        <v>44274.749999999942</v>
      </c>
      <c r="AH205" s="528">
        <v>0</v>
      </c>
      <c r="AI205" s="528">
        <v>0</v>
      </c>
      <c r="AJ205" s="528">
        <v>0</v>
      </c>
      <c r="AK205" s="528">
        <v>10175.459999999999</v>
      </c>
      <c r="AL205" s="528">
        <v>114.32</v>
      </c>
      <c r="AM205" s="528">
        <v>81611.920000000013</v>
      </c>
      <c r="AN205" s="528">
        <v>16643.25</v>
      </c>
      <c r="AO205" s="528">
        <v>86931.17</v>
      </c>
      <c r="AP205" s="528">
        <v>32542.02</v>
      </c>
      <c r="AQ205" s="528">
        <v>6276.3899999999994</v>
      </c>
      <c r="AR205" s="528">
        <v>415966.27000000008</v>
      </c>
      <c r="AS205" s="528">
        <v>25046.960000000003</v>
      </c>
      <c r="AT205" s="528">
        <v>0</v>
      </c>
      <c r="AU205" s="528">
        <v>109834.69999999998</v>
      </c>
      <c r="AV205" s="528">
        <v>24312.75</v>
      </c>
      <c r="AW205" s="528">
        <v>6975</v>
      </c>
      <c r="AX205" s="528">
        <v>256042.51</v>
      </c>
      <c r="AY205" s="528">
        <v>10209.509999999998</v>
      </c>
      <c r="AZ205" s="528">
        <v>20833.169999999998</v>
      </c>
      <c r="BA205" s="528">
        <v>105485.1</v>
      </c>
      <c r="BB205" s="528">
        <v>0</v>
      </c>
      <c r="BC205" s="528">
        <v>0</v>
      </c>
      <c r="BD205" s="528">
        <v>0</v>
      </c>
      <c r="BE205" s="528">
        <v>5633498.4599999972</v>
      </c>
      <c r="BF205" s="528">
        <v>384641.16999999981</v>
      </c>
      <c r="BG205" s="528">
        <v>-187297.21999999695</v>
      </c>
      <c r="BH205" s="528">
        <v>197343.95000000286</v>
      </c>
      <c r="BI205" s="528">
        <v>13438.75</v>
      </c>
      <c r="BJ205" s="528">
        <v>0</v>
      </c>
      <c r="BK205" s="528">
        <v>0</v>
      </c>
      <c r="BL205" s="528">
        <v>13438.75</v>
      </c>
      <c r="BM205" s="528">
        <v>0</v>
      </c>
      <c r="BN205" s="528">
        <v>8335.57</v>
      </c>
      <c r="BO205" s="528">
        <v>0</v>
      </c>
      <c r="BP205" s="528">
        <v>0</v>
      </c>
      <c r="BQ205" s="528">
        <v>8335.57</v>
      </c>
      <c r="BR205" s="528">
        <v>1798.1299999999974</v>
      </c>
      <c r="BS205" s="528">
        <v>5103.18</v>
      </c>
      <c r="BT205" s="528">
        <v>6901.3099999999977</v>
      </c>
      <c r="BU205" s="528">
        <v>0</v>
      </c>
      <c r="BV205" s="528">
        <v>0</v>
      </c>
      <c r="BW205" s="528">
        <v>0</v>
      </c>
      <c r="BX205" s="528">
        <v>0</v>
      </c>
      <c r="BY205" s="528">
        <v>0</v>
      </c>
      <c r="BZ205" s="528">
        <v>0</v>
      </c>
      <c r="CA205" s="528">
        <v>0</v>
      </c>
      <c r="CB205" s="528">
        <v>0</v>
      </c>
      <c r="CC205" s="528">
        <v>0</v>
      </c>
      <c r="CD205" s="528">
        <v>197343.95000000286</v>
      </c>
      <c r="CE205" s="528">
        <v>0</v>
      </c>
      <c r="CF205" s="528">
        <v>6901.3099999999977</v>
      </c>
      <c r="CG205" s="528">
        <v>0</v>
      </c>
      <c r="CH205" s="528">
        <v>0</v>
      </c>
      <c r="CI205" s="528">
        <f t="shared" si="3"/>
        <v>204245.26000000286</v>
      </c>
      <c r="CJ205" s="528">
        <v>569477.11</v>
      </c>
      <c r="CK205" s="528">
        <v>2027.31</v>
      </c>
      <c r="CL205" s="528">
        <v>250</v>
      </c>
      <c r="CM205" s="528">
        <v>567699.79999999993</v>
      </c>
      <c r="CN205" s="528">
        <v>0</v>
      </c>
      <c r="CO205" s="528">
        <v>0</v>
      </c>
      <c r="CP205" s="528">
        <v>11027.52</v>
      </c>
      <c r="CQ205" s="528">
        <v>12824.25</v>
      </c>
      <c r="CR205" s="528">
        <v>-377493.55</v>
      </c>
      <c r="CS205" s="528">
        <v>214058.01999999996</v>
      </c>
      <c r="CT205" s="528">
        <v>0</v>
      </c>
      <c r="CU205" s="528">
        <v>0</v>
      </c>
      <c r="CV205" s="528">
        <v>0</v>
      </c>
      <c r="CW205" s="528">
        <v>0</v>
      </c>
      <c r="CX205" s="528"/>
      <c r="CY205" s="528"/>
      <c r="CZ205" s="528"/>
      <c r="DA205" s="528">
        <v>0</v>
      </c>
      <c r="DB205" s="528">
        <v>0</v>
      </c>
      <c r="DC205" s="528">
        <v>0</v>
      </c>
      <c r="DD205" s="528">
        <v>14345.75</v>
      </c>
      <c r="DE205" s="528">
        <v>0</v>
      </c>
      <c r="DF205" s="528">
        <v>0</v>
      </c>
      <c r="DG205" s="528">
        <v>-23927.3</v>
      </c>
      <c r="DH205" s="528">
        <v>-231</v>
      </c>
      <c r="DI205" s="528">
        <v>0</v>
      </c>
      <c r="DJ205" s="528">
        <v>0</v>
      </c>
      <c r="DK205" s="528">
        <v>-9812.5499999999993</v>
      </c>
      <c r="DL205" s="528">
        <v>0</v>
      </c>
      <c r="DM205" s="528">
        <v>0</v>
      </c>
      <c r="DN205" s="528">
        <v>0</v>
      </c>
      <c r="DO205" s="528">
        <v>0</v>
      </c>
      <c r="DP205" s="528">
        <v>0</v>
      </c>
      <c r="DQ205" s="529">
        <v>-0.2099999999627471</v>
      </c>
      <c r="DR205" s="530">
        <v>4424497.9599999981</v>
      </c>
      <c r="DS205" s="531">
        <v>1209000.4999999991</v>
      </c>
      <c r="DT205" s="530">
        <v>10209.509999999998</v>
      </c>
      <c r="DU205" s="530">
        <v>266239.53999999992</v>
      </c>
      <c r="DV205" s="530">
        <v>0</v>
      </c>
      <c r="DW205" s="530">
        <v>0</v>
      </c>
    </row>
    <row r="206" spans="1:127" s="103" customFormat="1">
      <c r="A206" s="525">
        <v>2227</v>
      </c>
      <c r="B206" s="526" t="s">
        <v>859</v>
      </c>
      <c r="C206" s="525">
        <v>2227</v>
      </c>
      <c r="D206" s="527" t="s">
        <v>1284</v>
      </c>
      <c r="E206" s="527" t="s">
        <v>538</v>
      </c>
      <c r="F206" s="527" t="s">
        <v>5</v>
      </c>
      <c r="G206" s="527" t="s">
        <v>535</v>
      </c>
      <c r="H206" s="528">
        <v>2826959.12</v>
      </c>
      <c r="I206" s="528">
        <v>0</v>
      </c>
      <c r="J206" s="528">
        <v>192177.9</v>
      </c>
      <c r="K206" s="528">
        <v>0</v>
      </c>
      <c r="L206" s="528">
        <v>351590</v>
      </c>
      <c r="M206" s="528">
        <v>1000</v>
      </c>
      <c r="N206" s="528">
        <v>0</v>
      </c>
      <c r="O206" s="528">
        <v>0</v>
      </c>
      <c r="P206" s="528">
        <v>50212.280000000006</v>
      </c>
      <c r="Q206" s="528">
        <v>60121.759999999951</v>
      </c>
      <c r="R206" s="528">
        <v>0</v>
      </c>
      <c r="S206" s="528">
        <v>0</v>
      </c>
      <c r="T206" s="528">
        <v>34330.089999999997</v>
      </c>
      <c r="U206" s="528">
        <v>0</v>
      </c>
      <c r="V206" s="528">
        <v>0</v>
      </c>
      <c r="W206" s="528">
        <v>7533.32</v>
      </c>
      <c r="X206" s="528">
        <v>60318</v>
      </c>
      <c r="Y206" s="528">
        <v>3584242.4699999993</v>
      </c>
      <c r="Z206" s="528">
        <v>1317392.5399999996</v>
      </c>
      <c r="AA206" s="528">
        <v>-7247.1700000000019</v>
      </c>
      <c r="AB206" s="528">
        <v>-17541.230000000003</v>
      </c>
      <c r="AC206" s="528">
        <v>698279.69000000064</v>
      </c>
      <c r="AD206" s="528">
        <v>1808.9899999999998</v>
      </c>
      <c r="AE206" s="528">
        <v>0</v>
      </c>
      <c r="AF206" s="528">
        <v>568857.95999999973</v>
      </c>
      <c r="AG206" s="528">
        <v>40902.419999999984</v>
      </c>
      <c r="AH206" s="528">
        <v>4408.82</v>
      </c>
      <c r="AI206" s="528">
        <v>0</v>
      </c>
      <c r="AJ206" s="528">
        <v>0</v>
      </c>
      <c r="AK206" s="528">
        <v>127456.05411775295</v>
      </c>
      <c r="AL206" s="528">
        <v>2310</v>
      </c>
      <c r="AM206" s="528">
        <v>2563.58</v>
      </c>
      <c r="AN206" s="528">
        <v>0</v>
      </c>
      <c r="AO206" s="528">
        <v>37940.899999999994</v>
      </c>
      <c r="AP206" s="528">
        <v>20919.87</v>
      </c>
      <c r="AQ206" s="528">
        <v>19054.080000000002</v>
      </c>
      <c r="AR206" s="528">
        <v>69172.11000000003</v>
      </c>
      <c r="AS206" s="528">
        <v>0</v>
      </c>
      <c r="AT206" s="528">
        <v>312.52</v>
      </c>
      <c r="AU206" s="528">
        <v>17594.299999999992</v>
      </c>
      <c r="AV206" s="528">
        <v>9471</v>
      </c>
      <c r="AW206" s="528">
        <v>8740</v>
      </c>
      <c r="AX206" s="528">
        <v>231740.32</v>
      </c>
      <c r="AY206" s="528">
        <v>107028.62000000001</v>
      </c>
      <c r="AZ206" s="528">
        <v>10604.61</v>
      </c>
      <c r="BA206" s="528">
        <v>164596.43000000002</v>
      </c>
      <c r="BB206" s="528">
        <v>0</v>
      </c>
      <c r="BC206" s="528">
        <v>0</v>
      </c>
      <c r="BD206" s="528">
        <v>0</v>
      </c>
      <c r="BE206" s="528">
        <v>3436366.414117753</v>
      </c>
      <c r="BF206" s="528">
        <v>263445.09999999969</v>
      </c>
      <c r="BG206" s="528">
        <v>147876.05588224623</v>
      </c>
      <c r="BH206" s="528">
        <v>411321.15588224592</v>
      </c>
      <c r="BI206" s="528">
        <v>8860</v>
      </c>
      <c r="BJ206" s="528">
        <v>0</v>
      </c>
      <c r="BK206" s="528">
        <v>0</v>
      </c>
      <c r="BL206" s="528">
        <v>8860</v>
      </c>
      <c r="BM206" s="528">
        <v>0</v>
      </c>
      <c r="BN206" s="528">
        <v>6524</v>
      </c>
      <c r="BO206" s="528">
        <v>0</v>
      </c>
      <c r="BP206" s="528">
        <v>0</v>
      </c>
      <c r="BQ206" s="528">
        <v>6524</v>
      </c>
      <c r="BR206" s="528">
        <v>1427.8000000000002</v>
      </c>
      <c r="BS206" s="528">
        <v>2336</v>
      </c>
      <c r="BT206" s="528">
        <v>3763.8</v>
      </c>
      <c r="BU206" s="528">
        <v>0</v>
      </c>
      <c r="BV206" s="528">
        <v>0</v>
      </c>
      <c r="BW206" s="528">
        <v>0</v>
      </c>
      <c r="BX206" s="528">
        <v>0</v>
      </c>
      <c r="BY206" s="528">
        <v>0</v>
      </c>
      <c r="BZ206" s="528">
        <v>0</v>
      </c>
      <c r="CA206" s="528">
        <v>0</v>
      </c>
      <c r="CB206" s="528">
        <v>0</v>
      </c>
      <c r="CC206" s="528">
        <v>0</v>
      </c>
      <c r="CD206" s="528">
        <v>411321.15588224592</v>
      </c>
      <c r="CE206" s="528">
        <v>0</v>
      </c>
      <c r="CF206" s="528">
        <v>3763.8</v>
      </c>
      <c r="CG206" s="528">
        <v>0</v>
      </c>
      <c r="CH206" s="528">
        <v>0</v>
      </c>
      <c r="CI206" s="528">
        <f t="shared" si="3"/>
        <v>415084.95588224591</v>
      </c>
      <c r="CJ206" s="528">
        <v>681823.63</v>
      </c>
      <c r="CK206" s="528">
        <v>0</v>
      </c>
      <c r="CL206" s="528">
        <v>0</v>
      </c>
      <c r="CM206" s="528">
        <v>681823.63</v>
      </c>
      <c r="CN206" s="528">
        <v>0</v>
      </c>
      <c r="CO206" s="528">
        <v>0</v>
      </c>
      <c r="CP206" s="528">
        <v>16743.900000000001</v>
      </c>
      <c r="CQ206" s="528">
        <v>0</v>
      </c>
      <c r="CR206" s="528">
        <v>-241499.502995496</v>
      </c>
      <c r="CS206" s="528">
        <v>457068.02700450399</v>
      </c>
      <c r="CT206" s="528">
        <v>0</v>
      </c>
      <c r="CU206" s="528">
        <v>0</v>
      </c>
      <c r="CV206" s="528">
        <v>0</v>
      </c>
      <c r="CW206" s="528">
        <v>0</v>
      </c>
      <c r="CX206" s="528"/>
      <c r="CY206" s="528"/>
      <c r="CZ206" s="528"/>
      <c r="DA206" s="528">
        <v>0</v>
      </c>
      <c r="DB206" s="528">
        <v>0</v>
      </c>
      <c r="DC206" s="528">
        <v>0</v>
      </c>
      <c r="DD206" s="528">
        <v>14081.9</v>
      </c>
      <c r="DE206" s="528">
        <v>0</v>
      </c>
      <c r="DF206" s="528">
        <v>0</v>
      </c>
      <c r="DG206" s="528">
        <v>-6499.76</v>
      </c>
      <c r="DH206" s="528">
        <v>-49565.21</v>
      </c>
      <c r="DI206" s="528">
        <v>0</v>
      </c>
      <c r="DJ206" s="528">
        <v>0</v>
      </c>
      <c r="DK206" s="528">
        <v>-41983.07</v>
      </c>
      <c r="DL206" s="528">
        <v>0</v>
      </c>
      <c r="DM206" s="528">
        <v>0</v>
      </c>
      <c r="DN206" s="528">
        <v>0</v>
      </c>
      <c r="DO206" s="528">
        <v>0</v>
      </c>
      <c r="DP206" s="528">
        <v>0</v>
      </c>
      <c r="DQ206" s="529">
        <v>2.9954959754832089E-3</v>
      </c>
      <c r="DR206" s="530">
        <v>2602453.2000000002</v>
      </c>
      <c r="DS206" s="531">
        <v>833913.21411775285</v>
      </c>
      <c r="DT206" s="530">
        <v>107028.62000000001</v>
      </c>
      <c r="DU206" s="530">
        <v>144664.12999999995</v>
      </c>
      <c r="DV206" s="530">
        <v>0</v>
      </c>
      <c r="DW206" s="530">
        <v>0</v>
      </c>
    </row>
    <row r="207" spans="1:127" s="103" customFormat="1">
      <c r="A207" s="525">
        <v>2231</v>
      </c>
      <c r="B207" s="526" t="s">
        <v>861</v>
      </c>
      <c r="C207" s="525">
        <v>2231</v>
      </c>
      <c r="D207" s="527" t="s">
        <v>1284</v>
      </c>
      <c r="E207" s="527" t="s">
        <v>538</v>
      </c>
      <c r="F207" s="527" t="s">
        <v>5</v>
      </c>
      <c r="G207" s="527" t="s">
        <v>535</v>
      </c>
      <c r="H207" s="528">
        <v>2493540.91</v>
      </c>
      <c r="I207" s="528">
        <v>0</v>
      </c>
      <c r="J207" s="528">
        <v>41119.519999999997</v>
      </c>
      <c r="K207" s="528">
        <v>0</v>
      </c>
      <c r="L207" s="528">
        <v>234930</v>
      </c>
      <c r="M207" s="528">
        <v>5600</v>
      </c>
      <c r="N207" s="528">
        <v>0</v>
      </c>
      <c r="O207" s="528">
        <v>0</v>
      </c>
      <c r="P207" s="528">
        <v>45882.979999999989</v>
      </c>
      <c r="Q207" s="528">
        <v>45392.41</v>
      </c>
      <c r="R207" s="528">
        <v>0</v>
      </c>
      <c r="S207" s="528">
        <v>0</v>
      </c>
      <c r="T207" s="528">
        <v>24828.320000000003</v>
      </c>
      <c r="U207" s="528">
        <v>0</v>
      </c>
      <c r="V207" s="528">
        <v>0</v>
      </c>
      <c r="W207" s="528">
        <v>8030</v>
      </c>
      <c r="X207" s="528">
        <v>65305</v>
      </c>
      <c r="Y207" s="528">
        <v>2964629.14</v>
      </c>
      <c r="Z207" s="528">
        <v>1392567.0899999992</v>
      </c>
      <c r="AA207" s="528">
        <v>43027.290000000015</v>
      </c>
      <c r="AB207" s="528">
        <v>151320.89000000001</v>
      </c>
      <c r="AC207" s="528">
        <v>93244</v>
      </c>
      <c r="AD207" s="528">
        <v>130111.23</v>
      </c>
      <c r="AE207" s="528">
        <v>0</v>
      </c>
      <c r="AF207" s="528">
        <v>565892.42999999947</v>
      </c>
      <c r="AG207" s="528">
        <v>29730.149999999987</v>
      </c>
      <c r="AH207" s="528">
        <v>766</v>
      </c>
      <c r="AI207" s="528">
        <v>0</v>
      </c>
      <c r="AJ207" s="528">
        <v>0</v>
      </c>
      <c r="AK207" s="528">
        <v>6943.8700000000017</v>
      </c>
      <c r="AL207" s="528">
        <v>0</v>
      </c>
      <c r="AM207" s="528">
        <v>0</v>
      </c>
      <c r="AN207" s="528">
        <v>2350.16</v>
      </c>
      <c r="AO207" s="528">
        <v>22761.300000000003</v>
      </c>
      <c r="AP207" s="528">
        <v>25697.86</v>
      </c>
      <c r="AQ207" s="528">
        <v>12379.46</v>
      </c>
      <c r="AR207" s="528">
        <v>103285.20999999999</v>
      </c>
      <c r="AS207" s="528">
        <v>19741.080000000002</v>
      </c>
      <c r="AT207" s="528">
        <v>3040</v>
      </c>
      <c r="AU207" s="528">
        <v>15180.369999999997</v>
      </c>
      <c r="AV207" s="528">
        <v>9471</v>
      </c>
      <c r="AW207" s="528">
        <v>3220</v>
      </c>
      <c r="AX207" s="528">
        <v>227171.95</v>
      </c>
      <c r="AY207" s="528">
        <v>58890.119999999988</v>
      </c>
      <c r="AZ207" s="528">
        <v>10654.75</v>
      </c>
      <c r="BA207" s="528">
        <v>44224.74</v>
      </c>
      <c r="BB207" s="528">
        <v>0</v>
      </c>
      <c r="BC207" s="528">
        <v>0</v>
      </c>
      <c r="BD207" s="528">
        <v>0</v>
      </c>
      <c r="BE207" s="528">
        <v>2971670.9499999993</v>
      </c>
      <c r="BF207" s="528">
        <v>216573.10000000021</v>
      </c>
      <c r="BG207" s="528">
        <v>-7041.8099999991246</v>
      </c>
      <c r="BH207" s="528">
        <v>209531.29000000108</v>
      </c>
      <c r="BI207" s="528">
        <v>9069.25</v>
      </c>
      <c r="BJ207" s="528">
        <v>0</v>
      </c>
      <c r="BK207" s="528">
        <v>0</v>
      </c>
      <c r="BL207" s="528">
        <v>9069.25</v>
      </c>
      <c r="BM207" s="528">
        <v>0</v>
      </c>
      <c r="BN207" s="528">
        <v>2016.36</v>
      </c>
      <c r="BO207" s="528">
        <v>0</v>
      </c>
      <c r="BP207" s="528">
        <v>0</v>
      </c>
      <c r="BQ207" s="528">
        <v>2016.36</v>
      </c>
      <c r="BR207" s="528">
        <v>715.75</v>
      </c>
      <c r="BS207" s="528">
        <v>7052.89</v>
      </c>
      <c r="BT207" s="528">
        <v>7768.64</v>
      </c>
      <c r="BU207" s="528">
        <v>0</v>
      </c>
      <c r="BV207" s="528">
        <v>0</v>
      </c>
      <c r="BW207" s="528">
        <v>0</v>
      </c>
      <c r="BX207" s="528">
        <v>0</v>
      </c>
      <c r="BY207" s="528">
        <v>0</v>
      </c>
      <c r="BZ207" s="528">
        <v>0</v>
      </c>
      <c r="CA207" s="528">
        <v>0</v>
      </c>
      <c r="CB207" s="528">
        <v>0</v>
      </c>
      <c r="CC207" s="528">
        <v>0</v>
      </c>
      <c r="CD207" s="528">
        <v>209531.29000000108</v>
      </c>
      <c r="CE207" s="528">
        <v>0</v>
      </c>
      <c r="CF207" s="528">
        <v>7768.64</v>
      </c>
      <c r="CG207" s="528">
        <v>0</v>
      </c>
      <c r="CH207" s="528">
        <v>0</v>
      </c>
      <c r="CI207" s="528">
        <f t="shared" si="3"/>
        <v>217299.9300000011</v>
      </c>
      <c r="CJ207" s="528">
        <v>232711.74</v>
      </c>
      <c r="CK207" s="528">
        <v>0</v>
      </c>
      <c r="CL207" s="528">
        <v>0</v>
      </c>
      <c r="CM207" s="528">
        <v>232711.74</v>
      </c>
      <c r="CN207" s="528">
        <v>0</v>
      </c>
      <c r="CO207" s="528">
        <v>0</v>
      </c>
      <c r="CP207" s="528">
        <v>3722.19</v>
      </c>
      <c r="CQ207" s="528">
        <v>0</v>
      </c>
      <c r="CR207" s="528">
        <v>22886.520000000019</v>
      </c>
      <c r="CS207" s="528">
        <v>259320.45</v>
      </c>
      <c r="CT207" s="528">
        <v>0</v>
      </c>
      <c r="CU207" s="528">
        <v>0</v>
      </c>
      <c r="CV207" s="528">
        <v>0</v>
      </c>
      <c r="CW207" s="528">
        <v>0</v>
      </c>
      <c r="CX207" s="528"/>
      <c r="CY207" s="528"/>
      <c r="CZ207" s="528"/>
      <c r="DA207" s="528">
        <v>0</v>
      </c>
      <c r="DB207" s="528">
        <v>0</v>
      </c>
      <c r="DC207" s="528">
        <v>0</v>
      </c>
      <c r="DD207" s="528">
        <v>7137.42</v>
      </c>
      <c r="DE207" s="528">
        <v>0</v>
      </c>
      <c r="DF207" s="528">
        <v>0</v>
      </c>
      <c r="DG207" s="528">
        <v>0</v>
      </c>
      <c r="DH207" s="528">
        <v>-49157.94</v>
      </c>
      <c r="DI207" s="528">
        <v>0</v>
      </c>
      <c r="DJ207" s="528">
        <v>0</v>
      </c>
      <c r="DK207" s="528">
        <v>-42020.520000000004</v>
      </c>
      <c r="DL207" s="528">
        <v>0</v>
      </c>
      <c r="DM207" s="528">
        <v>0</v>
      </c>
      <c r="DN207" s="528">
        <v>0</v>
      </c>
      <c r="DO207" s="528">
        <v>0</v>
      </c>
      <c r="DP207" s="528">
        <v>0</v>
      </c>
      <c r="DQ207" s="529">
        <v>0</v>
      </c>
      <c r="DR207" s="530">
        <v>2405893.0799999987</v>
      </c>
      <c r="DS207" s="531">
        <v>565777.87000000058</v>
      </c>
      <c r="DT207" s="530">
        <v>58890.119999999988</v>
      </c>
      <c r="DU207" s="530">
        <v>116103.70999999999</v>
      </c>
      <c r="DV207" s="530">
        <v>0</v>
      </c>
      <c r="DW207" s="530">
        <v>0</v>
      </c>
    </row>
    <row r="208" spans="1:127" s="103" customFormat="1" ht="16.2" thickBot="1">
      <c r="A208" s="539" t="s">
        <v>1290</v>
      </c>
      <c r="B208" s="540"/>
      <c r="C208" s="539" t="s">
        <v>1290</v>
      </c>
      <c r="D208" s="541"/>
      <c r="E208" s="541"/>
      <c r="F208" s="541"/>
      <c r="G208" s="541"/>
      <c r="H208" s="542">
        <v>464098575.32517987</v>
      </c>
      <c r="I208" s="542">
        <v>6734535.4399999995</v>
      </c>
      <c r="J208" s="542">
        <v>68129143.543333337</v>
      </c>
      <c r="K208" s="542">
        <v>0</v>
      </c>
      <c r="L208" s="542">
        <v>37558053.560000002</v>
      </c>
      <c r="M208" s="542">
        <v>4342773.3400000045</v>
      </c>
      <c r="N208" s="542">
        <v>2229935.61</v>
      </c>
      <c r="O208" s="542">
        <v>1479196.3399999999</v>
      </c>
      <c r="P208" s="542">
        <v>17217623.730000004</v>
      </c>
      <c r="Q208" s="542">
        <v>4302705.21</v>
      </c>
      <c r="R208" s="542">
        <v>87135.01</v>
      </c>
      <c r="S208" s="542">
        <v>87078.6</v>
      </c>
      <c r="T208" s="542">
        <v>5458389.4000000013</v>
      </c>
      <c r="U208" s="542">
        <v>4990946.8499999987</v>
      </c>
      <c r="V208" s="542">
        <v>0</v>
      </c>
      <c r="W208" s="542">
        <v>1941023.4899999986</v>
      </c>
      <c r="X208" s="542">
        <v>9548918.1699999999</v>
      </c>
      <c r="Y208" s="542">
        <v>628206032.61851287</v>
      </c>
      <c r="Z208" s="542">
        <v>270940403.89050007</v>
      </c>
      <c r="AA208" s="542">
        <v>1174897.385</v>
      </c>
      <c r="AB208" s="542">
        <v>81304180.204000026</v>
      </c>
      <c r="AC208" s="542">
        <v>27856349.693999998</v>
      </c>
      <c r="AD208" s="542">
        <v>33075127.987000007</v>
      </c>
      <c r="AE208" s="542">
        <v>3205855.91</v>
      </c>
      <c r="AF208" s="542">
        <v>31824853.8125</v>
      </c>
      <c r="AG208" s="542">
        <v>2752149.4845000077</v>
      </c>
      <c r="AH208" s="542">
        <v>1604241.0554999998</v>
      </c>
      <c r="AI208" s="542">
        <v>32145.599999999999</v>
      </c>
      <c r="AJ208" s="542">
        <v>143406.75</v>
      </c>
      <c r="AK208" s="542">
        <v>10400268.04661775</v>
      </c>
      <c r="AL208" s="542">
        <v>695649.76549999986</v>
      </c>
      <c r="AM208" s="542">
        <v>4417240.8679999979</v>
      </c>
      <c r="AN208" s="542">
        <v>1618107.2145000005</v>
      </c>
      <c r="AO208" s="542">
        <v>11368483.159999998</v>
      </c>
      <c r="AP208" s="542">
        <v>4791927.97</v>
      </c>
      <c r="AQ208" s="542">
        <v>4730374.8448333358</v>
      </c>
      <c r="AR208" s="542">
        <v>25246798.662166692</v>
      </c>
      <c r="AS208" s="542">
        <v>4705578.9972549044</v>
      </c>
      <c r="AT208" s="542">
        <v>1930556.7985000005</v>
      </c>
      <c r="AU208" s="542">
        <v>9279169.3879131917</v>
      </c>
      <c r="AV208" s="542">
        <v>1915212.0504999997</v>
      </c>
      <c r="AW208" s="542">
        <v>2230935.8400000003</v>
      </c>
      <c r="AX208" s="542">
        <v>21640382.102500007</v>
      </c>
      <c r="AY208" s="542">
        <v>28740307.81200001</v>
      </c>
      <c r="AZ208" s="542">
        <v>5918606.5847499995</v>
      </c>
      <c r="BA208" s="542">
        <v>31212783.853</v>
      </c>
      <c r="BB208" s="542">
        <v>5929752.2399999984</v>
      </c>
      <c r="BC208" s="542">
        <v>28615.31</v>
      </c>
      <c r="BD208" s="542">
        <v>615916.08000000007</v>
      </c>
      <c r="BE208" s="542">
        <v>631311542.76103592</v>
      </c>
      <c r="BF208" s="542">
        <v>64036591.745567717</v>
      </c>
      <c r="BG208" s="542">
        <v>-3105509.1425226512</v>
      </c>
      <c r="BH208" s="542">
        <v>60931082.603045113</v>
      </c>
      <c r="BI208" s="542">
        <v>2079648.5599999991</v>
      </c>
      <c r="BJ208" s="542">
        <v>0</v>
      </c>
      <c r="BK208" s="542">
        <v>615916.08000000007</v>
      </c>
      <c r="BL208" s="542">
        <v>2695564.6399999987</v>
      </c>
      <c r="BM208" s="542">
        <v>60850.5</v>
      </c>
      <c r="BN208" s="542">
        <v>1770196.2</v>
      </c>
      <c r="BO208" s="542">
        <v>317885.85000000003</v>
      </c>
      <c r="BP208" s="542">
        <v>368486.04999999993</v>
      </c>
      <c r="BQ208" s="542">
        <v>2517419.5999999992</v>
      </c>
      <c r="BR208" s="542">
        <v>4197671.7400000012</v>
      </c>
      <c r="BS208" s="542">
        <v>178142.04000000004</v>
      </c>
      <c r="BT208" s="542">
        <v>4375814.7300000004</v>
      </c>
      <c r="BU208" s="542">
        <v>0</v>
      </c>
      <c r="BV208" s="542">
        <v>0</v>
      </c>
      <c r="BW208" s="542">
        <v>0</v>
      </c>
      <c r="BX208" s="542">
        <v>0</v>
      </c>
      <c r="BY208" s="542">
        <v>0</v>
      </c>
      <c r="BZ208" s="542">
        <v>0</v>
      </c>
      <c r="CA208" s="542">
        <v>0</v>
      </c>
      <c r="CB208" s="542">
        <v>0</v>
      </c>
      <c r="CC208" s="542">
        <v>0</v>
      </c>
      <c r="CD208" s="542">
        <v>61066438.049466684</v>
      </c>
      <c r="CE208" s="542">
        <v>0</v>
      </c>
      <c r="CF208" s="542">
        <v>4375814.7300000004</v>
      </c>
      <c r="CG208" s="542">
        <v>0</v>
      </c>
      <c r="CH208" s="542">
        <v>0</v>
      </c>
      <c r="CI208" s="542">
        <f>SUM(CI8:CI207)</f>
        <v>65038307.466466665</v>
      </c>
      <c r="CJ208" s="542">
        <v>87181890.239999995</v>
      </c>
      <c r="CK208" s="542">
        <v>9795890.2899999991</v>
      </c>
      <c r="CL208" s="542">
        <v>1117046.0500000005</v>
      </c>
      <c r="CM208" s="542">
        <v>79293707.069999993</v>
      </c>
      <c r="CN208" s="542">
        <v>19746.16</v>
      </c>
      <c r="CO208" s="542">
        <v>0</v>
      </c>
      <c r="CP208" s="542">
        <v>1894890.0199999998</v>
      </c>
      <c r="CQ208" s="542">
        <v>890284.75999999978</v>
      </c>
      <c r="CR208" s="542">
        <v>-15760852.145979576</v>
      </c>
      <c r="CS208" s="542">
        <v>66337778.834020443</v>
      </c>
      <c r="CT208" s="542">
        <v>15199724.309999997</v>
      </c>
      <c r="CU208" s="542">
        <v>11679.79</v>
      </c>
      <c r="CV208" s="542">
        <v>0</v>
      </c>
      <c r="CW208" s="542">
        <v>15188044.519999996</v>
      </c>
      <c r="CX208" s="542">
        <v>0</v>
      </c>
      <c r="CY208" s="542">
        <v>0</v>
      </c>
      <c r="CZ208" s="542">
        <v>0</v>
      </c>
      <c r="DA208" s="542">
        <v>-6087643.8259190647</v>
      </c>
      <c r="DB208" s="542">
        <v>9100400.6940809358</v>
      </c>
      <c r="DC208" s="542">
        <v>1453980.2300000002</v>
      </c>
      <c r="DD208" s="542">
        <v>2178790.7400000002</v>
      </c>
      <c r="DE208" s="542">
        <v>603052.15999999992</v>
      </c>
      <c r="DF208" s="542">
        <v>145069.26999999999</v>
      </c>
      <c r="DG208" s="542">
        <v>-4325779.5099999961</v>
      </c>
      <c r="DH208" s="542">
        <v>-3908573.9840000006</v>
      </c>
      <c r="DI208" s="542">
        <v>-461507.8</v>
      </c>
      <c r="DJ208" s="542">
        <v>-243061.25</v>
      </c>
      <c r="DK208" s="542">
        <v>-4409750.7939999998</v>
      </c>
      <c r="DL208" s="542">
        <v>293480.80000000005</v>
      </c>
      <c r="DM208" s="542">
        <v>352178.13</v>
      </c>
      <c r="DN208" s="542">
        <v>-552585.57999999996</v>
      </c>
      <c r="DO208" s="542">
        <v>-4749351.9899999993</v>
      </c>
      <c r="DP208" s="542">
        <v>-701680.43</v>
      </c>
      <c r="DQ208" s="542">
        <v>-30613.56071701142</v>
      </c>
      <c r="DR208" s="542">
        <v>441506005.34749973</v>
      </c>
      <c r="DS208" s="542">
        <v>173968437.56353578</v>
      </c>
      <c r="DT208" s="542">
        <v>28015650.302000016</v>
      </c>
      <c r="DU208" s="542">
        <v>27905215.979999989</v>
      </c>
      <c r="DV208" s="542">
        <v>5076280.3499999987</v>
      </c>
      <c r="DW208" s="542">
        <v>-5357959.0700000031</v>
      </c>
    </row>
    <row r="209" spans="1:127" s="103" customFormat="1" ht="16.2" thickTop="1">
      <c r="A209" s="127"/>
      <c r="B209" s="127"/>
      <c r="C209" s="127"/>
      <c r="D209" s="127" t="s">
        <v>471</v>
      </c>
      <c r="E209" s="127"/>
      <c r="F209" s="127" t="s">
        <v>473</v>
      </c>
      <c r="G209" s="127" t="s">
        <v>474</v>
      </c>
      <c r="H209" s="543" t="s">
        <v>77</v>
      </c>
      <c r="I209" s="543" t="s">
        <v>79</v>
      </c>
      <c r="J209" s="543" t="s">
        <v>81</v>
      </c>
      <c r="K209" s="543" t="s">
        <v>83</v>
      </c>
      <c r="L209" s="543" t="s">
        <v>85</v>
      </c>
      <c r="M209" s="543" t="s">
        <v>87</v>
      </c>
      <c r="N209" s="543" t="s">
        <v>89</v>
      </c>
      <c r="O209" s="543" t="s">
        <v>92</v>
      </c>
      <c r="P209" s="543" t="s">
        <v>94</v>
      </c>
      <c r="Q209" s="543" t="s">
        <v>96</v>
      </c>
      <c r="R209" s="543" t="s">
        <v>98</v>
      </c>
      <c r="S209" s="543" t="s">
        <v>100</v>
      </c>
      <c r="T209" s="543" t="s">
        <v>102</v>
      </c>
      <c r="U209" s="543" t="s">
        <v>104</v>
      </c>
      <c r="V209" s="543" t="s">
        <v>106</v>
      </c>
      <c r="W209" s="543" t="s">
        <v>1150</v>
      </c>
      <c r="X209" s="543" t="s">
        <v>1151</v>
      </c>
      <c r="Y209" s="543"/>
      <c r="Z209" s="543" t="s">
        <v>110</v>
      </c>
      <c r="AA209" s="543" t="s">
        <v>112</v>
      </c>
      <c r="AB209" s="543" t="s">
        <v>114</v>
      </c>
      <c r="AC209" s="543" t="s">
        <v>116</v>
      </c>
      <c r="AD209" s="543" t="s">
        <v>118</v>
      </c>
      <c r="AE209" s="543" t="s">
        <v>120</v>
      </c>
      <c r="AF209" s="543" t="s">
        <v>122</v>
      </c>
      <c r="AG209" s="543" t="s">
        <v>124</v>
      </c>
      <c r="AH209" s="543" t="s">
        <v>126</v>
      </c>
      <c r="AI209" s="543" t="s">
        <v>128</v>
      </c>
      <c r="AJ209" s="543" t="s">
        <v>130</v>
      </c>
      <c r="AK209" s="543" t="s">
        <v>132</v>
      </c>
      <c r="AL209" s="543" t="s">
        <v>134</v>
      </c>
      <c r="AM209" s="543" t="s">
        <v>136</v>
      </c>
      <c r="AN209" s="543" t="s">
        <v>138</v>
      </c>
      <c r="AO209" s="543" t="s">
        <v>140</v>
      </c>
      <c r="AP209" s="543" t="s">
        <v>142</v>
      </c>
      <c r="AQ209" s="543" t="s">
        <v>144</v>
      </c>
      <c r="AR209" s="543" t="s">
        <v>146</v>
      </c>
      <c r="AS209" s="543" t="s">
        <v>148</v>
      </c>
      <c r="AT209" s="543" t="s">
        <v>163</v>
      </c>
      <c r="AU209" s="543" t="s">
        <v>165</v>
      </c>
      <c r="AV209" s="543" t="s">
        <v>167</v>
      </c>
      <c r="AW209" s="543" t="s">
        <v>169</v>
      </c>
      <c r="AX209" s="543" t="s">
        <v>171</v>
      </c>
      <c r="AY209" s="543" t="s">
        <v>173</v>
      </c>
      <c r="AZ209" s="543" t="s">
        <v>175</v>
      </c>
      <c r="BA209" s="543" t="s">
        <v>178</v>
      </c>
      <c r="BB209" s="543" t="s">
        <v>180</v>
      </c>
      <c r="BC209" s="543" t="s">
        <v>182</v>
      </c>
      <c r="BD209" s="543" t="s">
        <v>184</v>
      </c>
      <c r="BE209" s="543"/>
      <c r="BF209" s="543"/>
      <c r="BG209" s="543"/>
      <c r="BH209" s="543"/>
      <c r="BI209" s="544" t="s">
        <v>192</v>
      </c>
      <c r="BJ209" s="544" t="s">
        <v>194</v>
      </c>
      <c r="BK209" s="544" t="s">
        <v>196</v>
      </c>
      <c r="BL209" s="544"/>
      <c r="BM209" s="544" t="s">
        <v>200</v>
      </c>
      <c r="BN209" s="544" t="s">
        <v>202</v>
      </c>
      <c r="BO209" s="544" t="s">
        <v>204</v>
      </c>
      <c r="BP209" s="544" t="s">
        <v>211</v>
      </c>
      <c r="BQ209" s="544"/>
      <c r="BR209" s="544"/>
      <c r="BS209" s="544"/>
      <c r="BT209" s="544"/>
      <c r="BU209" s="545" t="s">
        <v>219</v>
      </c>
      <c r="BV209" s="545" t="s">
        <v>221</v>
      </c>
      <c r="BW209" s="545"/>
      <c r="BX209" s="545" t="s">
        <v>225</v>
      </c>
      <c r="BY209" s="545" t="s">
        <v>227</v>
      </c>
      <c r="BZ209" s="545"/>
      <c r="CA209" s="545"/>
      <c r="CB209" s="545"/>
      <c r="CC209" s="545"/>
      <c r="CD209" s="546" t="s">
        <v>234</v>
      </c>
      <c r="CE209" s="546" t="s">
        <v>236</v>
      </c>
      <c r="CF209" s="546" t="s">
        <v>238</v>
      </c>
      <c r="CG209" s="546" t="s">
        <v>240</v>
      </c>
      <c r="CH209" s="546" t="s">
        <v>242</v>
      </c>
      <c r="CI209" s="546"/>
      <c r="CJ209" s="547"/>
      <c r="CK209" s="547"/>
      <c r="CL209" s="547"/>
      <c r="CM209" s="547"/>
      <c r="CN209" s="547"/>
      <c r="CO209" s="547"/>
      <c r="CP209" s="547"/>
      <c r="CQ209" s="547"/>
      <c r="CR209" s="547"/>
      <c r="CS209" s="547"/>
      <c r="CT209" s="548"/>
      <c r="CU209" s="548"/>
      <c r="CV209" s="548"/>
      <c r="CW209" s="548"/>
      <c r="CX209" s="548"/>
      <c r="CY209" s="548"/>
      <c r="CZ209" s="548"/>
      <c r="DA209" s="548"/>
      <c r="DB209" s="548"/>
      <c r="DC209" s="549"/>
      <c r="DD209" s="549"/>
      <c r="DE209" s="549"/>
      <c r="DF209" s="549"/>
      <c r="DG209" s="549"/>
      <c r="DH209" s="549"/>
      <c r="DI209" s="549"/>
      <c r="DJ209" s="549"/>
      <c r="DK209" s="549"/>
      <c r="DL209" s="550"/>
      <c r="DM209" s="550"/>
      <c r="DN209" s="551"/>
      <c r="DO209" s="551"/>
      <c r="DP209" s="552"/>
      <c r="DQ209" s="553"/>
      <c r="DR209"/>
      <c r="DS209" s="554"/>
      <c r="DT209" s="555"/>
      <c r="DU209"/>
      <c r="DV209"/>
      <c r="DW209"/>
    </row>
    <row r="210" spans="1:127" s="103" customFormat="1">
      <c r="A210" s="556">
        <v>1415</v>
      </c>
      <c r="B210" s="97" t="s">
        <v>1291</v>
      </c>
      <c r="C210" s="556">
        <v>1415</v>
      </c>
      <c r="D210" t="s">
        <v>1284</v>
      </c>
      <c r="E210" t="s">
        <v>534</v>
      </c>
      <c r="F210" t="s">
        <v>5</v>
      </c>
      <c r="G210" t="s">
        <v>535</v>
      </c>
      <c r="H210" s="555">
        <v>700000</v>
      </c>
      <c r="I210" s="555">
        <v>0</v>
      </c>
      <c r="J210" s="555">
        <v>50000</v>
      </c>
      <c r="K210" s="555">
        <v>0</v>
      </c>
      <c r="L210" s="555">
        <v>0</v>
      </c>
      <c r="M210" s="555">
        <v>25000</v>
      </c>
      <c r="N210" s="555">
        <v>0</v>
      </c>
      <c r="O210" s="555">
        <v>0</v>
      </c>
      <c r="P210" s="555">
        <v>40000</v>
      </c>
      <c r="Q210" s="555">
        <v>0</v>
      </c>
      <c r="R210" s="555">
        <v>0</v>
      </c>
      <c r="S210" s="555">
        <v>0</v>
      </c>
      <c r="T210" s="555">
        <v>0</v>
      </c>
      <c r="U210" s="555">
        <v>12000</v>
      </c>
      <c r="V210" s="555">
        <v>0</v>
      </c>
      <c r="W210" s="555">
        <v>0</v>
      </c>
      <c r="X210" s="555">
        <v>0</v>
      </c>
      <c r="Y210" s="555">
        <f>SUM(H210:X210)</f>
        <v>827000</v>
      </c>
      <c r="Z210" s="555">
        <v>250000</v>
      </c>
      <c r="AA210" s="555">
        <v>0</v>
      </c>
      <c r="AB210" s="555">
        <v>151532.87000000002</v>
      </c>
      <c r="AC210" s="555">
        <v>27473.80999999991</v>
      </c>
      <c r="AD210" s="555">
        <v>123953.83</v>
      </c>
      <c r="AE210" s="555">
        <v>0</v>
      </c>
      <c r="AF210" s="555">
        <v>13325.549999999785</v>
      </c>
      <c r="AG210" s="555">
        <v>2045.7300000000059</v>
      </c>
      <c r="AH210" s="555">
        <v>7470.4</v>
      </c>
      <c r="AI210" s="555">
        <v>0</v>
      </c>
      <c r="AJ210" s="555">
        <v>0</v>
      </c>
      <c r="AK210" s="555">
        <v>37967.949999999997</v>
      </c>
      <c r="AL210" s="555">
        <v>4100.6099999999997</v>
      </c>
      <c r="AM210" s="555">
        <v>1481.8099999999997</v>
      </c>
      <c r="AN210" s="555">
        <v>1370.5</v>
      </c>
      <c r="AO210" s="555">
        <v>8715.82</v>
      </c>
      <c r="AP210" s="555">
        <v>0</v>
      </c>
      <c r="AQ210" s="555">
        <v>4523.67</v>
      </c>
      <c r="AR210" s="555">
        <v>14276.279999999992</v>
      </c>
      <c r="AS210" s="555">
        <v>654</v>
      </c>
      <c r="AT210" s="555">
        <v>0</v>
      </c>
      <c r="AU210" s="555">
        <v>52303.990000000005</v>
      </c>
      <c r="AV210" s="555">
        <v>3291.75</v>
      </c>
      <c r="AW210" s="555">
        <v>0</v>
      </c>
      <c r="AX210" s="555">
        <v>4533.130000000001</v>
      </c>
      <c r="AY210" s="555">
        <v>92015.560000000085</v>
      </c>
      <c r="AZ210" s="555">
        <v>0</v>
      </c>
      <c r="BA210" s="555">
        <v>66761.790000000008</v>
      </c>
      <c r="BB210" s="555">
        <v>0</v>
      </c>
      <c r="BC210" s="555">
        <v>0</v>
      </c>
      <c r="BD210" s="555">
        <v>0</v>
      </c>
      <c r="BE210" s="555">
        <f>SUM(Z210:BD210)</f>
        <v>867799.04999999981</v>
      </c>
      <c r="BF210" s="555">
        <v>206981.41000000003</v>
      </c>
      <c r="BG210" s="555">
        <f>Y210-BE210</f>
        <v>-40799.049999999814</v>
      </c>
      <c r="BH210" s="555">
        <f>BF210+BG210</f>
        <v>166182.36000000022</v>
      </c>
      <c r="BI210" s="555">
        <v>5000</v>
      </c>
      <c r="BJ210" s="555">
        <v>0</v>
      </c>
      <c r="BK210" s="555">
        <v>0</v>
      </c>
      <c r="BL210" s="555">
        <f>SUM(BI210:BK210)</f>
        <v>5000</v>
      </c>
      <c r="BM210" s="555">
        <v>0</v>
      </c>
      <c r="BN210" s="555">
        <v>2000</v>
      </c>
      <c r="BO210" s="555">
        <v>0</v>
      </c>
      <c r="BP210" s="555">
        <v>0</v>
      </c>
      <c r="BQ210" s="555">
        <f>SUM(BM210:BP210)</f>
        <v>2000</v>
      </c>
      <c r="BR210" s="555">
        <v>6000</v>
      </c>
      <c r="BS210" s="555">
        <f>BL210-BQ210</f>
        <v>3000</v>
      </c>
      <c r="BT210" s="555">
        <f>BR210+BS210</f>
        <v>9000</v>
      </c>
      <c r="BU210" s="555">
        <v>0</v>
      </c>
      <c r="BV210" s="555">
        <v>0</v>
      </c>
      <c r="BW210" s="555">
        <v>0</v>
      </c>
      <c r="BX210" s="555">
        <v>0</v>
      </c>
      <c r="BY210" s="555">
        <v>0</v>
      </c>
      <c r="BZ210" s="555">
        <v>0</v>
      </c>
      <c r="CA210" s="555">
        <v>0</v>
      </c>
      <c r="CB210" s="555">
        <v>0</v>
      </c>
      <c r="CC210" s="555">
        <v>0</v>
      </c>
      <c r="CD210" s="555">
        <v>269332.04000000015</v>
      </c>
      <c r="CE210" s="555"/>
      <c r="CF210" s="555">
        <v>29855.68</v>
      </c>
      <c r="CG210" s="555"/>
      <c r="CH210" s="555">
        <v>0</v>
      </c>
      <c r="CI210" s="555">
        <v>299187.72000000015</v>
      </c>
      <c r="CJ210" s="555">
        <v>351927.86</v>
      </c>
      <c r="CK210" s="555">
        <v>0</v>
      </c>
      <c r="CL210" s="555">
        <v>0</v>
      </c>
      <c r="CM210" s="555">
        <v>351927.86</v>
      </c>
      <c r="CN210" s="555">
        <v>0</v>
      </c>
      <c r="CO210" s="555">
        <v>0</v>
      </c>
      <c r="CP210" s="555">
        <v>0</v>
      </c>
      <c r="CQ210" s="555">
        <v>0</v>
      </c>
      <c r="CR210" s="555">
        <v>-58860.821199466096</v>
      </c>
      <c r="CS210" s="555">
        <v>293067.03880053386</v>
      </c>
      <c r="CT210" s="555">
        <v>0</v>
      </c>
      <c r="CU210" s="555">
        <v>0</v>
      </c>
      <c r="CV210" s="555">
        <v>0</v>
      </c>
      <c r="CW210" s="555">
        <v>0</v>
      </c>
      <c r="CX210" s="555"/>
      <c r="CY210" s="555"/>
      <c r="CZ210" s="555"/>
      <c r="DA210" s="555"/>
      <c r="DB210" s="555">
        <v>0</v>
      </c>
      <c r="DC210" s="555">
        <v>0</v>
      </c>
      <c r="DD210" s="555">
        <v>6246.3</v>
      </c>
      <c r="DE210" s="555">
        <v>0</v>
      </c>
      <c r="DF210" s="555">
        <v>0</v>
      </c>
      <c r="DG210" s="555">
        <v>0</v>
      </c>
      <c r="DH210" s="555">
        <v>-126</v>
      </c>
      <c r="DI210" s="555">
        <v>0</v>
      </c>
      <c r="DJ210" s="555">
        <v>0</v>
      </c>
      <c r="DK210" s="555">
        <v>6120.3</v>
      </c>
      <c r="DL210" s="555">
        <v>0</v>
      </c>
      <c r="DM210" s="555">
        <v>0</v>
      </c>
      <c r="DN210" s="555">
        <v>0</v>
      </c>
      <c r="DO210" s="555">
        <v>0</v>
      </c>
      <c r="DP210" s="555">
        <v>0</v>
      </c>
      <c r="DQ210" s="555">
        <v>1.1994661181233823E-3</v>
      </c>
      <c r="DR210">
        <v>680125.59999999963</v>
      </c>
      <c r="DS210" s="554">
        <v>299467.26000000013</v>
      </c>
      <c r="DT210" s="555">
        <v>92015.560000000085</v>
      </c>
      <c r="DU210">
        <v>36872.479999999996</v>
      </c>
      <c r="DV210">
        <v>12000</v>
      </c>
      <c r="DW210">
        <v>0</v>
      </c>
    </row>
    <row r="211" spans="1:127" s="103" customFormat="1">
      <c r="A211" s="556"/>
      <c r="B211" s="97"/>
      <c r="C211" s="556"/>
      <c r="D211"/>
      <c r="E211"/>
      <c r="F211"/>
      <c r="G211"/>
      <c r="H211" s="555">
        <v>0</v>
      </c>
      <c r="I211" s="555"/>
      <c r="J211" s="555"/>
      <c r="K211" s="555"/>
      <c r="L211" s="555"/>
      <c r="M211" s="555"/>
      <c r="N211" s="555"/>
      <c r="O211" s="555"/>
      <c r="P211" s="555">
        <v>23340.14</v>
      </c>
      <c r="Q211" s="555">
        <v>111853.65</v>
      </c>
      <c r="R211" s="555"/>
      <c r="S211" s="555"/>
      <c r="T211" s="555"/>
      <c r="U211" s="555"/>
      <c r="V211" s="555"/>
      <c r="W211" s="555"/>
      <c r="X211" s="555"/>
      <c r="Y211" s="555"/>
      <c r="Z211" s="555">
        <v>182662.96999999997</v>
      </c>
      <c r="AA211" s="555"/>
      <c r="AB211" s="555"/>
      <c r="AC211" s="555"/>
      <c r="AD211" s="555"/>
      <c r="AE211" s="555"/>
      <c r="AF211" s="555"/>
      <c r="AG211" s="555">
        <v>254.83</v>
      </c>
      <c r="AH211" s="555"/>
      <c r="AI211" s="555"/>
      <c r="AJ211" s="555"/>
      <c r="AK211" s="555">
        <v>2764.62</v>
      </c>
      <c r="AL211" s="555"/>
      <c r="AM211" s="555">
        <v>18641.900000000001</v>
      </c>
      <c r="AN211" s="555">
        <v>3520.99</v>
      </c>
      <c r="AO211" s="555"/>
      <c r="AP211" s="555"/>
      <c r="AQ211" s="555"/>
      <c r="AR211" s="555">
        <v>19105.920000000002</v>
      </c>
      <c r="AS211" s="555"/>
      <c r="AT211" s="555"/>
      <c r="AU211" s="555">
        <v>8035.36</v>
      </c>
      <c r="AV211" s="555"/>
      <c r="AW211" s="555"/>
      <c r="AX211" s="555">
        <v>3162725.4340000004</v>
      </c>
      <c r="AY211" s="555">
        <v>55446.95</v>
      </c>
      <c r="AZ211" s="555"/>
      <c r="BA211" s="555">
        <v>61894.259999999995</v>
      </c>
      <c r="BB211" s="555"/>
      <c r="BC211" s="555"/>
      <c r="BD211" s="555"/>
      <c r="BE211" s="555"/>
      <c r="BF211" s="555"/>
      <c r="BG211" s="555"/>
      <c r="BH211" s="555"/>
      <c r="BI211" s="555"/>
      <c r="BJ211" s="555"/>
      <c r="BK211" s="555"/>
      <c r="BL211" s="555"/>
      <c r="BM211" s="555"/>
      <c r="BN211" s="555"/>
      <c r="BO211" s="555"/>
      <c r="BP211" s="555"/>
      <c r="BQ211" s="555"/>
      <c r="BR211" s="555"/>
      <c r="BS211" s="555"/>
      <c r="BT211" s="555"/>
      <c r="BU211" s="555"/>
      <c r="BV211" s="555"/>
      <c r="BW211" s="555"/>
      <c r="BX211" s="555"/>
      <c r="BY211" s="555"/>
      <c r="BZ211" s="555"/>
      <c r="CA211" s="555"/>
      <c r="CB211" s="555"/>
      <c r="CC211" s="555"/>
      <c r="CD211" s="555"/>
      <c r="CE211" s="555"/>
      <c r="CF211" s="555"/>
      <c r="CG211" s="555"/>
      <c r="CH211" s="555"/>
      <c r="CI211" s="555"/>
      <c r="CJ211" s="555"/>
      <c r="CK211" s="555"/>
      <c r="CL211" s="555"/>
      <c r="CM211" s="555"/>
      <c r="CN211" s="555"/>
      <c r="CO211" s="555"/>
      <c r="CP211" s="555"/>
      <c r="CQ211" s="555"/>
      <c r="CR211" s="555"/>
      <c r="CS211" s="555"/>
      <c r="CT211" s="555"/>
      <c r="CU211" s="555"/>
      <c r="CV211" s="555"/>
      <c r="CW211" s="555"/>
      <c r="CX211" s="555"/>
      <c r="CY211" s="555"/>
      <c r="CZ211" s="555"/>
      <c r="DA211" s="555"/>
      <c r="DB211" s="555"/>
      <c r="DC211" s="555"/>
      <c r="DD211" s="555"/>
      <c r="DE211" s="555"/>
      <c r="DF211" s="555"/>
      <c r="DG211" s="555"/>
      <c r="DH211" s="555"/>
      <c r="DI211" s="555"/>
      <c r="DJ211" s="555"/>
      <c r="DK211" s="555"/>
      <c r="DL211" s="555"/>
      <c r="DM211" s="555"/>
      <c r="DN211" s="555"/>
      <c r="DO211" s="555"/>
      <c r="DP211" s="555"/>
      <c r="DQ211" s="555"/>
      <c r="DR211"/>
      <c r="DS211" s="554"/>
      <c r="DT211" s="555"/>
      <c r="DU211"/>
      <c r="DV211"/>
      <c r="DW211"/>
    </row>
    <row r="212" spans="1:127" s="103" customFormat="1">
      <c r="A212" s="556"/>
      <c r="B212" s="97"/>
      <c r="C212" s="556"/>
      <c r="D212"/>
      <c r="E212"/>
      <c r="F212"/>
      <c r="G212"/>
      <c r="H212" s="555"/>
      <c r="I212" s="555"/>
      <c r="J212" s="555"/>
      <c r="K212" s="555"/>
      <c r="L212" s="555"/>
      <c r="M212" s="555"/>
      <c r="N212" s="555"/>
      <c r="O212" s="555"/>
      <c r="P212" s="555"/>
      <c r="Q212" s="555"/>
      <c r="R212" s="555"/>
      <c r="S212" s="555"/>
      <c r="T212" s="555"/>
      <c r="U212" s="555"/>
      <c r="V212" s="555"/>
      <c r="W212" s="555"/>
      <c r="X212" s="555"/>
      <c r="Y212" s="555"/>
      <c r="Z212" s="555"/>
      <c r="AA212" s="555"/>
      <c r="AB212" s="555"/>
      <c r="AC212" s="555"/>
      <c r="AD212" s="555"/>
      <c r="AE212" s="555"/>
      <c r="AF212" s="555"/>
      <c r="AG212" s="555"/>
      <c r="AH212" s="555"/>
      <c r="AI212" s="555"/>
      <c r="AJ212" s="555"/>
      <c r="AK212" s="555"/>
      <c r="AL212" s="555"/>
      <c r="AM212" s="555"/>
      <c r="AN212" s="555"/>
      <c r="AO212" s="555"/>
      <c r="AP212" s="555"/>
      <c r="AQ212" s="555"/>
      <c r="AR212" s="555"/>
      <c r="AS212" s="555"/>
      <c r="AT212" s="555"/>
      <c r="AU212" s="555"/>
      <c r="AV212" s="555"/>
      <c r="AW212" s="555"/>
      <c r="AX212" s="555"/>
      <c r="AY212" s="555"/>
      <c r="AZ212" s="555"/>
      <c r="BA212" s="555"/>
      <c r="BB212" s="555"/>
      <c r="BC212" s="555"/>
      <c r="BD212" s="555"/>
      <c r="BE212" s="555"/>
      <c r="BF212" s="555"/>
      <c r="BG212" s="555"/>
      <c r="BH212" s="555"/>
      <c r="BI212" s="555"/>
      <c r="BJ212" s="555"/>
      <c r="BK212" s="555"/>
      <c r="BL212" s="555"/>
      <c r="BM212" s="555"/>
      <c r="BN212" s="555"/>
      <c r="BO212" s="555"/>
      <c r="BP212" s="555"/>
      <c r="BQ212" s="555"/>
      <c r="BR212" s="555"/>
      <c r="BS212" s="555"/>
      <c r="BT212" s="555"/>
      <c r="BU212" s="555"/>
      <c r="BV212" s="555"/>
      <c r="BW212" s="555"/>
      <c r="BX212" s="555"/>
      <c r="BY212" s="555"/>
      <c r="BZ212" s="555"/>
      <c r="CA212" s="555"/>
      <c r="CB212" s="555"/>
      <c r="CC212" s="555"/>
      <c r="CD212" s="555"/>
      <c r="CE212" s="555"/>
      <c r="CF212" s="555"/>
      <c r="CG212" s="555"/>
      <c r="CH212" s="555"/>
      <c r="CI212" s="555"/>
      <c r="CJ212" s="555"/>
      <c r="CK212" s="555"/>
      <c r="CL212" s="555"/>
      <c r="CM212" s="555"/>
      <c r="CN212" s="555"/>
      <c r="CO212" s="555"/>
      <c r="CP212" s="555"/>
      <c r="CQ212" s="555"/>
      <c r="CR212" s="555"/>
      <c r="CS212" s="555"/>
      <c r="CT212" s="555"/>
      <c r="CU212" s="555"/>
      <c r="CV212" s="555"/>
      <c r="CW212" s="555"/>
      <c r="CX212" s="555"/>
      <c r="CY212" s="555"/>
      <c r="CZ212" s="555"/>
      <c r="DA212" s="555"/>
      <c r="DB212" s="555"/>
      <c r="DC212" s="555"/>
      <c r="DD212" s="555"/>
      <c r="DE212" s="555"/>
      <c r="DF212" s="555"/>
      <c r="DG212" s="555"/>
      <c r="DH212" s="555"/>
      <c r="DI212" s="555"/>
      <c r="DJ212" s="555"/>
      <c r="DK212" s="555"/>
      <c r="DL212" s="555"/>
      <c r="DM212" s="555"/>
      <c r="DN212" s="555"/>
      <c r="DO212" s="555"/>
      <c r="DP212" s="555"/>
      <c r="DQ212" s="555"/>
      <c r="DR212"/>
      <c r="DS212" s="554"/>
      <c r="DT212" s="555"/>
      <c r="DU212"/>
      <c r="DV212"/>
      <c r="DW212"/>
    </row>
    <row r="213" spans="1:127" s="103" customFormat="1">
      <c r="A213" s="556"/>
      <c r="B213" s="863"/>
      <c r="C213" s="863"/>
      <c r="D213" s="863"/>
      <c r="E213"/>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v>-7340199.0599999996</v>
      </c>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s="528"/>
      <c r="DI213"/>
      <c r="DJ213"/>
      <c r="DK213"/>
      <c r="DL213"/>
      <c r="DM213"/>
      <c r="DN213"/>
      <c r="DO213"/>
      <c r="DP213"/>
      <c r="DQ213"/>
      <c r="DR213"/>
      <c r="DS213" s="554"/>
      <c r="DT213" s="555"/>
      <c r="DU213"/>
      <c r="DV213"/>
      <c r="DW213"/>
    </row>
    <row r="214" spans="1:127" s="103" customFormat="1">
      <c r="A214" s="556"/>
      <c r="B214" s="97"/>
      <c r="C214" s="556"/>
      <c r="D214"/>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row>
    <row r="215" spans="1:127" s="103" customFormat="1">
      <c r="A215" s="556"/>
      <c r="B215" s="97"/>
      <c r="C215" s="556"/>
      <c r="D215"/>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row>
    <row r="216" spans="1:127" s="103" customFormat="1">
      <c r="A216" s="556"/>
      <c r="B216" s="97"/>
      <c r="C216" s="55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row>
  </sheetData>
  <autoFilter ref="A6:DV68" xr:uid="{35756A03-BC14-4919-8959-D9830634EFAE}"/>
  <mergeCells count="2">
    <mergeCell ref="A2:B2"/>
    <mergeCell ref="B213:D213"/>
  </mergeCells>
  <conditionalFormatting sqref="H8:DQ212 DH213">
    <cfRule type="cellIs" dxfId="87" priority="2" operator="equal">
      <formula>0</formula>
    </cfRule>
  </conditionalFormatting>
  <conditionalFormatting sqref="DR208:DW208">
    <cfRule type="cellIs" dxfId="86" priority="1" operator="equal">
      <formula>0</formula>
    </cfRule>
  </conditionalFormatting>
  <pageMargins left="0.7" right="0.7" top="0.75" bottom="0.75" header="0.3" footer="0.3"/>
  <headerFooter>
    <oddFooter>&amp;C_x000D_&amp;1#&amp;"Calibri"&amp;10&amp;K000000 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3B5A8-45B4-446E-94F0-DE90EC5B8C46}">
  <dimension ref="A1"/>
  <sheetViews>
    <sheetView workbookViewId="0">
      <selection activeCell="N11" sqref="N11"/>
    </sheetView>
  </sheetViews>
  <sheetFormatPr defaultRowHeight="14.4"/>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07AAE-3635-40EA-B09D-3FDF0A0EFA5C}">
  <sheetPr filterMode="1"/>
  <dimension ref="A1:EF194"/>
  <sheetViews>
    <sheetView topLeftCell="AW1" zoomScale="70" zoomScaleNormal="70" workbookViewId="0">
      <selection activeCell="BM198" sqref="BM198"/>
    </sheetView>
  </sheetViews>
  <sheetFormatPr defaultRowHeight="14.4"/>
  <cols>
    <col min="4" max="4" width="80.5546875" customWidth="1"/>
    <col min="5" max="5" width="15.44140625" bestFit="1" customWidth="1"/>
    <col min="6" max="6" width="15.33203125" bestFit="1" customWidth="1"/>
    <col min="7" max="7" width="13.88671875" bestFit="1" customWidth="1"/>
    <col min="8" max="8" width="11.109375" customWidth="1"/>
    <col min="9" max="9" width="12.44140625" bestFit="1" customWidth="1"/>
    <col min="10" max="10" width="10.33203125" bestFit="1" customWidth="1"/>
    <col min="11" max="11" width="11.44140625" bestFit="1" customWidth="1"/>
    <col min="12" max="12" width="8.88671875" bestFit="1" customWidth="1"/>
    <col min="13" max="14" width="11.44140625" bestFit="1" customWidth="1"/>
    <col min="15" max="16" width="10.33203125" bestFit="1" customWidth="1"/>
    <col min="17" max="17" width="11.44140625" bestFit="1" customWidth="1"/>
    <col min="18" max="18" width="10.33203125" bestFit="1" customWidth="1"/>
    <col min="21" max="22" width="10.33203125" bestFit="1" customWidth="1"/>
    <col min="24" max="25" width="12.44140625" bestFit="1" customWidth="1"/>
    <col min="26" max="26" width="8.6640625" bestFit="1" customWidth="1"/>
    <col min="27" max="27" width="12.44140625" bestFit="1" customWidth="1"/>
    <col min="28" max="29" width="11.44140625" bestFit="1" customWidth="1"/>
    <col min="30" max="30" width="10.33203125" bestFit="1" customWidth="1"/>
    <col min="31" max="31" width="11.44140625" bestFit="1" customWidth="1"/>
    <col min="32" max="33" width="10.33203125" bestFit="1" customWidth="1"/>
    <col min="34" max="34" width="8.44140625" bestFit="1" customWidth="1"/>
    <col min="35" max="35" width="8.6640625" bestFit="1" customWidth="1"/>
    <col min="36" max="36" width="10.33203125" bestFit="1" customWidth="1"/>
    <col min="38" max="42" width="10.33203125" bestFit="1" customWidth="1"/>
    <col min="43" max="43" width="11.44140625" bestFit="1" customWidth="1"/>
    <col min="44" max="44" width="10.33203125" bestFit="1" customWidth="1"/>
    <col min="45" max="45" width="8.6640625" bestFit="1" customWidth="1"/>
    <col min="46" max="47" width="10.33203125" bestFit="1" customWidth="1"/>
    <col min="48" max="48" width="8.88671875" bestFit="1" customWidth="1"/>
    <col min="49" max="50" width="8.6640625" bestFit="1" customWidth="1"/>
    <col min="51" max="54" width="10.33203125" bestFit="1" customWidth="1"/>
    <col min="55" max="58" width="11.44140625" bestFit="1" customWidth="1"/>
    <col min="59" max="59" width="10.33203125" bestFit="1" customWidth="1"/>
    <col min="60" max="60" width="8.5546875" bestFit="1" customWidth="1"/>
    <col min="61" max="61" width="10.33203125" bestFit="1" customWidth="1"/>
    <col min="62" max="62" width="12.44140625" bestFit="1" customWidth="1"/>
    <col min="63" max="64" width="11.6640625" bestFit="1" customWidth="1"/>
    <col min="65" max="65" width="12.44140625" bestFit="1" customWidth="1"/>
    <col min="66" max="66" width="10.33203125" bestFit="1" customWidth="1"/>
    <col min="67" max="67" width="8.6640625" bestFit="1" customWidth="1"/>
    <col min="68" max="69" width="10.33203125" bestFit="1" customWidth="1"/>
    <col min="70" max="70" width="9" bestFit="1" customWidth="1"/>
    <col min="71" max="71" width="10.33203125" bestFit="1" customWidth="1"/>
    <col min="72" max="72" width="8.88671875" bestFit="1" customWidth="1"/>
    <col min="73" max="73" width="9" bestFit="1" customWidth="1"/>
    <col min="74" max="74" width="7.88671875" bestFit="1" customWidth="1"/>
    <col min="75" max="76" width="8.88671875" bestFit="1" customWidth="1"/>
    <col min="77" max="77" width="8.6640625" bestFit="1" customWidth="1"/>
    <col min="78" max="79" width="10.33203125" bestFit="1" customWidth="1"/>
    <col min="80" max="80" width="10.109375" bestFit="1" customWidth="1"/>
    <col min="81" max="81" width="11.5546875" bestFit="1" customWidth="1"/>
    <col min="82" max="82" width="8.6640625" bestFit="1" customWidth="1"/>
    <col min="83" max="83" width="9" bestFit="1" customWidth="1"/>
    <col min="85" max="86" width="8.6640625" bestFit="1" customWidth="1"/>
    <col min="88" max="88" width="8.5546875" bestFit="1" customWidth="1"/>
    <col min="89" max="89" width="8.6640625" bestFit="1" customWidth="1"/>
    <col min="90" max="90" width="8.88671875" bestFit="1" customWidth="1"/>
    <col min="91" max="91" width="11.44140625" bestFit="1" customWidth="1"/>
    <col min="92" max="92" width="12.88671875" bestFit="1" customWidth="1"/>
    <col min="93" max="93" width="10.33203125" bestFit="1" customWidth="1"/>
    <col min="94" max="94" width="8.6640625" bestFit="1" customWidth="1"/>
    <col min="95" max="95" width="9" bestFit="1" customWidth="1"/>
    <col min="96" max="97" width="11.6640625" bestFit="1" customWidth="1"/>
    <col min="98" max="99" width="10.33203125" bestFit="1" customWidth="1"/>
    <col min="100" max="100" width="11.6640625" bestFit="1" customWidth="1"/>
    <col min="101" max="101" width="8.5546875" bestFit="1" customWidth="1"/>
    <col min="102" max="104" width="10.33203125" bestFit="1" customWidth="1"/>
    <col min="105" max="105" width="9.109375" bestFit="1" customWidth="1"/>
    <col min="106" max="106" width="11.6640625" bestFit="1" customWidth="1"/>
    <col min="107" max="107" width="11.44140625" bestFit="1" customWidth="1"/>
    <col min="108" max="108" width="10.33203125" bestFit="1" customWidth="1"/>
    <col min="110" max="110" width="11.44140625" bestFit="1" customWidth="1"/>
    <col min="111" max="111" width="8.5546875" bestFit="1" customWidth="1"/>
    <col min="112" max="113" width="9" bestFit="1" customWidth="1"/>
    <col min="114" max="115" width="11.6640625" bestFit="1" customWidth="1"/>
    <col min="116" max="116" width="10.33203125" bestFit="1" customWidth="1"/>
    <col min="117" max="117" width="8.6640625" bestFit="1" customWidth="1"/>
    <col min="118" max="118" width="10.33203125" bestFit="1" customWidth="1"/>
    <col min="120" max="120" width="12.88671875" bestFit="1" customWidth="1"/>
    <col min="121" max="121" width="11.6640625" bestFit="1" customWidth="1"/>
    <col min="122" max="123" width="10.109375" bestFit="1" customWidth="1"/>
    <col min="124" max="124" width="12.88671875" bestFit="1" customWidth="1"/>
    <col min="125" max="126" width="8.6640625" bestFit="1" customWidth="1"/>
    <col min="127" max="127" width="10.109375" bestFit="1" customWidth="1"/>
    <col min="128" max="128" width="11.6640625" bestFit="1" customWidth="1"/>
    <col min="129" max="129" width="8.5546875" bestFit="1" customWidth="1"/>
    <col min="130" max="130" width="12.88671875" bestFit="1" customWidth="1"/>
    <col min="131" max="131" width="9" bestFit="1" customWidth="1"/>
    <col min="136" max="136" width="10" bestFit="1" customWidth="1"/>
  </cols>
  <sheetData>
    <row r="1" spans="1:136">
      <c r="A1" s="76" t="s">
        <v>1292</v>
      </c>
    </row>
    <row r="3" spans="1:136">
      <c r="C3">
        <v>1</v>
      </c>
      <c r="D3">
        <v>2</v>
      </c>
      <c r="E3">
        <v>3</v>
      </c>
      <c r="F3">
        <v>4</v>
      </c>
      <c r="G3">
        <v>5</v>
      </c>
      <c r="H3">
        <v>6</v>
      </c>
      <c r="I3">
        <v>7</v>
      </c>
      <c r="J3">
        <v>8</v>
      </c>
      <c r="K3">
        <v>9</v>
      </c>
      <c r="L3">
        <v>10</v>
      </c>
      <c r="M3">
        <v>11</v>
      </c>
      <c r="N3">
        <v>12</v>
      </c>
      <c r="O3">
        <v>13</v>
      </c>
      <c r="P3">
        <v>14</v>
      </c>
      <c r="Q3">
        <v>15</v>
      </c>
      <c r="R3">
        <v>16</v>
      </c>
      <c r="S3">
        <v>17</v>
      </c>
      <c r="T3">
        <v>18</v>
      </c>
      <c r="U3">
        <v>19</v>
      </c>
      <c r="V3">
        <v>20</v>
      </c>
      <c r="W3">
        <v>21</v>
      </c>
      <c r="X3">
        <v>22</v>
      </c>
      <c r="Y3">
        <v>23</v>
      </c>
      <c r="Z3">
        <v>24</v>
      </c>
      <c r="AA3">
        <v>25</v>
      </c>
      <c r="AB3">
        <v>26</v>
      </c>
      <c r="AC3">
        <v>27</v>
      </c>
      <c r="AD3">
        <v>28</v>
      </c>
      <c r="AE3">
        <v>29</v>
      </c>
      <c r="AF3">
        <v>30</v>
      </c>
      <c r="AG3">
        <v>31</v>
      </c>
      <c r="AH3">
        <v>32</v>
      </c>
      <c r="AI3">
        <v>33</v>
      </c>
      <c r="AJ3">
        <v>34</v>
      </c>
      <c r="AK3">
        <v>35</v>
      </c>
      <c r="AL3">
        <v>36</v>
      </c>
      <c r="AM3">
        <v>37</v>
      </c>
      <c r="AN3">
        <v>38</v>
      </c>
      <c r="AO3">
        <v>39</v>
      </c>
      <c r="AP3">
        <v>40</v>
      </c>
      <c r="AQ3">
        <v>41</v>
      </c>
      <c r="AR3">
        <v>42</v>
      </c>
      <c r="AS3">
        <v>43</v>
      </c>
      <c r="AT3">
        <v>44</v>
      </c>
      <c r="AU3">
        <v>45</v>
      </c>
      <c r="AV3">
        <v>46</v>
      </c>
      <c r="AW3">
        <v>47</v>
      </c>
      <c r="AX3">
        <v>48</v>
      </c>
      <c r="AY3">
        <v>49</v>
      </c>
      <c r="AZ3">
        <v>50</v>
      </c>
      <c r="BA3">
        <v>51</v>
      </c>
      <c r="BB3">
        <v>52</v>
      </c>
      <c r="BC3">
        <v>53</v>
      </c>
      <c r="BD3">
        <v>54</v>
      </c>
      <c r="BE3">
        <v>55</v>
      </c>
      <c r="BF3">
        <v>56</v>
      </c>
      <c r="BG3">
        <v>57</v>
      </c>
      <c r="BH3">
        <v>58</v>
      </c>
      <c r="BI3">
        <v>59</v>
      </c>
      <c r="BJ3">
        <v>60</v>
      </c>
      <c r="BK3">
        <v>61</v>
      </c>
      <c r="BL3">
        <v>62</v>
      </c>
      <c r="BM3">
        <v>63</v>
      </c>
      <c r="BN3">
        <v>64</v>
      </c>
      <c r="BO3">
        <v>65</v>
      </c>
      <c r="BP3">
        <v>66</v>
      </c>
      <c r="BQ3">
        <v>67</v>
      </c>
      <c r="BR3">
        <v>68</v>
      </c>
      <c r="BS3">
        <v>69</v>
      </c>
      <c r="BT3">
        <v>70</v>
      </c>
      <c r="BU3">
        <v>71</v>
      </c>
      <c r="BV3">
        <v>72</v>
      </c>
      <c r="BW3">
        <v>73</v>
      </c>
      <c r="BX3">
        <v>74</v>
      </c>
      <c r="BY3">
        <v>75</v>
      </c>
      <c r="BZ3">
        <v>76</v>
      </c>
      <c r="CA3">
        <v>77</v>
      </c>
      <c r="CB3">
        <v>78</v>
      </c>
      <c r="CC3">
        <v>79</v>
      </c>
      <c r="CD3">
        <v>80</v>
      </c>
      <c r="CE3">
        <v>81</v>
      </c>
      <c r="CF3">
        <v>82</v>
      </c>
      <c r="CG3">
        <v>83</v>
      </c>
      <c r="CH3">
        <v>84</v>
      </c>
      <c r="CI3">
        <v>85</v>
      </c>
      <c r="CJ3">
        <v>86</v>
      </c>
      <c r="CK3">
        <v>87</v>
      </c>
      <c r="CL3">
        <v>88</v>
      </c>
      <c r="CM3">
        <v>89</v>
      </c>
      <c r="CN3">
        <v>90</v>
      </c>
      <c r="CO3">
        <v>91</v>
      </c>
      <c r="CP3">
        <v>92</v>
      </c>
      <c r="CQ3">
        <v>93</v>
      </c>
      <c r="CR3">
        <v>94</v>
      </c>
      <c r="CS3">
        <v>95</v>
      </c>
      <c r="CT3">
        <v>96</v>
      </c>
      <c r="CU3">
        <v>97</v>
      </c>
      <c r="CV3">
        <v>98</v>
      </c>
      <c r="CW3">
        <v>99</v>
      </c>
      <c r="CX3">
        <v>100</v>
      </c>
      <c r="CY3">
        <v>101</v>
      </c>
      <c r="CZ3">
        <v>102</v>
      </c>
      <c r="DA3">
        <v>103</v>
      </c>
      <c r="DB3">
        <v>104</v>
      </c>
      <c r="DC3">
        <v>105</v>
      </c>
      <c r="DD3">
        <v>106</v>
      </c>
      <c r="DE3">
        <v>107</v>
      </c>
      <c r="DF3">
        <v>108</v>
      </c>
      <c r="DG3">
        <v>109</v>
      </c>
      <c r="DH3">
        <v>110</v>
      </c>
      <c r="DI3">
        <v>111</v>
      </c>
      <c r="DJ3">
        <v>112</v>
      </c>
      <c r="DK3">
        <v>113</v>
      </c>
      <c r="DL3">
        <v>114</v>
      </c>
      <c r="DM3">
        <v>115</v>
      </c>
      <c r="DN3">
        <v>116</v>
      </c>
      <c r="DO3">
        <v>117</v>
      </c>
      <c r="DP3">
        <v>118</v>
      </c>
      <c r="DQ3">
        <v>119</v>
      </c>
      <c r="DR3">
        <v>120</v>
      </c>
      <c r="DS3">
        <v>121</v>
      </c>
      <c r="DT3">
        <v>122</v>
      </c>
      <c r="DU3">
        <v>123</v>
      </c>
      <c r="DV3">
        <v>124</v>
      </c>
      <c r="DW3">
        <v>125</v>
      </c>
      <c r="DX3">
        <v>126</v>
      </c>
      <c r="DY3">
        <v>127</v>
      </c>
      <c r="DZ3">
        <v>128</v>
      </c>
      <c r="EA3">
        <v>129</v>
      </c>
    </row>
    <row r="4" spans="1:136" ht="15.6">
      <c r="E4" s="864"/>
      <c r="F4" s="864"/>
      <c r="G4" s="864"/>
      <c r="H4" s="864"/>
      <c r="I4" s="845" t="s">
        <v>461</v>
      </c>
      <c r="J4" s="846"/>
      <c r="K4" s="846"/>
      <c r="L4" s="846"/>
      <c r="M4" s="846"/>
      <c r="N4" s="846"/>
      <c r="O4" s="846"/>
      <c r="P4" s="846"/>
      <c r="Q4" s="846"/>
      <c r="R4" s="846"/>
      <c r="S4" s="846"/>
      <c r="T4" s="846"/>
      <c r="U4" s="846"/>
      <c r="V4" s="846"/>
      <c r="W4" s="846"/>
      <c r="X4" s="846"/>
      <c r="Y4" s="846"/>
      <c r="Z4" s="846"/>
      <c r="AA4" s="846"/>
      <c r="AB4" s="846"/>
      <c r="AC4" s="846"/>
      <c r="AD4" s="846"/>
      <c r="AE4" s="846"/>
      <c r="AF4" s="846"/>
      <c r="AG4" s="846"/>
      <c r="AH4" s="846"/>
      <c r="AI4" s="846"/>
      <c r="AJ4" s="846"/>
      <c r="AK4" s="846"/>
      <c r="AL4" s="846"/>
      <c r="AM4" s="846"/>
      <c r="AN4" s="846"/>
      <c r="AO4" s="846"/>
      <c r="AP4" s="846"/>
      <c r="AQ4" s="846"/>
      <c r="AR4" s="846"/>
      <c r="AS4" s="846"/>
      <c r="AT4" s="846"/>
      <c r="AU4" s="846"/>
      <c r="AV4" s="846"/>
      <c r="AW4" s="846"/>
      <c r="AX4" s="846"/>
      <c r="AY4" s="846"/>
      <c r="AZ4" s="846"/>
      <c r="BA4" s="846"/>
      <c r="BB4" s="846"/>
      <c r="BC4" s="846"/>
      <c r="BD4" s="846"/>
      <c r="BE4" s="846"/>
      <c r="BF4" s="846"/>
      <c r="BG4" s="846"/>
      <c r="BH4" s="846"/>
      <c r="BI4" s="846"/>
      <c r="BJ4" s="846"/>
      <c r="BK4" s="846"/>
      <c r="BL4" s="846"/>
      <c r="BM4" s="847"/>
      <c r="BN4" s="848" t="s">
        <v>462</v>
      </c>
      <c r="BO4" s="849"/>
      <c r="BP4" s="849"/>
      <c r="BQ4" s="849"/>
      <c r="BR4" s="849"/>
      <c r="BS4" s="849"/>
      <c r="BT4" s="849"/>
      <c r="BU4" s="849"/>
      <c r="BV4" s="849"/>
      <c r="BW4" s="849"/>
      <c r="BX4" s="849"/>
      <c r="BY4" s="849"/>
      <c r="BZ4" s="849"/>
      <c r="CA4" s="849"/>
      <c r="CB4" s="849"/>
      <c r="CC4" s="850"/>
      <c r="CD4" s="851" t="s">
        <v>463</v>
      </c>
      <c r="CE4" s="852"/>
      <c r="CF4" s="852"/>
      <c r="CG4" s="852"/>
      <c r="CH4" s="852"/>
      <c r="CI4" s="852"/>
      <c r="CJ4" s="852"/>
      <c r="CK4" s="852"/>
      <c r="CL4" s="853"/>
      <c r="CM4" s="854" t="s">
        <v>464</v>
      </c>
      <c r="CN4" s="854"/>
      <c r="CO4" s="854"/>
      <c r="CP4" s="854"/>
      <c r="CQ4" s="854"/>
      <c r="CR4" s="854"/>
      <c r="CS4" s="855" t="s">
        <v>465</v>
      </c>
      <c r="CT4" s="856"/>
      <c r="CU4" s="856"/>
      <c r="CV4" s="856"/>
      <c r="CW4" s="856"/>
      <c r="CX4" s="856"/>
      <c r="CY4" s="856"/>
      <c r="CZ4" s="856"/>
      <c r="DA4" s="856"/>
      <c r="DB4" s="857"/>
      <c r="DC4" s="836" t="s">
        <v>466</v>
      </c>
      <c r="DD4" s="837"/>
      <c r="DE4" s="837"/>
      <c r="DF4" s="837"/>
      <c r="DG4" s="837"/>
      <c r="DH4" s="837"/>
      <c r="DI4" s="837"/>
      <c r="DJ4" s="837"/>
      <c r="DK4" s="838"/>
      <c r="DL4" s="839" t="s">
        <v>467</v>
      </c>
      <c r="DM4" s="839"/>
      <c r="DN4" s="839"/>
      <c r="DO4" s="839"/>
      <c r="DP4" s="839"/>
      <c r="DQ4" s="839"/>
      <c r="DR4" s="839"/>
      <c r="DS4" s="839"/>
      <c r="DT4" s="839"/>
      <c r="DU4" s="840" t="s">
        <v>468</v>
      </c>
      <c r="DV4" s="840"/>
      <c r="DW4" s="841" t="s">
        <v>469</v>
      </c>
      <c r="DX4" s="841"/>
      <c r="DY4" s="102"/>
      <c r="DZ4" s="102"/>
      <c r="EA4" s="103"/>
    </row>
    <row r="5" spans="1:136" ht="109.2">
      <c r="E5" s="104" t="s">
        <v>471</v>
      </c>
      <c r="F5" s="104" t="s">
        <v>472</v>
      </c>
      <c r="G5" s="104" t="s">
        <v>473</v>
      </c>
      <c r="H5" s="104" t="s">
        <v>474</v>
      </c>
      <c r="I5" s="105" t="s">
        <v>475</v>
      </c>
      <c r="J5" s="105" t="s">
        <v>80</v>
      </c>
      <c r="K5" s="105" t="s">
        <v>476</v>
      </c>
      <c r="L5" s="105" t="s">
        <v>84</v>
      </c>
      <c r="M5" s="105" t="s">
        <v>86</v>
      </c>
      <c r="N5" s="105" t="s">
        <v>88</v>
      </c>
      <c r="O5" s="105" t="s">
        <v>477</v>
      </c>
      <c r="P5" s="105" t="s">
        <v>93</v>
      </c>
      <c r="Q5" s="105" t="s">
        <v>95</v>
      </c>
      <c r="R5" s="105" t="s">
        <v>97</v>
      </c>
      <c r="S5" s="105" t="s">
        <v>99</v>
      </c>
      <c r="T5" s="105" t="s">
        <v>101</v>
      </c>
      <c r="U5" s="105" t="s">
        <v>478</v>
      </c>
      <c r="V5" s="105" t="s">
        <v>105</v>
      </c>
      <c r="W5" s="105" t="s">
        <v>479</v>
      </c>
      <c r="X5" s="105" t="s">
        <v>480</v>
      </c>
      <c r="Y5" s="105" t="s">
        <v>111</v>
      </c>
      <c r="Z5" s="105" t="s">
        <v>481</v>
      </c>
      <c r="AA5" s="105" t="s">
        <v>115</v>
      </c>
      <c r="AB5" s="105" t="s">
        <v>117</v>
      </c>
      <c r="AC5" s="105" t="s">
        <v>119</v>
      </c>
      <c r="AD5" s="105" t="s">
        <v>121</v>
      </c>
      <c r="AE5" s="105" t="s">
        <v>123</v>
      </c>
      <c r="AF5" s="105" t="s">
        <v>125</v>
      </c>
      <c r="AG5" s="105" t="s">
        <v>482</v>
      </c>
      <c r="AH5" s="105" t="s">
        <v>129</v>
      </c>
      <c r="AI5" s="105" t="s">
        <v>131</v>
      </c>
      <c r="AJ5" s="105" t="s">
        <v>133</v>
      </c>
      <c r="AK5" s="105" t="s">
        <v>135</v>
      </c>
      <c r="AL5" s="105" t="s">
        <v>137</v>
      </c>
      <c r="AM5" s="105" t="s">
        <v>139</v>
      </c>
      <c r="AN5" s="105" t="s">
        <v>141</v>
      </c>
      <c r="AO5" s="105" t="s">
        <v>143</v>
      </c>
      <c r="AP5" s="105" t="s">
        <v>145</v>
      </c>
      <c r="AQ5" s="105" t="s">
        <v>483</v>
      </c>
      <c r="AR5" s="105" t="s">
        <v>150</v>
      </c>
      <c r="AS5" s="105" t="s">
        <v>152</v>
      </c>
      <c r="AT5" s="105" t="s">
        <v>154</v>
      </c>
      <c r="AU5" s="105" t="s">
        <v>156</v>
      </c>
      <c r="AV5" s="105" t="s">
        <v>158</v>
      </c>
      <c r="AW5" s="105" t="s">
        <v>160</v>
      </c>
      <c r="AX5" s="105" t="s">
        <v>162</v>
      </c>
      <c r="AY5" s="105" t="s">
        <v>484</v>
      </c>
      <c r="AZ5" s="105" t="s">
        <v>166</v>
      </c>
      <c r="BA5" s="105" t="s">
        <v>168</v>
      </c>
      <c r="BB5" s="105" t="s">
        <v>170</v>
      </c>
      <c r="BC5" s="105" t="s">
        <v>172</v>
      </c>
      <c r="BD5" s="105" t="s">
        <v>174</v>
      </c>
      <c r="BE5" s="105" t="s">
        <v>176</v>
      </c>
      <c r="BF5" s="105" t="s">
        <v>179</v>
      </c>
      <c r="BG5" s="105" t="s">
        <v>181</v>
      </c>
      <c r="BH5" s="105" t="s">
        <v>183</v>
      </c>
      <c r="BI5" s="105" t="s">
        <v>185</v>
      </c>
      <c r="BJ5" s="105" t="s">
        <v>485</v>
      </c>
      <c r="BK5" s="105" t="s">
        <v>486</v>
      </c>
      <c r="BL5" s="105" t="s">
        <v>487</v>
      </c>
      <c r="BM5" s="105" t="s">
        <v>488</v>
      </c>
      <c r="BN5" s="106" t="s">
        <v>489</v>
      </c>
      <c r="BO5" s="106" t="s">
        <v>195</v>
      </c>
      <c r="BP5" s="106" t="s">
        <v>197</v>
      </c>
      <c r="BQ5" s="106" t="s">
        <v>490</v>
      </c>
      <c r="BR5" s="106" t="s">
        <v>201</v>
      </c>
      <c r="BS5" s="106" t="s">
        <v>491</v>
      </c>
      <c r="BT5" s="106" t="s">
        <v>205</v>
      </c>
      <c r="BU5" s="106" t="s">
        <v>150</v>
      </c>
      <c r="BV5" s="106" t="s">
        <v>152</v>
      </c>
      <c r="BW5" s="106" t="s">
        <v>156</v>
      </c>
      <c r="BX5" s="106" t="s">
        <v>210</v>
      </c>
      <c r="BY5" s="106" t="s">
        <v>160</v>
      </c>
      <c r="BZ5" s="106" t="s">
        <v>492</v>
      </c>
      <c r="CA5" s="106" t="s">
        <v>493</v>
      </c>
      <c r="CB5" s="106" t="s">
        <v>494</v>
      </c>
      <c r="CC5" s="106" t="s">
        <v>495</v>
      </c>
      <c r="CD5" s="107" t="s">
        <v>496</v>
      </c>
      <c r="CE5" s="107" t="s">
        <v>222</v>
      </c>
      <c r="CF5" s="107" t="s">
        <v>497</v>
      </c>
      <c r="CG5" s="107" t="s">
        <v>226</v>
      </c>
      <c r="CH5" s="107" t="s">
        <v>228</v>
      </c>
      <c r="CI5" s="107" t="s">
        <v>498</v>
      </c>
      <c r="CJ5" s="107" t="s">
        <v>499</v>
      </c>
      <c r="CK5" s="107" t="s">
        <v>500</v>
      </c>
      <c r="CL5" s="107" t="s">
        <v>501</v>
      </c>
      <c r="CM5" s="98" t="s">
        <v>235</v>
      </c>
      <c r="CN5" s="98" t="s">
        <v>237</v>
      </c>
      <c r="CO5" s="98" t="s">
        <v>502</v>
      </c>
      <c r="CP5" s="98" t="s">
        <v>241</v>
      </c>
      <c r="CQ5" s="98" t="s">
        <v>243</v>
      </c>
      <c r="CR5" s="98" t="s">
        <v>503</v>
      </c>
      <c r="CS5" s="108" t="s">
        <v>504</v>
      </c>
      <c r="CT5" s="108" t="s">
        <v>505</v>
      </c>
      <c r="CU5" s="108" t="s">
        <v>506</v>
      </c>
      <c r="CV5" s="108" t="s">
        <v>257</v>
      </c>
      <c r="CW5" s="108" t="s">
        <v>258</v>
      </c>
      <c r="CX5" s="108" t="s">
        <v>507</v>
      </c>
      <c r="CY5" s="108" t="s">
        <v>508</v>
      </c>
      <c r="CZ5" s="108" t="s">
        <v>509</v>
      </c>
      <c r="DA5" s="108" t="s">
        <v>510</v>
      </c>
      <c r="DB5" s="108" t="s">
        <v>511</v>
      </c>
      <c r="DC5" s="109" t="s">
        <v>504</v>
      </c>
      <c r="DD5" s="109" t="s">
        <v>505</v>
      </c>
      <c r="DE5" s="109" t="s">
        <v>506</v>
      </c>
      <c r="DF5" s="109" t="s">
        <v>257</v>
      </c>
      <c r="DG5" s="109" t="s">
        <v>258</v>
      </c>
      <c r="DH5" s="109" t="s">
        <v>512</v>
      </c>
      <c r="DI5" s="109" t="s">
        <v>509</v>
      </c>
      <c r="DJ5" s="109" t="s">
        <v>510</v>
      </c>
      <c r="DK5" s="109" t="s">
        <v>511</v>
      </c>
      <c r="DL5" s="99" t="s">
        <v>265</v>
      </c>
      <c r="DM5" s="99" t="s">
        <v>267</v>
      </c>
      <c r="DN5" s="99" t="s">
        <v>513</v>
      </c>
      <c r="DO5" s="99" t="s">
        <v>514</v>
      </c>
      <c r="DP5" s="99" t="s">
        <v>270</v>
      </c>
      <c r="DQ5" s="99" t="s">
        <v>272</v>
      </c>
      <c r="DR5" s="99" t="s">
        <v>515</v>
      </c>
      <c r="DS5" s="99" t="s">
        <v>516</v>
      </c>
      <c r="DT5" s="99" t="s">
        <v>517</v>
      </c>
      <c r="DU5" s="110" t="s">
        <v>265</v>
      </c>
      <c r="DV5" s="110" t="s">
        <v>267</v>
      </c>
      <c r="DW5" s="111" t="s">
        <v>270</v>
      </c>
      <c r="DX5" s="111" t="s">
        <v>272</v>
      </c>
      <c r="DY5" s="112" t="s">
        <v>518</v>
      </c>
      <c r="DZ5" s="112" t="s">
        <v>519</v>
      </c>
      <c r="EA5" s="113" t="s">
        <v>520</v>
      </c>
    </row>
    <row r="6" spans="1:136" ht="15.6">
      <c r="A6" s="781" t="s">
        <v>1293</v>
      </c>
      <c r="B6" s="781" t="s">
        <v>1162</v>
      </c>
      <c r="C6" s="781" t="s">
        <v>315</v>
      </c>
      <c r="D6" s="781" t="s">
        <v>526</v>
      </c>
      <c r="E6" s="119"/>
      <c r="F6" s="119"/>
      <c r="G6" s="119"/>
      <c r="H6" s="119"/>
      <c r="I6" s="120" t="s">
        <v>77</v>
      </c>
      <c r="J6" s="120" t="s">
        <v>79</v>
      </c>
      <c r="K6" s="120" t="s">
        <v>81</v>
      </c>
      <c r="L6" s="120" t="s">
        <v>83</v>
      </c>
      <c r="M6" s="120" t="s">
        <v>85</v>
      </c>
      <c r="N6" s="120" t="s">
        <v>87</v>
      </c>
      <c r="O6" s="120" t="s">
        <v>89</v>
      </c>
      <c r="P6" s="120" t="s">
        <v>92</v>
      </c>
      <c r="Q6" s="120" t="s">
        <v>94</v>
      </c>
      <c r="R6" s="120" t="s">
        <v>96</v>
      </c>
      <c r="S6" s="120" t="s">
        <v>98</v>
      </c>
      <c r="T6" s="120" t="s">
        <v>100</v>
      </c>
      <c r="U6" s="120" t="s">
        <v>102</v>
      </c>
      <c r="V6" s="120" t="s">
        <v>104</v>
      </c>
      <c r="W6" s="120" t="s">
        <v>106</v>
      </c>
      <c r="X6" s="121"/>
      <c r="Y6" s="120" t="s">
        <v>110</v>
      </c>
      <c r="Z6" s="120" t="s">
        <v>112</v>
      </c>
      <c r="AA6" s="120" t="s">
        <v>114</v>
      </c>
      <c r="AB6" s="120" t="s">
        <v>116</v>
      </c>
      <c r="AC6" s="120" t="s">
        <v>118</v>
      </c>
      <c r="AD6" s="120" t="s">
        <v>120</v>
      </c>
      <c r="AE6" s="120" t="s">
        <v>122</v>
      </c>
      <c r="AF6" s="120" t="s">
        <v>124</v>
      </c>
      <c r="AG6" s="120" t="s">
        <v>126</v>
      </c>
      <c r="AH6" s="120" t="s">
        <v>128</v>
      </c>
      <c r="AI6" s="120" t="s">
        <v>130</v>
      </c>
      <c r="AJ6" s="120" t="s">
        <v>132</v>
      </c>
      <c r="AK6" s="120" t="s">
        <v>134</v>
      </c>
      <c r="AL6" s="120" t="s">
        <v>136</v>
      </c>
      <c r="AM6" s="120" t="s">
        <v>138</v>
      </c>
      <c r="AN6" s="120" t="s">
        <v>140</v>
      </c>
      <c r="AO6" s="120" t="s">
        <v>142</v>
      </c>
      <c r="AP6" s="120" t="s">
        <v>144</v>
      </c>
      <c r="AQ6" s="120" t="s">
        <v>146</v>
      </c>
      <c r="AR6" s="120" t="s">
        <v>149</v>
      </c>
      <c r="AS6" s="120" t="s">
        <v>151</v>
      </c>
      <c r="AT6" s="120" t="s">
        <v>153</v>
      </c>
      <c r="AU6" s="120" t="s">
        <v>155</v>
      </c>
      <c r="AV6" s="120" t="s">
        <v>157</v>
      </c>
      <c r="AW6" s="120" t="s">
        <v>159</v>
      </c>
      <c r="AX6" s="120" t="s">
        <v>161</v>
      </c>
      <c r="AY6" s="120" t="s">
        <v>163</v>
      </c>
      <c r="AZ6" s="120" t="s">
        <v>165</v>
      </c>
      <c r="BA6" s="120" t="s">
        <v>167</v>
      </c>
      <c r="BB6" s="120" t="s">
        <v>169</v>
      </c>
      <c r="BC6" s="120" t="s">
        <v>171</v>
      </c>
      <c r="BD6" s="120" t="s">
        <v>173</v>
      </c>
      <c r="BE6" s="120" t="s">
        <v>175</v>
      </c>
      <c r="BF6" s="120" t="s">
        <v>178</v>
      </c>
      <c r="BG6" s="120" t="s">
        <v>180</v>
      </c>
      <c r="BH6" s="120" t="s">
        <v>182</v>
      </c>
      <c r="BI6" s="120" t="s">
        <v>184</v>
      </c>
      <c r="BJ6" s="120"/>
      <c r="BK6" s="120"/>
      <c r="BL6" s="120"/>
      <c r="BM6" s="120"/>
      <c r="BN6" s="122" t="s">
        <v>192</v>
      </c>
      <c r="BO6" s="122" t="s">
        <v>194</v>
      </c>
      <c r="BP6" s="122" t="s">
        <v>196</v>
      </c>
      <c r="BQ6" s="122"/>
      <c r="BR6" s="122" t="s">
        <v>200</v>
      </c>
      <c r="BS6" s="122" t="s">
        <v>202</v>
      </c>
      <c r="BT6" s="122" t="s">
        <v>204</v>
      </c>
      <c r="BU6" s="122" t="s">
        <v>206</v>
      </c>
      <c r="BV6" s="122" t="s">
        <v>207</v>
      </c>
      <c r="BW6" s="122" t="s">
        <v>208</v>
      </c>
      <c r="BX6" s="122" t="s">
        <v>209</v>
      </c>
      <c r="BY6" s="122" t="s">
        <v>212</v>
      </c>
      <c r="BZ6" s="122"/>
      <c r="CA6" s="122"/>
      <c r="CB6" s="122"/>
      <c r="CC6" s="122"/>
      <c r="CD6" s="123" t="s">
        <v>219</v>
      </c>
      <c r="CE6" s="123" t="s">
        <v>221</v>
      </c>
      <c r="CF6" s="123"/>
      <c r="CG6" s="123" t="s">
        <v>225</v>
      </c>
      <c r="CH6" s="123" t="s">
        <v>227</v>
      </c>
      <c r="CI6" s="123"/>
      <c r="CJ6" s="123"/>
      <c r="CK6" s="123"/>
      <c r="CL6" s="123"/>
      <c r="CM6" s="124" t="s">
        <v>234</v>
      </c>
      <c r="CN6" s="124" t="s">
        <v>236</v>
      </c>
      <c r="CO6" s="124" t="s">
        <v>238</v>
      </c>
      <c r="CP6" s="124" t="s">
        <v>240</v>
      </c>
      <c r="CQ6" s="124" t="s">
        <v>242</v>
      </c>
      <c r="CR6" s="124"/>
      <c r="CS6" s="125"/>
      <c r="CT6" s="125"/>
      <c r="CU6" s="125"/>
      <c r="CV6" s="125"/>
      <c r="CW6" s="125"/>
      <c r="CX6" s="125"/>
      <c r="CY6" s="125"/>
      <c r="CZ6" s="125"/>
      <c r="DA6" s="125"/>
      <c r="DB6" s="125"/>
      <c r="DC6" s="126"/>
      <c r="DD6" s="126"/>
      <c r="DE6" s="126"/>
      <c r="DF6" s="126"/>
      <c r="DG6" s="126"/>
      <c r="DH6" s="126"/>
      <c r="DI6" s="126"/>
      <c r="DJ6" s="126"/>
      <c r="DK6" s="126"/>
      <c r="DL6" s="127"/>
      <c r="DM6" s="127"/>
      <c r="DN6" s="127"/>
      <c r="DO6" s="127"/>
      <c r="DP6" s="127"/>
      <c r="DQ6" s="127"/>
      <c r="DR6" s="127"/>
      <c r="DS6" s="127"/>
      <c r="DT6" s="127"/>
      <c r="DU6" s="100"/>
      <c r="DV6" s="100"/>
      <c r="DW6" s="101"/>
      <c r="DX6" s="101"/>
      <c r="DY6" s="128"/>
      <c r="DZ6" s="128"/>
      <c r="EA6" s="129"/>
    </row>
    <row r="7" spans="1:136" ht="15.6" hidden="1">
      <c r="A7" s="782" t="s">
        <v>1294</v>
      </c>
      <c r="B7" s="782" t="s">
        <v>532</v>
      </c>
      <c r="C7" s="783">
        <v>1027</v>
      </c>
      <c r="D7" s="784" t="s">
        <v>533</v>
      </c>
      <c r="E7" s="785" t="s">
        <v>521</v>
      </c>
      <c r="F7" s="786">
        <v>46094</v>
      </c>
      <c r="G7" s="785" t="s">
        <v>5</v>
      </c>
      <c r="H7" s="785" t="s">
        <v>547</v>
      </c>
      <c r="I7" s="787">
        <v>671352.63125012931</v>
      </c>
      <c r="J7" s="787">
        <v>0</v>
      </c>
      <c r="K7" s="787">
        <v>73130.844063342593</v>
      </c>
      <c r="L7" s="787">
        <v>0</v>
      </c>
      <c r="M7" s="787">
        <v>0</v>
      </c>
      <c r="N7" s="787">
        <v>0</v>
      </c>
      <c r="O7" s="787">
        <v>0</v>
      </c>
      <c r="P7" s="787">
        <v>48824</v>
      </c>
      <c r="Q7" s="787">
        <v>81378.44</v>
      </c>
      <c r="R7" s="787">
        <v>1652</v>
      </c>
      <c r="S7" s="787">
        <v>0</v>
      </c>
      <c r="T7" s="787">
        <v>0</v>
      </c>
      <c r="U7" s="787">
        <v>1361</v>
      </c>
      <c r="V7" s="787">
        <v>40101.1</v>
      </c>
      <c r="W7" s="787">
        <v>0</v>
      </c>
      <c r="X7" s="787">
        <v>917800.01531347178</v>
      </c>
      <c r="Y7" s="787">
        <v>226168.78</v>
      </c>
      <c r="Z7" s="787">
        <v>0</v>
      </c>
      <c r="AA7" s="787">
        <v>355984.91</v>
      </c>
      <c r="AB7" s="787">
        <v>0</v>
      </c>
      <c r="AC7" s="787">
        <v>27242.27</v>
      </c>
      <c r="AD7" s="787">
        <v>0</v>
      </c>
      <c r="AE7" s="787">
        <v>0</v>
      </c>
      <c r="AF7" s="787">
        <v>38285.08</v>
      </c>
      <c r="AG7" s="787">
        <v>1560.9</v>
      </c>
      <c r="AH7" s="787">
        <v>0</v>
      </c>
      <c r="AI7" s="787">
        <v>0</v>
      </c>
      <c r="AJ7" s="787">
        <v>7304.69</v>
      </c>
      <c r="AK7" s="787">
        <v>0</v>
      </c>
      <c r="AL7" s="787">
        <v>31778.73</v>
      </c>
      <c r="AM7" s="787">
        <v>2743.31</v>
      </c>
      <c r="AN7" s="787">
        <v>17727.41</v>
      </c>
      <c r="AO7" s="787">
        <v>0</v>
      </c>
      <c r="AP7" s="787">
        <v>9067.19</v>
      </c>
      <c r="AQ7" s="787">
        <v>16457.53</v>
      </c>
      <c r="AR7" s="787">
        <v>1430.74</v>
      </c>
      <c r="AS7" s="787">
        <v>0</v>
      </c>
      <c r="AT7" s="787">
        <v>0</v>
      </c>
      <c r="AU7" s="787">
        <v>0</v>
      </c>
      <c r="AV7" s="787">
        <v>0</v>
      </c>
      <c r="AW7" s="787">
        <v>0</v>
      </c>
      <c r="AX7" s="787">
        <v>0</v>
      </c>
      <c r="AY7" s="787">
        <v>0</v>
      </c>
      <c r="AZ7" s="787">
        <v>13108.51</v>
      </c>
      <c r="BA7" s="787">
        <v>3291.75</v>
      </c>
      <c r="BB7" s="787">
        <v>0</v>
      </c>
      <c r="BC7" s="787">
        <v>7876.45</v>
      </c>
      <c r="BD7" s="787">
        <v>25588.84</v>
      </c>
      <c r="BE7" s="787">
        <v>0</v>
      </c>
      <c r="BF7" s="787">
        <v>63080.41</v>
      </c>
      <c r="BG7" s="787">
        <v>0</v>
      </c>
      <c r="BH7" s="787">
        <v>0</v>
      </c>
      <c r="BI7" s="787">
        <v>0</v>
      </c>
      <c r="BJ7" s="787">
        <v>848697.49999999988</v>
      </c>
      <c r="BK7" s="787">
        <v>311817.20999999996</v>
      </c>
      <c r="BL7" s="787">
        <v>69102.5153134719</v>
      </c>
      <c r="BM7" s="787">
        <v>380919.72531347186</v>
      </c>
      <c r="BN7" s="787">
        <v>4897.75</v>
      </c>
      <c r="BO7" s="787">
        <v>0</v>
      </c>
      <c r="BP7" s="787">
        <v>0</v>
      </c>
      <c r="BQ7" s="787">
        <v>4897.75</v>
      </c>
      <c r="BR7" s="787">
        <v>0</v>
      </c>
      <c r="BS7" s="787">
        <v>0</v>
      </c>
      <c r="BT7" s="787">
        <v>0</v>
      </c>
      <c r="BU7" s="787">
        <v>0</v>
      </c>
      <c r="BV7" s="787">
        <v>0</v>
      </c>
      <c r="BW7" s="787">
        <v>0</v>
      </c>
      <c r="BX7" s="787">
        <v>0</v>
      </c>
      <c r="BY7" s="787">
        <v>0</v>
      </c>
      <c r="BZ7" s="787">
        <v>0</v>
      </c>
      <c r="CA7" s="787">
        <v>4145.2700000000004</v>
      </c>
      <c r="CB7" s="787">
        <v>4897.75</v>
      </c>
      <c r="CC7" s="787">
        <v>9043.02</v>
      </c>
      <c r="CD7" s="787">
        <v>0</v>
      </c>
      <c r="CE7" s="787">
        <v>0</v>
      </c>
      <c r="CF7" s="787">
        <v>0</v>
      </c>
      <c r="CG7" s="787">
        <v>0</v>
      </c>
      <c r="CH7" s="787">
        <v>0</v>
      </c>
      <c r="CI7" s="787">
        <v>0</v>
      </c>
      <c r="CJ7" s="787">
        <v>0</v>
      </c>
      <c r="CK7" s="787">
        <v>0</v>
      </c>
      <c r="CL7" s="787">
        <v>0</v>
      </c>
      <c r="CM7" s="787">
        <v>380919.72531347186</v>
      </c>
      <c r="CN7" s="787">
        <v>0</v>
      </c>
      <c r="CO7" s="787">
        <v>9043.02</v>
      </c>
      <c r="CP7" s="787">
        <v>0</v>
      </c>
      <c r="CQ7" s="787">
        <v>0</v>
      </c>
      <c r="CR7" s="787">
        <v>389962.74531347188</v>
      </c>
      <c r="CS7" s="787">
        <v>444983.78</v>
      </c>
      <c r="CT7" s="787">
        <v>10536.36</v>
      </c>
      <c r="CU7" s="787">
        <v>0</v>
      </c>
      <c r="CV7" s="787">
        <v>434447.42000000004</v>
      </c>
      <c r="CW7" s="787">
        <v>0</v>
      </c>
      <c r="CX7" s="787">
        <v>2865.4</v>
      </c>
      <c r="CY7" s="787">
        <v>1278.19</v>
      </c>
      <c r="CZ7" s="787">
        <v>113.77</v>
      </c>
      <c r="DA7" s="787">
        <v>0</v>
      </c>
      <c r="DB7" s="787">
        <v>438704.78000000009</v>
      </c>
      <c r="DC7" s="787">
        <v>0</v>
      </c>
      <c r="DD7" s="787">
        <v>0</v>
      </c>
      <c r="DE7" s="787">
        <v>0</v>
      </c>
      <c r="DF7" s="787">
        <v>0</v>
      </c>
      <c r="DG7" s="787"/>
      <c r="DH7" s="787"/>
      <c r="DI7" s="787"/>
      <c r="DJ7" s="787">
        <v>0</v>
      </c>
      <c r="DK7" s="787">
        <v>0</v>
      </c>
      <c r="DL7" s="787">
        <v>0</v>
      </c>
      <c r="DM7" s="787">
        <v>0</v>
      </c>
      <c r="DN7" s="787">
        <v>0</v>
      </c>
      <c r="DO7" s="787">
        <v>0</v>
      </c>
      <c r="DP7" s="787">
        <v>0</v>
      </c>
      <c r="DQ7" s="787">
        <v>0</v>
      </c>
      <c r="DR7" s="787">
        <v>0</v>
      </c>
      <c r="DS7" s="787">
        <v>0</v>
      </c>
      <c r="DT7" s="787">
        <v>0</v>
      </c>
      <c r="DU7" s="787">
        <v>0</v>
      </c>
      <c r="DV7" s="787">
        <v>0</v>
      </c>
      <c r="DW7" s="787">
        <v>0</v>
      </c>
      <c r="DX7" s="787">
        <v>0</v>
      </c>
      <c r="DY7" s="787">
        <v>0</v>
      </c>
      <c r="DZ7" s="787">
        <v>-48742.52</v>
      </c>
      <c r="EA7" s="787">
        <v>0.48531347181415185</v>
      </c>
      <c r="EE7">
        <f>_xlfn.XLOOKUP(C7,'[1]Cfwd Analysis'!$C:$C,'[1]Cfwd Analysis'!$I:$I,0,0)</f>
        <v>380919.72531347186</v>
      </c>
      <c r="EF7" s="788">
        <f>EE7-BM7</f>
        <v>0</v>
      </c>
    </row>
    <row r="8" spans="1:136" ht="15.6" hidden="1">
      <c r="A8" s="782" t="s">
        <v>1295</v>
      </c>
      <c r="B8" s="782" t="s">
        <v>536</v>
      </c>
      <c r="C8" s="783">
        <v>2010</v>
      </c>
      <c r="D8" s="784" t="s">
        <v>537</v>
      </c>
      <c r="E8" s="785" t="s">
        <v>521</v>
      </c>
      <c r="F8" s="786">
        <v>46094</v>
      </c>
      <c r="G8" s="785" t="s">
        <v>5</v>
      </c>
      <c r="H8" s="785" t="s">
        <v>549</v>
      </c>
      <c r="I8" s="787">
        <v>2714185.2728075944</v>
      </c>
      <c r="J8" s="787">
        <v>0</v>
      </c>
      <c r="K8" s="787">
        <v>18596.333333333332</v>
      </c>
      <c r="L8" s="787">
        <v>0</v>
      </c>
      <c r="M8" s="787">
        <v>371175</v>
      </c>
      <c r="N8" s="787">
        <v>59494.86</v>
      </c>
      <c r="O8" s="787">
        <v>0</v>
      </c>
      <c r="P8" s="787">
        <v>0</v>
      </c>
      <c r="Q8" s="787">
        <v>876.59</v>
      </c>
      <c r="R8" s="787">
        <v>21052.36</v>
      </c>
      <c r="S8" s="787">
        <v>0</v>
      </c>
      <c r="T8" s="787">
        <v>0</v>
      </c>
      <c r="U8" s="787">
        <v>13445.529999999999</v>
      </c>
      <c r="V8" s="787">
        <v>35995.81</v>
      </c>
      <c r="W8" s="787">
        <v>0</v>
      </c>
      <c r="X8" s="787">
        <v>3234821.7561409273</v>
      </c>
      <c r="Y8" s="787">
        <v>1219158.4099999999</v>
      </c>
      <c r="Z8" s="787">
        <v>0</v>
      </c>
      <c r="AA8" s="787">
        <v>367585.31</v>
      </c>
      <c r="AB8" s="787">
        <v>153725.29</v>
      </c>
      <c r="AC8" s="787">
        <v>144141.68</v>
      </c>
      <c r="AD8" s="787">
        <v>84641.98</v>
      </c>
      <c r="AE8" s="787">
        <v>49034.96</v>
      </c>
      <c r="AF8" s="787">
        <v>2339.79</v>
      </c>
      <c r="AG8" s="787">
        <v>1797.93</v>
      </c>
      <c r="AH8" s="787">
        <v>0</v>
      </c>
      <c r="AI8" s="787">
        <v>0</v>
      </c>
      <c r="AJ8" s="787">
        <v>25890.39</v>
      </c>
      <c r="AK8" s="787">
        <v>1383.34</v>
      </c>
      <c r="AL8" s="787">
        <v>3305.21</v>
      </c>
      <c r="AM8" s="787">
        <v>9479.8499999999985</v>
      </c>
      <c r="AN8" s="787">
        <v>54090.92</v>
      </c>
      <c r="AO8" s="787">
        <v>47169.719999999994</v>
      </c>
      <c r="AP8" s="787">
        <v>24864.06</v>
      </c>
      <c r="AQ8" s="787">
        <v>126434.48999999999</v>
      </c>
      <c r="AR8" s="787">
        <v>0</v>
      </c>
      <c r="AS8" s="787">
        <v>0</v>
      </c>
      <c r="AT8" s="787">
        <v>604.02</v>
      </c>
      <c r="AU8" s="787">
        <v>0</v>
      </c>
      <c r="AV8" s="787">
        <v>1240.04</v>
      </c>
      <c r="AW8" s="787">
        <v>27747</v>
      </c>
      <c r="AX8" s="787">
        <v>20467.2</v>
      </c>
      <c r="AY8" s="787">
        <v>0</v>
      </c>
      <c r="AZ8" s="787">
        <v>36068.39</v>
      </c>
      <c r="BA8" s="787">
        <v>13243.67</v>
      </c>
      <c r="BB8" s="787">
        <v>5682.5</v>
      </c>
      <c r="BC8" s="787">
        <v>42252.02</v>
      </c>
      <c r="BD8" s="787">
        <v>192287.98</v>
      </c>
      <c r="BE8" s="787">
        <v>23883.420000000002</v>
      </c>
      <c r="BF8" s="787">
        <v>185561.94</v>
      </c>
      <c r="BG8" s="787">
        <v>0</v>
      </c>
      <c r="BH8" s="787">
        <v>0</v>
      </c>
      <c r="BI8" s="787">
        <v>0</v>
      </c>
      <c r="BJ8" s="787">
        <v>2864081.5100000002</v>
      </c>
      <c r="BK8" s="787">
        <v>543637.66999999958</v>
      </c>
      <c r="BL8" s="787">
        <v>370740.24614092708</v>
      </c>
      <c r="BM8" s="787">
        <v>914377.91614092665</v>
      </c>
      <c r="BN8" s="787">
        <v>8736.25</v>
      </c>
      <c r="BO8" s="787">
        <v>0</v>
      </c>
      <c r="BP8" s="787">
        <v>0</v>
      </c>
      <c r="BQ8" s="787">
        <v>8736.25</v>
      </c>
      <c r="BR8" s="787">
        <v>0</v>
      </c>
      <c r="BS8" s="787">
        <v>0</v>
      </c>
      <c r="BT8" s="787">
        <v>7821.99</v>
      </c>
      <c r="BU8" s="787">
        <v>0</v>
      </c>
      <c r="BV8" s="787">
        <v>0</v>
      </c>
      <c r="BW8" s="787">
        <v>0</v>
      </c>
      <c r="BX8" s="787">
        <v>0</v>
      </c>
      <c r="BY8" s="787">
        <v>0</v>
      </c>
      <c r="BZ8" s="787">
        <v>7821.99</v>
      </c>
      <c r="CA8" s="787">
        <v>145977.87</v>
      </c>
      <c r="CB8" s="787">
        <v>914.26000000000022</v>
      </c>
      <c r="CC8" s="787">
        <v>146892.13</v>
      </c>
      <c r="CD8" s="787">
        <v>0</v>
      </c>
      <c r="CE8" s="787">
        <v>0</v>
      </c>
      <c r="CF8" s="787">
        <v>0</v>
      </c>
      <c r="CG8" s="787">
        <v>0</v>
      </c>
      <c r="CH8" s="787">
        <v>0</v>
      </c>
      <c r="CI8" s="787">
        <v>0</v>
      </c>
      <c r="CJ8" s="787">
        <v>0</v>
      </c>
      <c r="CK8" s="787">
        <v>0</v>
      </c>
      <c r="CL8" s="787">
        <v>0</v>
      </c>
      <c r="CM8" s="787">
        <v>914377.91614092665</v>
      </c>
      <c r="CN8" s="787">
        <v>0</v>
      </c>
      <c r="CO8" s="787">
        <v>146892.13</v>
      </c>
      <c r="CP8" s="787">
        <v>0</v>
      </c>
      <c r="CQ8" s="787">
        <v>0</v>
      </c>
      <c r="CR8" s="787">
        <v>1061270.0461409264</v>
      </c>
      <c r="CS8" s="787">
        <v>1025468.62</v>
      </c>
      <c r="CT8" s="787">
        <v>104678.87</v>
      </c>
      <c r="CU8" s="787">
        <v>10646.7</v>
      </c>
      <c r="CV8" s="787">
        <v>931436.45</v>
      </c>
      <c r="CW8" s="787">
        <v>0</v>
      </c>
      <c r="CX8" s="787">
        <v>15285.79</v>
      </c>
      <c r="CY8" s="787">
        <v>13440.86</v>
      </c>
      <c r="CZ8" s="787">
        <v>2213.7399999999998</v>
      </c>
      <c r="DA8" s="787">
        <v>1</v>
      </c>
      <c r="DB8" s="787">
        <v>962377.84</v>
      </c>
      <c r="DC8" s="787">
        <v>300776.46000000002</v>
      </c>
      <c r="DD8" s="787">
        <v>0</v>
      </c>
      <c r="DE8" s="787">
        <v>0</v>
      </c>
      <c r="DF8" s="787">
        <v>300776.46000000002</v>
      </c>
      <c r="DG8" s="787"/>
      <c r="DH8" s="787"/>
      <c r="DI8" s="787"/>
      <c r="DJ8" s="787">
        <v>0</v>
      </c>
      <c r="DK8" s="787">
        <v>300776.46000000002</v>
      </c>
      <c r="DL8" s="787">
        <v>619.22</v>
      </c>
      <c r="DM8" s="787">
        <v>0</v>
      </c>
      <c r="DN8" s="787">
        <v>0</v>
      </c>
      <c r="DO8" s="787">
        <v>0</v>
      </c>
      <c r="DP8" s="787">
        <v>-46384.85</v>
      </c>
      <c r="DQ8" s="787">
        <v>-1496</v>
      </c>
      <c r="DR8" s="787">
        <v>0</v>
      </c>
      <c r="DS8" s="787">
        <v>0</v>
      </c>
      <c r="DT8" s="787">
        <v>-47261.63</v>
      </c>
      <c r="DU8" s="787">
        <v>0</v>
      </c>
      <c r="DV8" s="787">
        <v>0</v>
      </c>
      <c r="DW8" s="787">
        <v>0</v>
      </c>
      <c r="DX8" s="787">
        <v>0</v>
      </c>
      <c r="DY8" s="787">
        <v>0</v>
      </c>
      <c r="DZ8" s="787">
        <v>-154622.44</v>
      </c>
      <c r="EA8" s="787">
        <v>-0.18385907355695963</v>
      </c>
      <c r="EE8">
        <f>_xlfn.XLOOKUP(C8,'[1]Cfwd Analysis'!$C:$C,'[1]Cfwd Analysis'!$I:$I,0,0)</f>
        <v>914377.91614092665</v>
      </c>
      <c r="EF8" s="788">
        <f t="shared" ref="EF8:EF71" si="0">EE8-BM8</f>
        <v>0</v>
      </c>
    </row>
    <row r="9" spans="1:136" ht="15.6" hidden="1">
      <c r="A9" s="782" t="s">
        <v>1296</v>
      </c>
      <c r="B9" s="782" t="s">
        <v>539</v>
      </c>
      <c r="C9" s="783">
        <v>5949</v>
      </c>
      <c r="D9" s="784" t="s">
        <v>540</v>
      </c>
      <c r="E9" s="785" t="s">
        <v>521</v>
      </c>
      <c r="F9" s="786">
        <v>46093</v>
      </c>
      <c r="G9" s="785" t="s">
        <v>5</v>
      </c>
      <c r="H9" s="785" t="s">
        <v>551</v>
      </c>
      <c r="I9" s="787">
        <v>3745275.2292505442</v>
      </c>
      <c r="J9" s="787">
        <v>0</v>
      </c>
      <c r="K9" s="787">
        <v>94084.33666666667</v>
      </c>
      <c r="L9" s="787">
        <v>0</v>
      </c>
      <c r="M9" s="787">
        <v>446525</v>
      </c>
      <c r="N9" s="787">
        <v>105796.64</v>
      </c>
      <c r="O9" s="787">
        <v>0</v>
      </c>
      <c r="P9" s="787">
        <v>0</v>
      </c>
      <c r="Q9" s="787">
        <v>45092.075990000129</v>
      </c>
      <c r="R9" s="787">
        <v>0</v>
      </c>
      <c r="S9" s="787">
        <v>0</v>
      </c>
      <c r="T9" s="787">
        <v>0</v>
      </c>
      <c r="U9" s="787">
        <v>151650.29999999999</v>
      </c>
      <c r="V9" s="787">
        <v>0</v>
      </c>
      <c r="W9" s="787">
        <v>0</v>
      </c>
      <c r="X9" s="787">
        <v>4588423.5819072099</v>
      </c>
      <c r="Y9" s="787">
        <v>2185905.4700000002</v>
      </c>
      <c r="Z9" s="787">
        <v>56859</v>
      </c>
      <c r="AA9" s="787">
        <v>487878.42</v>
      </c>
      <c r="AB9" s="787">
        <v>36700.269999999997</v>
      </c>
      <c r="AC9" s="787">
        <v>183120.78</v>
      </c>
      <c r="AD9" s="787">
        <v>0</v>
      </c>
      <c r="AE9" s="787">
        <v>150681.69</v>
      </c>
      <c r="AF9" s="787">
        <v>3863</v>
      </c>
      <c r="AG9" s="787">
        <v>6425</v>
      </c>
      <c r="AH9" s="787">
        <v>0</v>
      </c>
      <c r="AI9" s="787">
        <v>0</v>
      </c>
      <c r="AJ9" s="787">
        <v>77840</v>
      </c>
      <c r="AK9" s="787">
        <v>200</v>
      </c>
      <c r="AL9" s="787">
        <v>63234</v>
      </c>
      <c r="AM9" s="787">
        <v>2003</v>
      </c>
      <c r="AN9" s="787">
        <v>69388.319999999992</v>
      </c>
      <c r="AO9" s="787">
        <v>73840.41</v>
      </c>
      <c r="AP9" s="787">
        <v>66460</v>
      </c>
      <c r="AQ9" s="787">
        <v>207914.6</v>
      </c>
      <c r="AR9" s="787">
        <v>0</v>
      </c>
      <c r="AS9" s="787">
        <v>0</v>
      </c>
      <c r="AT9" s="787">
        <v>25437</v>
      </c>
      <c r="AU9" s="787">
        <v>0</v>
      </c>
      <c r="AV9" s="787">
        <v>0</v>
      </c>
      <c r="AW9" s="787">
        <v>3528</v>
      </c>
      <c r="AX9" s="787">
        <v>98</v>
      </c>
      <c r="AY9" s="787">
        <v>0</v>
      </c>
      <c r="AZ9" s="787">
        <v>26405.74</v>
      </c>
      <c r="BA9" s="787">
        <v>18745.650000000001</v>
      </c>
      <c r="BB9" s="787">
        <v>7455</v>
      </c>
      <c r="BC9" s="787">
        <v>174865</v>
      </c>
      <c r="BD9" s="787">
        <v>216496.98</v>
      </c>
      <c r="BE9" s="787">
        <v>17206.48</v>
      </c>
      <c r="BF9" s="787">
        <v>126859</v>
      </c>
      <c r="BG9" s="787">
        <v>0</v>
      </c>
      <c r="BH9" s="787">
        <v>0</v>
      </c>
      <c r="BI9" s="787">
        <v>0</v>
      </c>
      <c r="BJ9" s="787">
        <v>4289410.8100000005</v>
      </c>
      <c r="BK9" s="787">
        <v>1036768.3400000057</v>
      </c>
      <c r="BL9" s="787">
        <v>299012.77190720942</v>
      </c>
      <c r="BM9" s="787">
        <v>1335781.1119072151</v>
      </c>
      <c r="BN9" s="787">
        <v>11065</v>
      </c>
      <c r="BO9" s="787">
        <v>0</v>
      </c>
      <c r="BP9" s="787">
        <v>0</v>
      </c>
      <c r="BQ9" s="787">
        <v>11065</v>
      </c>
      <c r="BR9" s="787">
        <v>0</v>
      </c>
      <c r="BS9" s="787">
        <v>0</v>
      </c>
      <c r="BT9" s="787">
        <v>0</v>
      </c>
      <c r="BU9" s="787">
        <v>0</v>
      </c>
      <c r="BV9" s="787">
        <v>0</v>
      </c>
      <c r="BW9" s="787">
        <v>0</v>
      </c>
      <c r="BX9" s="787">
        <v>0</v>
      </c>
      <c r="BY9" s="787">
        <v>0</v>
      </c>
      <c r="BZ9" s="787">
        <v>0</v>
      </c>
      <c r="CA9" s="787">
        <v>11065</v>
      </c>
      <c r="CB9" s="787">
        <v>11065</v>
      </c>
      <c r="CC9" s="787">
        <v>22130</v>
      </c>
      <c r="CD9" s="787">
        <v>0</v>
      </c>
      <c r="CE9" s="787">
        <v>0</v>
      </c>
      <c r="CF9" s="787">
        <v>0</v>
      </c>
      <c r="CG9" s="787">
        <v>0</v>
      </c>
      <c r="CH9" s="787">
        <v>0</v>
      </c>
      <c r="CI9" s="787">
        <v>0</v>
      </c>
      <c r="CJ9" s="787">
        <v>0</v>
      </c>
      <c r="CK9" s="787">
        <v>0</v>
      </c>
      <c r="CL9" s="787">
        <v>0</v>
      </c>
      <c r="CM9" s="787">
        <v>1335781.1119072151</v>
      </c>
      <c r="CN9" s="787">
        <v>0</v>
      </c>
      <c r="CO9" s="787">
        <v>22130</v>
      </c>
      <c r="CP9" s="787">
        <v>0</v>
      </c>
      <c r="CQ9" s="787">
        <v>0</v>
      </c>
      <c r="CR9" s="787">
        <v>1357911.1119072151</v>
      </c>
      <c r="CS9" s="787">
        <v>1734862.55</v>
      </c>
      <c r="CT9" s="787">
        <v>0</v>
      </c>
      <c r="CU9" s="787">
        <v>0</v>
      </c>
      <c r="CV9" s="787">
        <v>1734862.55</v>
      </c>
      <c r="CW9" s="787">
        <v>0</v>
      </c>
      <c r="CX9" s="787">
        <v>10246.969999999999</v>
      </c>
      <c r="CY9" s="787">
        <v>1251.5999999999999</v>
      </c>
      <c r="CZ9" s="787">
        <v>0</v>
      </c>
      <c r="DA9" s="787">
        <v>0</v>
      </c>
      <c r="DB9" s="787">
        <v>1746361.12</v>
      </c>
      <c r="DC9" s="787">
        <v>0</v>
      </c>
      <c r="DD9" s="787">
        <v>0</v>
      </c>
      <c r="DE9" s="787">
        <v>0</v>
      </c>
      <c r="DF9" s="787">
        <v>0</v>
      </c>
      <c r="DG9" s="787"/>
      <c r="DH9" s="787"/>
      <c r="DI9" s="787"/>
      <c r="DJ9" s="787">
        <v>0</v>
      </c>
      <c r="DK9" s="787">
        <v>0</v>
      </c>
      <c r="DL9" s="787">
        <v>9443.2999999999993</v>
      </c>
      <c r="DM9" s="787">
        <v>0</v>
      </c>
      <c r="DN9" s="787">
        <v>0</v>
      </c>
      <c r="DO9" s="787">
        <v>0</v>
      </c>
      <c r="DP9" s="787">
        <v>-399031.53</v>
      </c>
      <c r="DQ9" s="787">
        <v>0</v>
      </c>
      <c r="DR9" s="787">
        <v>0</v>
      </c>
      <c r="DS9" s="787">
        <v>0</v>
      </c>
      <c r="DT9" s="787">
        <v>-389588.23000000004</v>
      </c>
      <c r="DU9" s="787">
        <v>0</v>
      </c>
      <c r="DV9" s="787">
        <v>0</v>
      </c>
      <c r="DW9" s="787">
        <v>0</v>
      </c>
      <c r="DX9" s="787">
        <v>0</v>
      </c>
      <c r="DY9" s="787">
        <v>1138.42</v>
      </c>
      <c r="DZ9" s="787">
        <v>0</v>
      </c>
      <c r="EA9" s="787">
        <v>-0.19809278496541083</v>
      </c>
      <c r="EE9">
        <f>_xlfn.XLOOKUP(C9,'[1]Cfwd Analysis'!$C:$C,'[1]Cfwd Analysis'!$I:$I,0,0)</f>
        <v>1335781.1119072151</v>
      </c>
      <c r="EF9" s="788">
        <f t="shared" si="0"/>
        <v>0</v>
      </c>
    </row>
    <row r="10" spans="1:136" ht="15.6" hidden="1">
      <c r="A10" s="782" t="s">
        <v>1297</v>
      </c>
      <c r="B10" s="782" t="s">
        <v>541</v>
      </c>
      <c r="C10" s="783">
        <v>1017</v>
      </c>
      <c r="D10" s="784" t="s">
        <v>542</v>
      </c>
      <c r="E10" s="785" t="s">
        <v>521</v>
      </c>
      <c r="F10" s="786">
        <v>46094</v>
      </c>
      <c r="G10" s="785" t="s">
        <v>5</v>
      </c>
      <c r="H10" s="785" t="s">
        <v>554</v>
      </c>
      <c r="I10" s="787">
        <v>1038359.061152229</v>
      </c>
      <c r="J10" s="787">
        <v>0</v>
      </c>
      <c r="K10" s="787">
        <v>130983.38245927978</v>
      </c>
      <c r="L10" s="787">
        <v>0</v>
      </c>
      <c r="M10" s="787">
        <v>5500</v>
      </c>
      <c r="N10" s="787">
        <v>0</v>
      </c>
      <c r="O10" s="787">
        <v>0</v>
      </c>
      <c r="P10" s="787">
        <v>32500</v>
      </c>
      <c r="Q10" s="787">
        <v>25188.675000000003</v>
      </c>
      <c r="R10" s="787">
        <v>6745</v>
      </c>
      <c r="S10" s="787">
        <v>0</v>
      </c>
      <c r="T10" s="787">
        <v>0</v>
      </c>
      <c r="U10" s="787">
        <v>96682</v>
      </c>
      <c r="V10" s="787">
        <v>13858.739999999991</v>
      </c>
      <c r="W10" s="787">
        <v>0</v>
      </c>
      <c r="X10" s="787">
        <v>1349816.8586115087</v>
      </c>
      <c r="Y10" s="787">
        <v>251420</v>
      </c>
      <c r="Z10" s="787">
        <v>0</v>
      </c>
      <c r="AA10" s="787">
        <v>547317</v>
      </c>
      <c r="AB10" s="787">
        <v>0</v>
      </c>
      <c r="AC10" s="787">
        <v>128567</v>
      </c>
      <c r="AD10" s="787">
        <v>0</v>
      </c>
      <c r="AE10" s="787">
        <v>0</v>
      </c>
      <c r="AF10" s="787">
        <v>1159</v>
      </c>
      <c r="AG10" s="787">
        <v>4622.375</v>
      </c>
      <c r="AH10" s="787">
        <v>0</v>
      </c>
      <c r="AI10" s="787">
        <v>51.7</v>
      </c>
      <c r="AJ10" s="787">
        <v>9950.17</v>
      </c>
      <c r="AK10" s="787">
        <v>0</v>
      </c>
      <c r="AL10" s="787">
        <v>0</v>
      </c>
      <c r="AM10" s="787">
        <v>15108.4</v>
      </c>
      <c r="AN10" s="787">
        <v>33218.75</v>
      </c>
      <c r="AO10" s="787">
        <v>0</v>
      </c>
      <c r="AP10" s="787">
        <v>1483</v>
      </c>
      <c r="AQ10" s="787">
        <v>26350</v>
      </c>
      <c r="AR10" s="787">
        <v>12877.875</v>
      </c>
      <c r="AS10" s="787">
        <v>0</v>
      </c>
      <c r="AT10" s="787">
        <v>504</v>
      </c>
      <c r="AU10" s="787">
        <v>12328</v>
      </c>
      <c r="AV10" s="787">
        <v>0</v>
      </c>
      <c r="AW10" s="787">
        <v>250</v>
      </c>
      <c r="AX10" s="787">
        <v>6351</v>
      </c>
      <c r="AY10" s="787">
        <v>0</v>
      </c>
      <c r="AZ10" s="787">
        <v>6048</v>
      </c>
      <c r="BA10" s="787">
        <v>3291.75</v>
      </c>
      <c r="BB10" s="787">
        <v>0</v>
      </c>
      <c r="BC10" s="787">
        <v>20628</v>
      </c>
      <c r="BD10" s="787">
        <v>30682</v>
      </c>
      <c r="BE10" s="787">
        <v>185044</v>
      </c>
      <c r="BF10" s="787">
        <v>23775.875</v>
      </c>
      <c r="BG10" s="787">
        <v>100370</v>
      </c>
      <c r="BH10" s="787">
        <v>0</v>
      </c>
      <c r="BI10" s="787">
        <v>0</v>
      </c>
      <c r="BJ10" s="787">
        <v>1421397.895</v>
      </c>
      <c r="BK10" s="787">
        <v>33765.819999999803</v>
      </c>
      <c r="BL10" s="787">
        <v>-71581.03638849128</v>
      </c>
      <c r="BM10" s="787">
        <v>-37815.216388491477</v>
      </c>
      <c r="BN10" s="787">
        <v>5174.5</v>
      </c>
      <c r="BO10" s="787">
        <v>0</v>
      </c>
      <c r="BP10" s="787">
        <v>0</v>
      </c>
      <c r="BQ10" s="787">
        <v>5174.5</v>
      </c>
      <c r="BR10" s="787">
        <v>0</v>
      </c>
      <c r="BS10" s="787">
        <v>0</v>
      </c>
      <c r="BT10" s="787">
        <v>0</v>
      </c>
      <c r="BU10" s="787">
        <v>0</v>
      </c>
      <c r="BV10" s="787">
        <v>0</v>
      </c>
      <c r="BW10" s="787">
        <v>0</v>
      </c>
      <c r="BX10" s="787">
        <v>16273</v>
      </c>
      <c r="BY10" s="787">
        <v>0</v>
      </c>
      <c r="BZ10" s="787">
        <v>16273</v>
      </c>
      <c r="CA10" s="787">
        <v>11243.269999999995</v>
      </c>
      <c r="CB10" s="787">
        <v>-11098.5</v>
      </c>
      <c r="CC10" s="787">
        <v>144.76999999999498</v>
      </c>
      <c r="CD10" s="787">
        <v>0</v>
      </c>
      <c r="CE10" s="787">
        <v>0</v>
      </c>
      <c r="CF10" s="787">
        <v>0</v>
      </c>
      <c r="CG10" s="787">
        <v>0</v>
      </c>
      <c r="CH10" s="787">
        <v>0</v>
      </c>
      <c r="CI10" s="787">
        <v>0</v>
      </c>
      <c r="CJ10" s="787">
        <v>0</v>
      </c>
      <c r="CK10" s="787">
        <v>0</v>
      </c>
      <c r="CL10" s="787">
        <v>0</v>
      </c>
      <c r="CM10" s="787">
        <v>0</v>
      </c>
      <c r="CN10" s="787">
        <v>-37815.216388491477</v>
      </c>
      <c r="CO10" s="787">
        <v>144.76999999999498</v>
      </c>
      <c r="CP10" s="787">
        <v>0</v>
      </c>
      <c r="CQ10" s="787">
        <v>0</v>
      </c>
      <c r="CR10" s="787">
        <v>-37670.44638849148</v>
      </c>
      <c r="CS10" s="787">
        <v>243537</v>
      </c>
      <c r="CT10" s="787">
        <v>123051.69</v>
      </c>
      <c r="CU10" s="787">
        <v>0</v>
      </c>
      <c r="CV10" s="787">
        <v>120485.31</v>
      </c>
      <c r="CW10" s="787">
        <v>0</v>
      </c>
      <c r="CX10" s="787">
        <v>6490.19</v>
      </c>
      <c r="CY10" s="787">
        <v>2079.79</v>
      </c>
      <c r="CZ10" s="787">
        <v>51573.14</v>
      </c>
      <c r="DA10" s="787">
        <v>1851.51</v>
      </c>
      <c r="DB10" s="787">
        <v>182479.94</v>
      </c>
      <c r="DC10" s="787">
        <v>0</v>
      </c>
      <c r="DD10" s="787">
        <v>0</v>
      </c>
      <c r="DE10" s="787">
        <v>0</v>
      </c>
      <c r="DF10" s="787">
        <v>0</v>
      </c>
      <c r="DG10" s="787"/>
      <c r="DH10" s="787"/>
      <c r="DI10" s="787"/>
      <c r="DJ10" s="787">
        <v>0</v>
      </c>
      <c r="DK10" s="787">
        <v>0</v>
      </c>
      <c r="DL10" s="787">
        <v>151331.42000000001</v>
      </c>
      <c r="DM10" s="787">
        <v>0</v>
      </c>
      <c r="DN10" s="787">
        <v>441262.88</v>
      </c>
      <c r="DO10" s="787">
        <v>0</v>
      </c>
      <c r="DP10" s="787">
        <v>-101194</v>
      </c>
      <c r="DQ10" s="787">
        <v>-13935.15</v>
      </c>
      <c r="DR10" s="787">
        <v>-443316</v>
      </c>
      <c r="DS10" s="787">
        <v>0</v>
      </c>
      <c r="DT10" s="787">
        <v>34149.150000000023</v>
      </c>
      <c r="DU10" s="787">
        <v>0</v>
      </c>
      <c r="DV10" s="787">
        <v>44796</v>
      </c>
      <c r="DW10" s="787">
        <v>-1206</v>
      </c>
      <c r="DX10" s="787">
        <v>-278794.62</v>
      </c>
      <c r="DY10" s="787">
        <v>0</v>
      </c>
      <c r="DZ10" s="787">
        <v>-19095</v>
      </c>
      <c r="EA10" s="787">
        <v>8.361150848941179E-2</v>
      </c>
      <c r="EE10">
        <f>_xlfn.XLOOKUP(C10,'[1]Cfwd Analysis'!$C:$C,'[1]Cfwd Analysis'!$I:$I,0,0)</f>
        <v>-37815.216388491477</v>
      </c>
      <c r="EF10" s="788">
        <f t="shared" si="0"/>
        <v>0</v>
      </c>
    </row>
    <row r="11" spans="1:136" ht="15.6" hidden="1">
      <c r="A11" s="782" t="s">
        <v>1298</v>
      </c>
      <c r="B11" s="782" t="s">
        <v>543</v>
      </c>
      <c r="C11" s="783">
        <v>2153</v>
      </c>
      <c r="D11" s="784" t="s">
        <v>544</v>
      </c>
      <c r="E11" s="785" t="s">
        <v>521</v>
      </c>
      <c r="F11" s="786">
        <v>46094</v>
      </c>
      <c r="G11" s="785" t="s">
        <v>5</v>
      </c>
      <c r="H11" s="785" t="s">
        <v>556</v>
      </c>
      <c r="I11" s="787">
        <v>2833309.7609724859</v>
      </c>
      <c r="J11" s="787">
        <v>0</v>
      </c>
      <c r="K11" s="787">
        <v>597518.82133333338</v>
      </c>
      <c r="L11" s="787">
        <v>0</v>
      </c>
      <c r="M11" s="787">
        <v>378720</v>
      </c>
      <c r="N11" s="787">
        <v>48289</v>
      </c>
      <c r="O11" s="787">
        <v>0</v>
      </c>
      <c r="P11" s="787">
        <v>0</v>
      </c>
      <c r="Q11" s="787">
        <v>86166.103029999969</v>
      </c>
      <c r="R11" s="787">
        <v>0</v>
      </c>
      <c r="S11" s="787">
        <v>0</v>
      </c>
      <c r="T11" s="787">
        <v>0</v>
      </c>
      <c r="U11" s="787">
        <v>4370.8</v>
      </c>
      <c r="V11" s="787">
        <v>6583.87</v>
      </c>
      <c r="W11" s="787">
        <v>0</v>
      </c>
      <c r="X11" s="787">
        <v>3954958.3553358191</v>
      </c>
      <c r="Y11" s="787">
        <v>1485128.5</v>
      </c>
      <c r="Z11" s="787">
        <v>0</v>
      </c>
      <c r="AA11" s="787">
        <v>817354.51</v>
      </c>
      <c r="AB11" s="787">
        <v>0</v>
      </c>
      <c r="AC11" s="787">
        <v>260544.7</v>
      </c>
      <c r="AD11" s="787">
        <v>108236.2</v>
      </c>
      <c r="AE11" s="787">
        <v>197211.28</v>
      </c>
      <c r="AF11" s="787">
        <v>11181.82</v>
      </c>
      <c r="AG11" s="787">
        <v>9970.15</v>
      </c>
      <c r="AH11" s="787">
        <v>0</v>
      </c>
      <c r="AI11" s="787">
        <v>0</v>
      </c>
      <c r="AJ11" s="787">
        <v>22886.420000000002</v>
      </c>
      <c r="AK11" s="787">
        <v>10965</v>
      </c>
      <c r="AL11" s="787">
        <v>47230.44</v>
      </c>
      <c r="AM11" s="787">
        <v>8606.7999999999993</v>
      </c>
      <c r="AN11" s="787">
        <v>46328.84</v>
      </c>
      <c r="AO11" s="787">
        <v>24708.449999999993</v>
      </c>
      <c r="AP11" s="787">
        <v>23844.11</v>
      </c>
      <c r="AQ11" s="787">
        <v>48609.49</v>
      </c>
      <c r="AR11" s="787">
        <v>12471.55</v>
      </c>
      <c r="AS11" s="787">
        <v>0</v>
      </c>
      <c r="AT11" s="787">
        <v>23929.88</v>
      </c>
      <c r="AU11" s="787">
        <v>0</v>
      </c>
      <c r="AV11" s="787">
        <v>9161.7000000000007</v>
      </c>
      <c r="AW11" s="787">
        <v>505.98</v>
      </c>
      <c r="AX11" s="787">
        <v>28697.42</v>
      </c>
      <c r="AY11" s="787">
        <v>0</v>
      </c>
      <c r="AZ11" s="787">
        <v>56393.45</v>
      </c>
      <c r="BA11" s="787">
        <v>10512.41</v>
      </c>
      <c r="BB11" s="787">
        <v>0</v>
      </c>
      <c r="BC11" s="787">
        <v>69202.959999999992</v>
      </c>
      <c r="BD11" s="787">
        <v>150325.09999999998</v>
      </c>
      <c r="BE11" s="787">
        <v>202693.51</v>
      </c>
      <c r="BF11" s="787">
        <v>96002.939999999988</v>
      </c>
      <c r="BG11" s="787">
        <v>123799.06</v>
      </c>
      <c r="BH11" s="787">
        <v>0</v>
      </c>
      <c r="BI11" s="787">
        <v>0</v>
      </c>
      <c r="BJ11" s="787">
        <v>3906502.67</v>
      </c>
      <c r="BK11" s="787">
        <v>458200.9799999987</v>
      </c>
      <c r="BL11" s="787">
        <v>48455.685335819144</v>
      </c>
      <c r="BM11" s="787">
        <v>506656.66533581784</v>
      </c>
      <c r="BN11" s="787">
        <v>8668.75</v>
      </c>
      <c r="BO11" s="787">
        <v>0</v>
      </c>
      <c r="BP11" s="787">
        <v>0</v>
      </c>
      <c r="BQ11" s="787">
        <v>8668.75</v>
      </c>
      <c r="BR11" s="787">
        <v>0</v>
      </c>
      <c r="BS11" s="787">
        <v>16432</v>
      </c>
      <c r="BT11" s="787">
        <v>0</v>
      </c>
      <c r="BU11" s="787">
        <v>0</v>
      </c>
      <c r="BV11" s="787">
        <v>0</v>
      </c>
      <c r="BW11" s="787">
        <v>0</v>
      </c>
      <c r="BX11" s="787">
        <v>0</v>
      </c>
      <c r="BY11" s="787">
        <v>0</v>
      </c>
      <c r="BZ11" s="787">
        <v>16432</v>
      </c>
      <c r="CA11" s="787">
        <v>17202.5</v>
      </c>
      <c r="CB11" s="787">
        <v>-7763.25</v>
      </c>
      <c r="CC11" s="787">
        <v>9439.25</v>
      </c>
      <c r="CD11" s="787">
        <v>0</v>
      </c>
      <c r="CE11" s="787">
        <v>0</v>
      </c>
      <c r="CF11" s="787">
        <v>0</v>
      </c>
      <c r="CG11" s="787">
        <v>0</v>
      </c>
      <c r="CH11" s="787">
        <v>0</v>
      </c>
      <c r="CI11" s="787">
        <v>0</v>
      </c>
      <c r="CJ11" s="787">
        <v>0</v>
      </c>
      <c r="CK11" s="787">
        <v>0</v>
      </c>
      <c r="CL11" s="787">
        <v>0</v>
      </c>
      <c r="CM11" s="787">
        <v>506656.66533581784</v>
      </c>
      <c r="CN11" s="787">
        <v>0</v>
      </c>
      <c r="CO11" s="787">
        <v>9439.25</v>
      </c>
      <c r="CP11" s="787">
        <v>0</v>
      </c>
      <c r="CQ11" s="787">
        <v>0</v>
      </c>
      <c r="CR11" s="787">
        <v>516095.91533581784</v>
      </c>
      <c r="CS11" s="787">
        <v>878432.86</v>
      </c>
      <c r="CT11" s="787">
        <v>1191.25</v>
      </c>
      <c r="CU11" s="787">
        <v>0</v>
      </c>
      <c r="CV11" s="787">
        <v>877241.61</v>
      </c>
      <c r="CW11" s="787">
        <v>0</v>
      </c>
      <c r="CX11" s="787">
        <v>6838.56</v>
      </c>
      <c r="CY11" s="787">
        <v>10594.65</v>
      </c>
      <c r="CZ11" s="787">
        <v>0</v>
      </c>
      <c r="DA11" s="787">
        <v>0</v>
      </c>
      <c r="DB11" s="787">
        <v>894674.82000000007</v>
      </c>
      <c r="DC11" s="787">
        <v>0</v>
      </c>
      <c r="DD11" s="787">
        <v>0</v>
      </c>
      <c r="DE11" s="787">
        <v>0</v>
      </c>
      <c r="DF11" s="787">
        <v>0</v>
      </c>
      <c r="DG11" s="787"/>
      <c r="DH11" s="787"/>
      <c r="DI11" s="787"/>
      <c r="DJ11" s="787">
        <v>0</v>
      </c>
      <c r="DK11" s="787">
        <v>0</v>
      </c>
      <c r="DL11" s="787">
        <v>0</v>
      </c>
      <c r="DM11" s="787">
        <v>0</v>
      </c>
      <c r="DN11" s="787">
        <v>0</v>
      </c>
      <c r="DO11" s="787">
        <v>0</v>
      </c>
      <c r="DP11" s="787">
        <v>-313871.38</v>
      </c>
      <c r="DQ11" s="787">
        <v>-14183.18</v>
      </c>
      <c r="DR11" s="787">
        <v>0</v>
      </c>
      <c r="DS11" s="787">
        <v>0</v>
      </c>
      <c r="DT11" s="787">
        <v>-328054.56</v>
      </c>
      <c r="DU11" s="787">
        <v>0</v>
      </c>
      <c r="DV11" s="787">
        <v>0</v>
      </c>
      <c r="DW11" s="787">
        <v>-50523.98</v>
      </c>
      <c r="DX11" s="787">
        <v>0</v>
      </c>
      <c r="DY11" s="787">
        <v>0</v>
      </c>
      <c r="DZ11" s="787">
        <v>0</v>
      </c>
      <c r="EA11" s="787">
        <v>-0.3646641822415404</v>
      </c>
      <c r="EE11">
        <f>_xlfn.XLOOKUP(C11,'[1]Cfwd Analysis'!$C:$C,'[1]Cfwd Analysis'!$I:$I,0,0)</f>
        <v>506656.66533581784</v>
      </c>
      <c r="EF11" s="788">
        <f t="shared" si="0"/>
        <v>0</v>
      </c>
    </row>
    <row r="12" spans="1:136" ht="15.6" hidden="1">
      <c r="A12" s="782" t="s">
        <v>1299</v>
      </c>
      <c r="B12" s="782" t="s">
        <v>545</v>
      </c>
      <c r="C12" s="783">
        <v>2062</v>
      </c>
      <c r="D12" s="784" t="s">
        <v>546</v>
      </c>
      <c r="E12" s="785" t="s">
        <v>521</v>
      </c>
      <c r="F12" s="786">
        <v>46094</v>
      </c>
      <c r="G12" s="785" t="s">
        <v>5</v>
      </c>
      <c r="H12" s="785" t="s">
        <v>558</v>
      </c>
      <c r="I12" s="787">
        <v>2727379.1206994471</v>
      </c>
      <c r="J12" s="787">
        <v>0</v>
      </c>
      <c r="K12" s="787">
        <v>266163.52</v>
      </c>
      <c r="L12" s="787">
        <v>0</v>
      </c>
      <c r="M12" s="787">
        <v>324580</v>
      </c>
      <c r="N12" s="787">
        <v>65329.86</v>
      </c>
      <c r="O12" s="787">
        <v>0</v>
      </c>
      <c r="P12" s="787">
        <v>0</v>
      </c>
      <c r="Q12" s="787">
        <v>24736.613090000024</v>
      </c>
      <c r="R12" s="787">
        <v>15137.56</v>
      </c>
      <c r="S12" s="787">
        <v>0</v>
      </c>
      <c r="T12" s="787">
        <v>0</v>
      </c>
      <c r="U12" s="787">
        <v>6746.54</v>
      </c>
      <c r="V12" s="787">
        <v>38432.92</v>
      </c>
      <c r="W12" s="787">
        <v>0</v>
      </c>
      <c r="X12" s="787">
        <v>3468506.1337894471</v>
      </c>
      <c r="Y12" s="787">
        <v>1356103.16</v>
      </c>
      <c r="Z12" s="787">
        <v>0</v>
      </c>
      <c r="AA12" s="787">
        <v>571259.38</v>
      </c>
      <c r="AB12" s="787">
        <v>122439.4</v>
      </c>
      <c r="AC12" s="787">
        <v>194597.38</v>
      </c>
      <c r="AD12" s="787">
        <v>0</v>
      </c>
      <c r="AE12" s="787">
        <v>76758.33</v>
      </c>
      <c r="AF12" s="787">
        <v>10181.56</v>
      </c>
      <c r="AG12" s="787">
        <v>6591.6</v>
      </c>
      <c r="AH12" s="787">
        <v>0</v>
      </c>
      <c r="AI12" s="787">
        <v>0</v>
      </c>
      <c r="AJ12" s="787">
        <v>104331.44</v>
      </c>
      <c r="AK12" s="787">
        <v>2468.84</v>
      </c>
      <c r="AL12" s="787">
        <v>5418.46</v>
      </c>
      <c r="AM12" s="787">
        <v>9894.48</v>
      </c>
      <c r="AN12" s="787">
        <v>106055.58</v>
      </c>
      <c r="AO12" s="787">
        <v>48655.930000000015</v>
      </c>
      <c r="AP12" s="787">
        <v>47566.78</v>
      </c>
      <c r="AQ12" s="787">
        <v>101507.22</v>
      </c>
      <c r="AR12" s="787">
        <v>0</v>
      </c>
      <c r="AS12" s="787">
        <v>0</v>
      </c>
      <c r="AT12" s="787">
        <v>361.54</v>
      </c>
      <c r="AU12" s="787">
        <v>6449.91</v>
      </c>
      <c r="AV12" s="787">
        <v>19150.46</v>
      </c>
      <c r="AW12" s="787">
        <v>1106.8399999999999</v>
      </c>
      <c r="AX12" s="787">
        <v>50333.35</v>
      </c>
      <c r="AY12" s="787">
        <v>0</v>
      </c>
      <c r="AZ12" s="787">
        <v>7929.630000000001</v>
      </c>
      <c r="BA12" s="787">
        <v>10944.4</v>
      </c>
      <c r="BB12" s="787">
        <v>3240</v>
      </c>
      <c r="BC12" s="787">
        <v>185545.18</v>
      </c>
      <c r="BD12" s="787">
        <v>191370.02</v>
      </c>
      <c r="BE12" s="787">
        <v>98839.49</v>
      </c>
      <c r="BF12" s="787">
        <v>136205.06</v>
      </c>
      <c r="BG12" s="787">
        <v>0</v>
      </c>
      <c r="BH12" s="787">
        <v>0</v>
      </c>
      <c r="BI12" s="787">
        <v>0</v>
      </c>
      <c r="BJ12" s="787">
        <v>3475305.4200000004</v>
      </c>
      <c r="BK12" s="787">
        <v>405486.94000000099</v>
      </c>
      <c r="BL12" s="787">
        <v>-6799.2862105532549</v>
      </c>
      <c r="BM12" s="787">
        <v>398687.65378944774</v>
      </c>
      <c r="BN12" s="787">
        <v>8835.25</v>
      </c>
      <c r="BO12" s="787">
        <v>0</v>
      </c>
      <c r="BP12" s="787">
        <v>0</v>
      </c>
      <c r="BQ12" s="787">
        <v>8835.25</v>
      </c>
      <c r="BR12" s="787">
        <v>0</v>
      </c>
      <c r="BS12" s="787">
        <v>0</v>
      </c>
      <c r="BT12" s="787">
        <v>0</v>
      </c>
      <c r="BU12" s="787">
        <v>0</v>
      </c>
      <c r="BV12" s="787">
        <v>0</v>
      </c>
      <c r="BW12" s="787">
        <v>0</v>
      </c>
      <c r="BX12" s="787">
        <v>0</v>
      </c>
      <c r="BY12" s="787">
        <v>0</v>
      </c>
      <c r="BZ12" s="787">
        <v>0</v>
      </c>
      <c r="CA12" s="787">
        <v>25844.01</v>
      </c>
      <c r="CB12" s="787">
        <v>8835.25</v>
      </c>
      <c r="CC12" s="787">
        <v>34679.259999999995</v>
      </c>
      <c r="CD12" s="787">
        <v>0</v>
      </c>
      <c r="CE12" s="787">
        <v>0</v>
      </c>
      <c r="CF12" s="787">
        <v>0</v>
      </c>
      <c r="CG12" s="787">
        <v>0</v>
      </c>
      <c r="CH12" s="787">
        <v>0</v>
      </c>
      <c r="CI12" s="787">
        <v>0</v>
      </c>
      <c r="CJ12" s="787">
        <v>0</v>
      </c>
      <c r="CK12" s="787">
        <v>0</v>
      </c>
      <c r="CL12" s="787">
        <v>0</v>
      </c>
      <c r="CM12" s="787">
        <v>398687.65378944774</v>
      </c>
      <c r="CN12" s="787">
        <v>0</v>
      </c>
      <c r="CO12" s="787">
        <v>34679.259999999995</v>
      </c>
      <c r="CP12" s="787">
        <v>0</v>
      </c>
      <c r="CQ12" s="787">
        <v>0</v>
      </c>
      <c r="CR12" s="787">
        <v>433366.91378944775</v>
      </c>
      <c r="CS12" s="787">
        <v>753944.45</v>
      </c>
      <c r="CT12" s="787">
        <v>0</v>
      </c>
      <c r="CU12" s="787">
        <v>0</v>
      </c>
      <c r="CV12" s="787">
        <v>753944.45</v>
      </c>
      <c r="CW12" s="787">
        <v>1692.92</v>
      </c>
      <c r="CX12" s="787">
        <v>11802.36</v>
      </c>
      <c r="CY12" s="787">
        <v>3437.17</v>
      </c>
      <c r="CZ12" s="787">
        <v>0</v>
      </c>
      <c r="DA12" s="787">
        <v>1948.21</v>
      </c>
      <c r="DB12" s="787">
        <v>772825.11</v>
      </c>
      <c r="DC12" s="787">
        <v>0</v>
      </c>
      <c r="DD12" s="787">
        <v>0</v>
      </c>
      <c r="DE12" s="787">
        <v>0</v>
      </c>
      <c r="DF12" s="787">
        <v>0</v>
      </c>
      <c r="DG12" s="787"/>
      <c r="DH12" s="787"/>
      <c r="DI12" s="787"/>
      <c r="DJ12" s="787">
        <v>0</v>
      </c>
      <c r="DK12" s="787">
        <v>0</v>
      </c>
      <c r="DL12" s="787">
        <v>0</v>
      </c>
      <c r="DM12" s="787">
        <v>0</v>
      </c>
      <c r="DN12" s="787">
        <v>0</v>
      </c>
      <c r="DO12" s="787">
        <v>0</v>
      </c>
      <c r="DP12" s="787">
        <v>-52317.32</v>
      </c>
      <c r="DQ12" s="787">
        <v>-50783.360000000001</v>
      </c>
      <c r="DR12" s="787">
        <v>0</v>
      </c>
      <c r="DS12" s="787">
        <v>0</v>
      </c>
      <c r="DT12" s="787">
        <v>-103100.68</v>
      </c>
      <c r="DU12" s="787">
        <v>0</v>
      </c>
      <c r="DV12" s="787">
        <v>0</v>
      </c>
      <c r="DW12" s="787">
        <v>0</v>
      </c>
      <c r="DX12" s="787">
        <v>0</v>
      </c>
      <c r="DY12" s="787">
        <v>0</v>
      </c>
      <c r="DZ12" s="787">
        <v>-236357.66</v>
      </c>
      <c r="EA12" s="787">
        <v>0.14378944784402847</v>
      </c>
      <c r="EE12">
        <f>_xlfn.XLOOKUP(C12,'[1]Cfwd Analysis'!$C:$C,'[1]Cfwd Analysis'!$I:$I,0,0)</f>
        <v>398687.65378944774</v>
      </c>
      <c r="EF12" s="788">
        <f t="shared" si="0"/>
        <v>0</v>
      </c>
    </row>
    <row r="13" spans="1:136" ht="15.6" hidden="1">
      <c r="A13" s="782" t="s">
        <v>1300</v>
      </c>
      <c r="B13" s="782" t="s">
        <v>547</v>
      </c>
      <c r="C13" s="783">
        <v>2479</v>
      </c>
      <c r="D13" s="784" t="s">
        <v>548</v>
      </c>
      <c r="E13" s="785" t="s">
        <v>521</v>
      </c>
      <c r="F13" s="786">
        <v>46094</v>
      </c>
      <c r="G13" s="785" t="s">
        <v>5</v>
      </c>
      <c r="H13" s="785" t="s">
        <v>560</v>
      </c>
      <c r="I13" s="787">
        <v>4277352.2448207978</v>
      </c>
      <c r="J13" s="787">
        <v>0</v>
      </c>
      <c r="K13" s="787">
        <v>329062.47000000003</v>
      </c>
      <c r="L13" s="787">
        <v>0</v>
      </c>
      <c r="M13" s="787">
        <v>552300</v>
      </c>
      <c r="N13" s="787">
        <v>100029.21999999999</v>
      </c>
      <c r="O13" s="787">
        <v>0</v>
      </c>
      <c r="P13" s="787">
        <v>0</v>
      </c>
      <c r="Q13" s="787">
        <v>49699.935474999838</v>
      </c>
      <c r="R13" s="787">
        <v>15254.99</v>
      </c>
      <c r="S13" s="787">
        <v>7597.3200000012293</v>
      </c>
      <c r="T13" s="787">
        <v>0</v>
      </c>
      <c r="U13" s="787">
        <v>13487.74</v>
      </c>
      <c r="V13" s="787">
        <v>0</v>
      </c>
      <c r="W13" s="787">
        <v>2000</v>
      </c>
      <c r="X13" s="787">
        <v>5346783.9202957992</v>
      </c>
      <c r="Y13" s="787">
        <v>2148956.5</v>
      </c>
      <c r="Z13" s="787">
        <v>0</v>
      </c>
      <c r="AA13" s="787">
        <v>1127686.8</v>
      </c>
      <c r="AB13" s="787">
        <v>49876.1</v>
      </c>
      <c r="AC13" s="787">
        <v>436730.75</v>
      </c>
      <c r="AD13" s="787">
        <v>0</v>
      </c>
      <c r="AE13" s="787">
        <v>199194.12</v>
      </c>
      <c r="AF13" s="787">
        <v>14284.11</v>
      </c>
      <c r="AG13" s="787">
        <v>10121.6</v>
      </c>
      <c r="AH13" s="787">
        <v>0</v>
      </c>
      <c r="AI13" s="787">
        <v>0</v>
      </c>
      <c r="AJ13" s="787">
        <v>13348.09</v>
      </c>
      <c r="AK13" s="787">
        <v>6070</v>
      </c>
      <c r="AL13" s="787">
        <v>88469.71</v>
      </c>
      <c r="AM13" s="787">
        <v>14155.580000000002</v>
      </c>
      <c r="AN13" s="787">
        <v>47277.469999999994</v>
      </c>
      <c r="AO13" s="787">
        <v>36488.810000000012</v>
      </c>
      <c r="AP13" s="787">
        <v>113510.59</v>
      </c>
      <c r="AQ13" s="787">
        <v>181161.77000000002</v>
      </c>
      <c r="AR13" s="787">
        <v>7090</v>
      </c>
      <c r="AS13" s="787">
        <v>0</v>
      </c>
      <c r="AT13" s="787">
        <v>25159.35</v>
      </c>
      <c r="AU13" s="787">
        <v>0</v>
      </c>
      <c r="AV13" s="787">
        <v>0</v>
      </c>
      <c r="AW13" s="787">
        <v>4742.37</v>
      </c>
      <c r="AX13" s="787">
        <v>0</v>
      </c>
      <c r="AY13" s="787">
        <v>0</v>
      </c>
      <c r="AZ13" s="787">
        <v>8413.0899999999983</v>
      </c>
      <c r="BA13" s="787">
        <v>21997.920000000002</v>
      </c>
      <c r="BB13" s="787">
        <v>3750</v>
      </c>
      <c r="BC13" s="787">
        <v>303453.05</v>
      </c>
      <c r="BD13" s="787">
        <v>364199.61</v>
      </c>
      <c r="BE13" s="787">
        <v>18376.079999999994</v>
      </c>
      <c r="BF13" s="787">
        <v>483850.40000000165</v>
      </c>
      <c r="BG13" s="787">
        <v>0</v>
      </c>
      <c r="BH13" s="787">
        <v>0</v>
      </c>
      <c r="BI13" s="787">
        <v>0</v>
      </c>
      <c r="BJ13" s="787">
        <v>5728363.870000001</v>
      </c>
      <c r="BK13" s="787">
        <v>105093.84999999334</v>
      </c>
      <c r="BL13" s="787">
        <v>-381579.94970420189</v>
      </c>
      <c r="BM13" s="787">
        <v>-276486.09970420855</v>
      </c>
      <c r="BN13" s="787">
        <v>11998.75</v>
      </c>
      <c r="BO13" s="787">
        <v>0</v>
      </c>
      <c r="BP13" s="787">
        <v>0</v>
      </c>
      <c r="BQ13" s="787">
        <v>11998.75</v>
      </c>
      <c r="BR13" s="787">
        <v>2791.06</v>
      </c>
      <c r="BS13" s="787">
        <v>0</v>
      </c>
      <c r="BT13" s="787">
        <v>10159.280000000001</v>
      </c>
      <c r="BU13" s="787">
        <v>0</v>
      </c>
      <c r="BV13" s="787">
        <v>0</v>
      </c>
      <c r="BW13" s="787">
        <v>0</v>
      </c>
      <c r="BX13" s="787">
        <v>24284.61</v>
      </c>
      <c r="BY13" s="787">
        <v>0</v>
      </c>
      <c r="BZ13" s="787">
        <v>37234.949999999997</v>
      </c>
      <c r="CA13" s="787">
        <v>26835.650000000005</v>
      </c>
      <c r="CB13" s="787">
        <v>-25236.199999999997</v>
      </c>
      <c r="CC13" s="787">
        <v>1599.450000000008</v>
      </c>
      <c r="CD13" s="787">
        <v>0</v>
      </c>
      <c r="CE13" s="787">
        <v>0</v>
      </c>
      <c r="CF13" s="787">
        <v>0</v>
      </c>
      <c r="CG13" s="787">
        <v>0</v>
      </c>
      <c r="CH13" s="787">
        <v>0</v>
      </c>
      <c r="CI13" s="787">
        <v>0</v>
      </c>
      <c r="CJ13" s="787">
        <v>0</v>
      </c>
      <c r="CK13" s="787">
        <v>0</v>
      </c>
      <c r="CL13" s="787">
        <v>0</v>
      </c>
      <c r="CM13" s="787">
        <v>0</v>
      </c>
      <c r="CN13" s="787">
        <v>-276486.09970420855</v>
      </c>
      <c r="CO13" s="787">
        <v>1599.450000000008</v>
      </c>
      <c r="CP13" s="787">
        <v>0</v>
      </c>
      <c r="CQ13" s="787">
        <v>0</v>
      </c>
      <c r="CR13" s="787">
        <v>-274886.64970420854</v>
      </c>
      <c r="CS13" s="787">
        <v>241532.24</v>
      </c>
      <c r="CT13" s="787">
        <v>9551.11</v>
      </c>
      <c r="CU13" s="787">
        <v>1121.28</v>
      </c>
      <c r="CV13" s="787">
        <v>233102.41</v>
      </c>
      <c r="CW13" s="787">
        <v>0</v>
      </c>
      <c r="CX13" s="787">
        <v>16414.759999999998</v>
      </c>
      <c r="CY13" s="787">
        <v>1491.9</v>
      </c>
      <c r="CZ13" s="787">
        <v>0</v>
      </c>
      <c r="DA13" s="787">
        <v>53427</v>
      </c>
      <c r="DB13" s="787">
        <v>304436.07</v>
      </c>
      <c r="DC13" s="787">
        <v>0</v>
      </c>
      <c r="DD13" s="787">
        <v>0</v>
      </c>
      <c r="DE13" s="787">
        <v>0</v>
      </c>
      <c r="DF13" s="787">
        <v>0</v>
      </c>
      <c r="DG13" s="787"/>
      <c r="DH13" s="787"/>
      <c r="DI13" s="787"/>
      <c r="DJ13" s="787">
        <v>0</v>
      </c>
      <c r="DK13" s="787">
        <v>0</v>
      </c>
      <c r="DL13" s="787">
        <v>1041.08</v>
      </c>
      <c r="DM13" s="787">
        <v>0</v>
      </c>
      <c r="DN13" s="787">
        <v>0</v>
      </c>
      <c r="DO13" s="787">
        <v>0</v>
      </c>
      <c r="DP13" s="787">
        <v>-489719.54</v>
      </c>
      <c r="DQ13" s="787">
        <v>-6950.42</v>
      </c>
      <c r="DR13" s="787">
        <v>0</v>
      </c>
      <c r="DS13" s="787">
        <v>0</v>
      </c>
      <c r="DT13" s="787">
        <v>-495628.87999999995</v>
      </c>
      <c r="DU13" s="787">
        <v>0</v>
      </c>
      <c r="DV13" s="787">
        <v>0</v>
      </c>
      <c r="DW13" s="787">
        <v>0</v>
      </c>
      <c r="DX13" s="787">
        <v>0</v>
      </c>
      <c r="DY13" s="787">
        <v>0</v>
      </c>
      <c r="DZ13" s="787">
        <v>-83693.98</v>
      </c>
      <c r="EA13" s="787">
        <v>0.14029579138150439</v>
      </c>
      <c r="EE13">
        <f>_xlfn.XLOOKUP(C13,'[1]Cfwd Analysis'!$C:$C,'[1]Cfwd Analysis'!$I:$I,0,0)</f>
        <v>-276486.09970420855</v>
      </c>
      <c r="EF13" s="788">
        <f t="shared" si="0"/>
        <v>0</v>
      </c>
    </row>
    <row r="14" spans="1:136" ht="15.6" hidden="1">
      <c r="A14" s="782" t="s">
        <v>1301</v>
      </c>
      <c r="B14" s="782" t="s">
        <v>549</v>
      </c>
      <c r="C14" s="783">
        <v>2300</v>
      </c>
      <c r="D14" s="784" t="s">
        <v>550</v>
      </c>
      <c r="E14" s="785" t="s">
        <v>521</v>
      </c>
      <c r="F14" s="786">
        <v>46094</v>
      </c>
      <c r="G14" s="785" t="s">
        <v>5</v>
      </c>
      <c r="H14" s="785" t="s">
        <v>562</v>
      </c>
      <c r="I14" s="787">
        <v>4171934.7496375525</v>
      </c>
      <c r="J14" s="787">
        <v>0</v>
      </c>
      <c r="K14" s="787">
        <v>303010.18000000005</v>
      </c>
      <c r="L14" s="787">
        <v>0</v>
      </c>
      <c r="M14" s="787">
        <v>527220</v>
      </c>
      <c r="N14" s="787">
        <v>95288.29</v>
      </c>
      <c r="O14" s="787">
        <v>11828</v>
      </c>
      <c r="P14" s="787">
        <v>0</v>
      </c>
      <c r="Q14" s="787">
        <v>91096.85</v>
      </c>
      <c r="R14" s="787">
        <v>35874.03</v>
      </c>
      <c r="S14" s="787">
        <v>0</v>
      </c>
      <c r="T14" s="787">
        <v>0</v>
      </c>
      <c r="U14" s="787">
        <v>19725.66</v>
      </c>
      <c r="V14" s="787">
        <v>0</v>
      </c>
      <c r="W14" s="787">
        <v>0</v>
      </c>
      <c r="X14" s="787">
        <v>5255977.7596375523</v>
      </c>
      <c r="Y14" s="787">
        <v>2169096.7599999998</v>
      </c>
      <c r="Z14" s="787">
        <v>0</v>
      </c>
      <c r="AA14" s="787">
        <v>981047.09</v>
      </c>
      <c r="AB14" s="787">
        <v>0</v>
      </c>
      <c r="AC14" s="787">
        <v>241716.76</v>
      </c>
      <c r="AD14" s="787">
        <v>175812.91</v>
      </c>
      <c r="AE14" s="787">
        <v>271157.7</v>
      </c>
      <c r="AF14" s="787">
        <v>1100</v>
      </c>
      <c r="AG14" s="787">
        <v>0</v>
      </c>
      <c r="AH14" s="787">
        <v>0</v>
      </c>
      <c r="AI14" s="787">
        <v>0</v>
      </c>
      <c r="AJ14" s="787">
        <v>8187.2</v>
      </c>
      <c r="AK14" s="787">
        <v>0</v>
      </c>
      <c r="AL14" s="787">
        <v>0</v>
      </c>
      <c r="AM14" s="787">
        <v>28659.65</v>
      </c>
      <c r="AN14" s="787">
        <v>79650.399999999994</v>
      </c>
      <c r="AO14" s="787">
        <v>80893.090000000011</v>
      </c>
      <c r="AP14" s="787">
        <v>29879.5</v>
      </c>
      <c r="AQ14" s="787">
        <v>88932.38</v>
      </c>
      <c r="AR14" s="787">
        <v>0</v>
      </c>
      <c r="AS14" s="787">
        <v>0</v>
      </c>
      <c r="AT14" s="787">
        <v>0</v>
      </c>
      <c r="AU14" s="787">
        <v>0</v>
      </c>
      <c r="AV14" s="787">
        <v>0</v>
      </c>
      <c r="AW14" s="787">
        <v>0</v>
      </c>
      <c r="AX14" s="787">
        <v>0</v>
      </c>
      <c r="AY14" s="787">
        <v>0</v>
      </c>
      <c r="AZ14" s="787">
        <v>85122.11</v>
      </c>
      <c r="BA14" s="787">
        <v>20222.63</v>
      </c>
      <c r="BB14" s="787">
        <v>0</v>
      </c>
      <c r="BC14" s="787">
        <v>138613.71000000002</v>
      </c>
      <c r="BD14" s="787">
        <v>224981.06</v>
      </c>
      <c r="BE14" s="787">
        <v>16924.52</v>
      </c>
      <c r="BF14" s="787">
        <v>508831.08</v>
      </c>
      <c r="BG14" s="787">
        <v>0</v>
      </c>
      <c r="BH14" s="787">
        <v>12918</v>
      </c>
      <c r="BI14" s="787">
        <v>0</v>
      </c>
      <c r="BJ14" s="787">
        <v>5163746.5499999989</v>
      </c>
      <c r="BK14" s="787">
        <v>257409.12000000023</v>
      </c>
      <c r="BL14" s="787">
        <v>92231.209637553431</v>
      </c>
      <c r="BM14" s="787">
        <v>349640.32963755366</v>
      </c>
      <c r="BN14" s="787">
        <v>11686</v>
      </c>
      <c r="BO14" s="787">
        <v>0</v>
      </c>
      <c r="BP14" s="787">
        <v>0</v>
      </c>
      <c r="BQ14" s="787">
        <v>11686</v>
      </c>
      <c r="BR14" s="787">
        <v>0</v>
      </c>
      <c r="BS14" s="787">
        <v>0</v>
      </c>
      <c r="BT14" s="787">
        <v>24130</v>
      </c>
      <c r="BU14" s="787">
        <v>0</v>
      </c>
      <c r="BV14" s="787">
        <v>0</v>
      </c>
      <c r="BW14" s="787">
        <v>0</v>
      </c>
      <c r="BX14" s="787">
        <v>0</v>
      </c>
      <c r="BY14" s="787">
        <v>0</v>
      </c>
      <c r="BZ14" s="787">
        <v>24130</v>
      </c>
      <c r="CA14" s="787">
        <v>57514.54</v>
      </c>
      <c r="CB14" s="787">
        <v>-12444</v>
      </c>
      <c r="CC14" s="787">
        <v>45070.54</v>
      </c>
      <c r="CD14" s="787">
        <v>0</v>
      </c>
      <c r="CE14" s="787">
        <v>0</v>
      </c>
      <c r="CF14" s="787">
        <v>0</v>
      </c>
      <c r="CG14" s="787">
        <v>0</v>
      </c>
      <c r="CH14" s="787">
        <v>0</v>
      </c>
      <c r="CI14" s="787">
        <v>0</v>
      </c>
      <c r="CJ14" s="787">
        <v>0</v>
      </c>
      <c r="CK14" s="787">
        <v>0</v>
      </c>
      <c r="CL14" s="787">
        <v>0</v>
      </c>
      <c r="CM14" s="787">
        <v>349640.32963755366</v>
      </c>
      <c r="CN14" s="787">
        <v>0</v>
      </c>
      <c r="CO14" s="787">
        <v>45070.54</v>
      </c>
      <c r="CP14" s="787">
        <v>0</v>
      </c>
      <c r="CQ14" s="787">
        <v>0</v>
      </c>
      <c r="CR14" s="787">
        <v>394710.86963755364</v>
      </c>
      <c r="CS14" s="787">
        <v>700148.33</v>
      </c>
      <c r="CT14" s="787">
        <v>68887.66</v>
      </c>
      <c r="CU14" s="787">
        <v>0</v>
      </c>
      <c r="CV14" s="787">
        <v>631260.66999999993</v>
      </c>
      <c r="CW14" s="787">
        <v>0</v>
      </c>
      <c r="CX14" s="787">
        <v>9368.23</v>
      </c>
      <c r="CY14" s="787">
        <v>10616.64</v>
      </c>
      <c r="CZ14" s="787">
        <v>0</v>
      </c>
      <c r="DA14" s="787">
        <v>0</v>
      </c>
      <c r="DB14" s="787">
        <v>651245.53999999992</v>
      </c>
      <c r="DC14" s="787">
        <v>103129.98</v>
      </c>
      <c r="DD14" s="787">
        <v>0</v>
      </c>
      <c r="DE14" s="787">
        <v>0</v>
      </c>
      <c r="DF14" s="787">
        <v>103129.98</v>
      </c>
      <c r="DG14" s="787"/>
      <c r="DH14" s="787"/>
      <c r="DI14" s="787"/>
      <c r="DJ14" s="787">
        <v>0</v>
      </c>
      <c r="DK14" s="787">
        <v>103129.98</v>
      </c>
      <c r="DL14" s="787">
        <v>0</v>
      </c>
      <c r="DM14" s="787">
        <v>0</v>
      </c>
      <c r="DN14" s="787">
        <v>15196.38</v>
      </c>
      <c r="DO14" s="787">
        <v>0</v>
      </c>
      <c r="DP14" s="787">
        <v>-374860.82</v>
      </c>
      <c r="DQ14" s="787">
        <v>0</v>
      </c>
      <c r="DR14" s="787">
        <v>0</v>
      </c>
      <c r="DS14" s="787">
        <v>0</v>
      </c>
      <c r="DT14" s="787">
        <v>-359664.44</v>
      </c>
      <c r="DU14" s="787">
        <v>0</v>
      </c>
      <c r="DV14" s="787">
        <v>0</v>
      </c>
      <c r="DW14" s="787">
        <v>0</v>
      </c>
      <c r="DX14" s="787">
        <v>0</v>
      </c>
      <c r="DY14" s="787">
        <v>0</v>
      </c>
      <c r="DZ14" s="787">
        <v>0</v>
      </c>
      <c r="EA14" s="787">
        <v>-0.21036244626156986</v>
      </c>
      <c r="EE14">
        <f>_xlfn.XLOOKUP(C14,'[1]Cfwd Analysis'!$C:$C,'[1]Cfwd Analysis'!$I:$I,0,0)</f>
        <v>349640.32963755366</v>
      </c>
      <c r="EF14" s="788">
        <f t="shared" si="0"/>
        <v>0</v>
      </c>
    </row>
    <row r="15" spans="1:136" ht="15.6" hidden="1">
      <c r="A15" s="782" t="s">
        <v>1302</v>
      </c>
      <c r="B15" s="782" t="s">
        <v>876</v>
      </c>
      <c r="C15" s="783">
        <v>2014</v>
      </c>
      <c r="D15" s="784" t="s">
        <v>877</v>
      </c>
      <c r="E15" s="785" t="s">
        <v>521</v>
      </c>
      <c r="F15" s="786">
        <v>46094</v>
      </c>
      <c r="G15" s="785" t="s">
        <v>5</v>
      </c>
      <c r="H15" s="785" t="s">
        <v>888</v>
      </c>
      <c r="I15" s="787">
        <v>2533578.0856182668</v>
      </c>
      <c r="J15" s="787">
        <v>0</v>
      </c>
      <c r="K15" s="787">
        <v>63031.33666666667</v>
      </c>
      <c r="L15" s="787">
        <v>0</v>
      </c>
      <c r="M15" s="787">
        <v>254520</v>
      </c>
      <c r="N15" s="787">
        <v>63567.86</v>
      </c>
      <c r="O15" s="787">
        <v>24966.6</v>
      </c>
      <c r="P15" s="787">
        <v>6940</v>
      </c>
      <c r="Q15" s="787">
        <v>31191.56</v>
      </c>
      <c r="R15" s="787">
        <v>0</v>
      </c>
      <c r="S15" s="787">
        <v>0</v>
      </c>
      <c r="T15" s="787">
        <v>0</v>
      </c>
      <c r="U15" s="787">
        <v>10051.67</v>
      </c>
      <c r="V15" s="787">
        <v>0</v>
      </c>
      <c r="W15" s="787">
        <v>0</v>
      </c>
      <c r="X15" s="787">
        <v>2987847.1122849337</v>
      </c>
      <c r="Y15" s="787">
        <v>1109059.0789999999</v>
      </c>
      <c r="Z15" s="787">
        <v>0</v>
      </c>
      <c r="AA15" s="787">
        <v>427346.2</v>
      </c>
      <c r="AB15" s="787">
        <v>82223.42</v>
      </c>
      <c r="AC15" s="787">
        <v>163785.19999999998</v>
      </c>
      <c r="AD15" s="787">
        <v>69186.810000000012</v>
      </c>
      <c r="AE15" s="787">
        <v>143737.09</v>
      </c>
      <c r="AF15" s="787">
        <v>9355.52</v>
      </c>
      <c r="AG15" s="787">
        <v>58592.99</v>
      </c>
      <c r="AH15" s="787">
        <v>0</v>
      </c>
      <c r="AI15" s="787">
        <v>1062</v>
      </c>
      <c r="AJ15" s="787">
        <v>11806.52</v>
      </c>
      <c r="AK15" s="787">
        <v>0</v>
      </c>
      <c r="AL15" s="787">
        <v>7322.39</v>
      </c>
      <c r="AM15" s="787">
        <v>16858.7</v>
      </c>
      <c r="AN15" s="787">
        <v>32909.35</v>
      </c>
      <c r="AO15" s="787">
        <v>34184.789999999994</v>
      </c>
      <c r="AP15" s="787">
        <v>7641.28</v>
      </c>
      <c r="AQ15" s="787">
        <v>145872.81</v>
      </c>
      <c r="AR15" s="787">
        <v>0</v>
      </c>
      <c r="AS15" s="787">
        <v>0</v>
      </c>
      <c r="AT15" s="787">
        <v>1112.32</v>
      </c>
      <c r="AU15" s="787">
        <v>0</v>
      </c>
      <c r="AV15" s="787">
        <v>0</v>
      </c>
      <c r="AW15" s="787">
        <v>31.09</v>
      </c>
      <c r="AX15" s="787">
        <v>0</v>
      </c>
      <c r="AY15" s="787">
        <v>0</v>
      </c>
      <c r="AZ15" s="787">
        <v>79845.37</v>
      </c>
      <c r="BA15" s="787">
        <v>11070</v>
      </c>
      <c r="BB15" s="787">
        <v>0</v>
      </c>
      <c r="BC15" s="787">
        <v>245868.44</v>
      </c>
      <c r="BD15" s="787">
        <v>95790.88</v>
      </c>
      <c r="BE15" s="787">
        <v>35637.379999999997</v>
      </c>
      <c r="BF15" s="787">
        <v>123783.03999999999</v>
      </c>
      <c r="BG15" s="787">
        <v>0</v>
      </c>
      <c r="BH15" s="787">
        <v>0</v>
      </c>
      <c r="BI15" s="787">
        <v>0</v>
      </c>
      <c r="BJ15" s="787">
        <v>2914082.6689999993</v>
      </c>
      <c r="BK15" s="787">
        <v>-317369.06000000233</v>
      </c>
      <c r="BL15" s="787">
        <v>73764.443284934387</v>
      </c>
      <c r="BM15" s="787">
        <v>-243604.61671506794</v>
      </c>
      <c r="BN15" s="787">
        <v>8682.25</v>
      </c>
      <c r="BO15" s="787">
        <v>0</v>
      </c>
      <c r="BP15" s="787">
        <v>0</v>
      </c>
      <c r="BQ15" s="787">
        <v>8682.25</v>
      </c>
      <c r="BR15" s="787">
        <v>0</v>
      </c>
      <c r="BS15" s="787">
        <v>0</v>
      </c>
      <c r="BT15" s="787">
        <v>0</v>
      </c>
      <c r="BU15" s="787">
        <v>0</v>
      </c>
      <c r="BV15" s="787">
        <v>0</v>
      </c>
      <c r="BW15" s="787">
        <v>0</v>
      </c>
      <c r="BX15" s="787">
        <v>0</v>
      </c>
      <c r="BY15" s="787">
        <v>0</v>
      </c>
      <c r="BZ15" s="787">
        <v>0</v>
      </c>
      <c r="CA15" s="787">
        <v>8587.75</v>
      </c>
      <c r="CB15" s="787">
        <v>8682.25</v>
      </c>
      <c r="CC15" s="787">
        <v>17270</v>
      </c>
      <c r="CD15" s="787">
        <v>0</v>
      </c>
      <c r="CE15" s="787">
        <v>0</v>
      </c>
      <c r="CF15" s="787">
        <v>0</v>
      </c>
      <c r="CG15" s="787">
        <v>0</v>
      </c>
      <c r="CH15" s="787">
        <v>0</v>
      </c>
      <c r="CI15" s="787">
        <v>0</v>
      </c>
      <c r="CJ15" s="787">
        <v>0</v>
      </c>
      <c r="CK15" s="787">
        <v>0</v>
      </c>
      <c r="CL15" s="787">
        <v>0</v>
      </c>
      <c r="CM15" s="787">
        <v>0</v>
      </c>
      <c r="CN15" s="787">
        <v>-243604.61671506794</v>
      </c>
      <c r="CO15" s="787">
        <v>17270</v>
      </c>
      <c r="CP15" s="787">
        <v>0</v>
      </c>
      <c r="CQ15" s="787">
        <v>0</v>
      </c>
      <c r="CR15" s="787">
        <v>-226334.61671506794</v>
      </c>
      <c r="CS15" s="787">
        <v>-84401.45</v>
      </c>
      <c r="CT15" s="787">
        <v>156.05000000000001</v>
      </c>
      <c r="CU15" s="787">
        <v>0</v>
      </c>
      <c r="CV15" s="787">
        <v>-84557.5</v>
      </c>
      <c r="CW15" s="787">
        <v>0</v>
      </c>
      <c r="CX15" s="787">
        <v>1236.45</v>
      </c>
      <c r="CY15" s="787">
        <v>35.15</v>
      </c>
      <c r="CZ15" s="787">
        <v>66576.309999999983</v>
      </c>
      <c r="DA15" s="787">
        <v>0</v>
      </c>
      <c r="DB15" s="787">
        <v>-16709.590000000026</v>
      </c>
      <c r="DC15" s="787">
        <v>0</v>
      </c>
      <c r="DD15" s="787">
        <v>0</v>
      </c>
      <c r="DE15" s="787">
        <v>0</v>
      </c>
      <c r="DF15" s="787">
        <v>0</v>
      </c>
      <c r="DG15" s="787"/>
      <c r="DH15" s="787"/>
      <c r="DI15" s="787"/>
      <c r="DJ15" s="787">
        <v>0</v>
      </c>
      <c r="DK15" s="787">
        <v>0</v>
      </c>
      <c r="DL15" s="787">
        <v>22894.1</v>
      </c>
      <c r="DM15" s="787">
        <v>5587.5</v>
      </c>
      <c r="DN15" s="787">
        <v>0</v>
      </c>
      <c r="DO15" s="787">
        <v>0</v>
      </c>
      <c r="DP15" s="787">
        <v>-166899.72</v>
      </c>
      <c r="DQ15" s="787">
        <v>-71207.38</v>
      </c>
      <c r="DR15" s="787">
        <v>0</v>
      </c>
      <c r="DS15" s="787">
        <v>0</v>
      </c>
      <c r="DT15" s="787">
        <v>-209625.5</v>
      </c>
      <c r="DU15" s="787">
        <v>0</v>
      </c>
      <c r="DV15" s="787">
        <v>0</v>
      </c>
      <c r="DW15" s="787">
        <v>0</v>
      </c>
      <c r="DX15" s="787">
        <v>0</v>
      </c>
      <c r="DY15" s="787">
        <v>0</v>
      </c>
      <c r="DZ15" s="787">
        <v>0</v>
      </c>
      <c r="EA15" s="787">
        <v>0.47328493208624423</v>
      </c>
      <c r="EE15">
        <f>_xlfn.XLOOKUP(C15,'[1]Cfwd Analysis'!$C:$C,'[1]Cfwd Analysis'!$I:$I,0,0)</f>
        <v>-243604.61671506794</v>
      </c>
      <c r="EF15" s="788">
        <f t="shared" si="0"/>
        <v>0</v>
      </c>
    </row>
    <row r="16" spans="1:136" ht="15.6" hidden="1">
      <c r="A16" s="782" t="s">
        <v>1303</v>
      </c>
      <c r="B16" s="782" t="s">
        <v>551</v>
      </c>
      <c r="C16" s="783">
        <v>7016</v>
      </c>
      <c r="D16" s="784" t="s">
        <v>552</v>
      </c>
      <c r="E16" s="785" t="s">
        <v>521</v>
      </c>
      <c r="F16" s="786">
        <v>46094</v>
      </c>
      <c r="G16" s="785" t="s">
        <v>5</v>
      </c>
      <c r="H16" s="785" t="s">
        <v>565</v>
      </c>
      <c r="I16" s="787">
        <v>2070454.9573913044</v>
      </c>
      <c r="J16" s="787">
        <v>60048.577419554851</v>
      </c>
      <c r="K16" s="787">
        <v>4205874.2440381898</v>
      </c>
      <c r="L16" s="787">
        <v>0</v>
      </c>
      <c r="M16" s="787">
        <v>73450</v>
      </c>
      <c r="N16" s="787">
        <v>485469.42</v>
      </c>
      <c r="O16" s="787">
        <v>349831.47</v>
      </c>
      <c r="P16" s="787">
        <v>0</v>
      </c>
      <c r="Q16" s="787">
        <v>0</v>
      </c>
      <c r="R16" s="787">
        <v>0</v>
      </c>
      <c r="S16" s="787">
        <v>0</v>
      </c>
      <c r="T16" s="787">
        <v>0</v>
      </c>
      <c r="U16" s="787">
        <v>0</v>
      </c>
      <c r="V16" s="787">
        <v>267958</v>
      </c>
      <c r="W16" s="787">
        <v>0</v>
      </c>
      <c r="X16" s="787">
        <v>7513086.6688490482</v>
      </c>
      <c r="Y16" s="787">
        <v>2057501.0099999998</v>
      </c>
      <c r="Z16" s="787">
        <v>0</v>
      </c>
      <c r="AA16" s="787">
        <v>1862134.51</v>
      </c>
      <c r="AB16" s="787">
        <v>170123.11</v>
      </c>
      <c r="AC16" s="787">
        <v>322766.05</v>
      </c>
      <c r="AD16" s="787">
        <v>6779.96</v>
      </c>
      <c r="AE16" s="787">
        <v>84584.5</v>
      </c>
      <c r="AF16" s="787">
        <v>10153.549999999999</v>
      </c>
      <c r="AG16" s="787">
        <v>16826.22</v>
      </c>
      <c r="AH16" s="787">
        <v>0</v>
      </c>
      <c r="AI16" s="787">
        <v>711.4</v>
      </c>
      <c r="AJ16" s="787">
        <v>105442.94</v>
      </c>
      <c r="AK16" s="787">
        <v>2124.9900000000002</v>
      </c>
      <c r="AL16" s="787">
        <v>85822.37000000001</v>
      </c>
      <c r="AM16" s="787">
        <v>7914.54</v>
      </c>
      <c r="AN16" s="787">
        <v>84933.33</v>
      </c>
      <c r="AO16" s="787">
        <v>0</v>
      </c>
      <c r="AP16" s="787">
        <v>23883.82</v>
      </c>
      <c r="AQ16" s="787">
        <v>97013.34</v>
      </c>
      <c r="AR16" s="787">
        <v>0</v>
      </c>
      <c r="AS16" s="787">
        <v>0</v>
      </c>
      <c r="AT16" s="787">
        <v>99866.15</v>
      </c>
      <c r="AU16" s="787">
        <v>0</v>
      </c>
      <c r="AV16" s="787">
        <v>0</v>
      </c>
      <c r="AW16" s="787">
        <v>0</v>
      </c>
      <c r="AX16" s="787">
        <v>0</v>
      </c>
      <c r="AY16" s="787">
        <v>0</v>
      </c>
      <c r="AZ16" s="787">
        <v>65923.600000000006</v>
      </c>
      <c r="BA16" s="787">
        <v>5464.57</v>
      </c>
      <c r="BB16" s="787">
        <v>1062</v>
      </c>
      <c r="BC16" s="787">
        <v>78558.899999999994</v>
      </c>
      <c r="BD16" s="787">
        <v>44063.61</v>
      </c>
      <c r="BE16" s="787">
        <v>33597.479999999996</v>
      </c>
      <c r="BF16" s="787">
        <v>1953126.8099999998</v>
      </c>
      <c r="BG16" s="787">
        <v>0</v>
      </c>
      <c r="BH16" s="787">
        <v>0</v>
      </c>
      <c r="BI16" s="787">
        <v>0</v>
      </c>
      <c r="BJ16" s="787">
        <v>7220378.7600000016</v>
      </c>
      <c r="BK16" s="787">
        <v>375429</v>
      </c>
      <c r="BL16" s="787">
        <v>292707.90884904657</v>
      </c>
      <c r="BM16" s="787">
        <v>668136.90884904657</v>
      </c>
      <c r="BN16" s="787">
        <v>13365.63</v>
      </c>
      <c r="BO16" s="787">
        <v>0</v>
      </c>
      <c r="BP16" s="787">
        <v>0</v>
      </c>
      <c r="BQ16" s="787">
        <v>13365.63</v>
      </c>
      <c r="BR16" s="787">
        <v>0</v>
      </c>
      <c r="BS16" s="787">
        <v>0</v>
      </c>
      <c r="BT16" s="787">
        <v>3015.42</v>
      </c>
      <c r="BU16" s="787">
        <v>0</v>
      </c>
      <c r="BV16" s="787">
        <v>0</v>
      </c>
      <c r="BW16" s="787">
        <v>0</v>
      </c>
      <c r="BX16" s="787">
        <v>0</v>
      </c>
      <c r="BY16" s="787">
        <v>0</v>
      </c>
      <c r="BZ16" s="787">
        <v>3015.42</v>
      </c>
      <c r="CA16" s="787">
        <v>70303</v>
      </c>
      <c r="CB16" s="787">
        <v>10350.209999999999</v>
      </c>
      <c r="CC16" s="787">
        <v>80653.209999999992</v>
      </c>
      <c r="CD16" s="787">
        <v>0</v>
      </c>
      <c r="CE16" s="787">
        <v>0</v>
      </c>
      <c r="CF16" s="787">
        <v>0</v>
      </c>
      <c r="CG16" s="787">
        <v>0</v>
      </c>
      <c r="CH16" s="787">
        <v>0</v>
      </c>
      <c r="CI16" s="787">
        <v>0</v>
      </c>
      <c r="CJ16" s="787">
        <v>0</v>
      </c>
      <c r="CK16" s="787">
        <v>0</v>
      </c>
      <c r="CL16" s="787">
        <v>0</v>
      </c>
      <c r="CM16" s="787">
        <v>668136.90884904657</v>
      </c>
      <c r="CN16" s="787">
        <v>0</v>
      </c>
      <c r="CO16" s="787">
        <v>10350</v>
      </c>
      <c r="CP16" s="787">
        <v>70303.209999999992</v>
      </c>
      <c r="CQ16" s="787">
        <v>0</v>
      </c>
      <c r="CR16" s="787">
        <v>748790.11884904653</v>
      </c>
      <c r="CS16" s="787">
        <v>620691.29</v>
      </c>
      <c r="CT16" s="787">
        <v>104758.92</v>
      </c>
      <c r="CU16" s="787">
        <v>0</v>
      </c>
      <c r="CV16" s="787">
        <v>515932.37000000005</v>
      </c>
      <c r="CW16" s="787">
        <v>0</v>
      </c>
      <c r="CX16" s="787">
        <v>419.95</v>
      </c>
      <c r="CY16" s="787">
        <v>20995.13</v>
      </c>
      <c r="CZ16" s="787">
        <v>365105.31</v>
      </c>
      <c r="DA16" s="787">
        <v>0</v>
      </c>
      <c r="DB16" s="787">
        <v>902452.76</v>
      </c>
      <c r="DC16" s="787">
        <v>0</v>
      </c>
      <c r="DD16" s="787">
        <v>0</v>
      </c>
      <c r="DE16" s="787">
        <v>0</v>
      </c>
      <c r="DF16" s="787">
        <v>0</v>
      </c>
      <c r="DG16" s="787"/>
      <c r="DH16" s="787"/>
      <c r="DI16" s="787"/>
      <c r="DJ16" s="787">
        <v>0</v>
      </c>
      <c r="DK16" s="787">
        <v>0</v>
      </c>
      <c r="DL16" s="787">
        <v>0</v>
      </c>
      <c r="DM16" s="787">
        <v>485469.42</v>
      </c>
      <c r="DN16" s="787">
        <v>0</v>
      </c>
      <c r="DO16" s="787">
        <v>0</v>
      </c>
      <c r="DP16" s="787">
        <v>-528396.18999999994</v>
      </c>
      <c r="DQ16" s="787">
        <v>-12645.09</v>
      </c>
      <c r="DR16" s="787">
        <v>0</v>
      </c>
      <c r="DS16" s="787">
        <v>0</v>
      </c>
      <c r="DT16" s="787">
        <v>-55571.859999999957</v>
      </c>
      <c r="DU16" s="787">
        <v>0</v>
      </c>
      <c r="DV16" s="787">
        <v>0</v>
      </c>
      <c r="DW16" s="787">
        <v>-18309</v>
      </c>
      <c r="DX16" s="787">
        <v>0</v>
      </c>
      <c r="DY16" s="787">
        <v>0</v>
      </c>
      <c r="DZ16" s="787">
        <v>-79781.64</v>
      </c>
      <c r="EA16" s="787">
        <v>-0.14115095348097384</v>
      </c>
      <c r="EE16">
        <f>_xlfn.XLOOKUP(C16,'[1]Cfwd Analysis'!$C:$C,'[1]Cfwd Analysis'!$I:$I,0,0)</f>
        <v>668136.90884904657</v>
      </c>
      <c r="EF16" s="788">
        <f t="shared" si="0"/>
        <v>0</v>
      </c>
    </row>
    <row r="17" spans="1:136" ht="15.6" hidden="1">
      <c r="A17" s="782" t="s">
        <v>1304</v>
      </c>
      <c r="B17" s="782" t="s">
        <v>878</v>
      </c>
      <c r="C17" s="783">
        <v>7052</v>
      </c>
      <c r="D17" s="784" t="s">
        <v>879</v>
      </c>
      <c r="E17" s="785" t="s">
        <v>521</v>
      </c>
      <c r="F17" s="786" t="s">
        <v>1305</v>
      </c>
      <c r="G17" s="785" t="s">
        <v>5</v>
      </c>
      <c r="H17" s="785" t="s">
        <v>820</v>
      </c>
      <c r="I17" s="787">
        <v>1035227.4886956522</v>
      </c>
      <c r="J17" s="787">
        <v>0</v>
      </c>
      <c r="K17" s="787">
        <v>1828003.7885535192</v>
      </c>
      <c r="L17" s="787">
        <v>0</v>
      </c>
      <c r="M17" s="787">
        <v>79950</v>
      </c>
      <c r="N17" s="787">
        <v>20511.29</v>
      </c>
      <c r="O17" s="787">
        <v>0</v>
      </c>
      <c r="P17" s="787">
        <v>6602</v>
      </c>
      <c r="Q17" s="787">
        <v>13747.93</v>
      </c>
      <c r="R17" s="787">
        <v>0</v>
      </c>
      <c r="S17" s="787">
        <v>0</v>
      </c>
      <c r="T17" s="787">
        <v>0</v>
      </c>
      <c r="U17" s="787">
        <v>0</v>
      </c>
      <c r="V17" s="787">
        <v>0</v>
      </c>
      <c r="W17" s="787">
        <v>0</v>
      </c>
      <c r="X17" s="787">
        <v>2984042.4972491716</v>
      </c>
      <c r="Y17" s="787">
        <v>697380.11</v>
      </c>
      <c r="Z17" s="787">
        <v>0</v>
      </c>
      <c r="AA17" s="787">
        <v>960183.1100000001</v>
      </c>
      <c r="AB17" s="787">
        <v>28251.22</v>
      </c>
      <c r="AC17" s="787">
        <v>145854.21</v>
      </c>
      <c r="AD17" s="787">
        <v>0</v>
      </c>
      <c r="AE17" s="787">
        <v>99864.25</v>
      </c>
      <c r="AF17" s="787">
        <v>5208.8500000000004</v>
      </c>
      <c r="AG17" s="787">
        <v>8956.4</v>
      </c>
      <c r="AH17" s="787">
        <v>0</v>
      </c>
      <c r="AI17" s="787">
        <v>0</v>
      </c>
      <c r="AJ17" s="787">
        <v>22095.52</v>
      </c>
      <c r="AK17" s="787">
        <v>0</v>
      </c>
      <c r="AL17" s="787">
        <v>82481.78</v>
      </c>
      <c r="AM17" s="787">
        <v>7123.02</v>
      </c>
      <c r="AN17" s="787">
        <v>49791.79</v>
      </c>
      <c r="AO17" s="787">
        <v>0</v>
      </c>
      <c r="AP17" s="787">
        <v>12118.21</v>
      </c>
      <c r="AQ17" s="787">
        <v>71389.66</v>
      </c>
      <c r="AR17" s="787">
        <v>0</v>
      </c>
      <c r="AS17" s="787">
        <v>0</v>
      </c>
      <c r="AT17" s="787">
        <v>2955.79</v>
      </c>
      <c r="AU17" s="787">
        <v>0</v>
      </c>
      <c r="AV17" s="787">
        <v>0</v>
      </c>
      <c r="AW17" s="787">
        <v>0</v>
      </c>
      <c r="AX17" s="787">
        <v>0</v>
      </c>
      <c r="AY17" s="787">
        <v>0</v>
      </c>
      <c r="AZ17" s="787">
        <v>47643.88</v>
      </c>
      <c r="BA17" s="787">
        <v>3291.75</v>
      </c>
      <c r="BB17" s="787">
        <v>2904</v>
      </c>
      <c r="BC17" s="787">
        <v>45181.98</v>
      </c>
      <c r="BD17" s="787">
        <v>662948.25</v>
      </c>
      <c r="BE17" s="787">
        <v>73436.19</v>
      </c>
      <c r="BF17" s="787">
        <v>181903.54</v>
      </c>
      <c r="BG17" s="787">
        <v>0</v>
      </c>
      <c r="BH17" s="787">
        <v>0</v>
      </c>
      <c r="BI17" s="787">
        <v>0</v>
      </c>
      <c r="BJ17" s="787">
        <v>3210963.5100000002</v>
      </c>
      <c r="BK17" s="787">
        <v>-545844.02999999397</v>
      </c>
      <c r="BL17" s="787">
        <v>-226921.01275082864</v>
      </c>
      <c r="BM17" s="787">
        <v>-772765.04275082261</v>
      </c>
      <c r="BN17" s="787">
        <v>8784.06</v>
      </c>
      <c r="BO17" s="787">
        <v>0</v>
      </c>
      <c r="BP17" s="787">
        <v>0</v>
      </c>
      <c r="BQ17" s="787">
        <v>8784.06</v>
      </c>
      <c r="BR17" s="787">
        <v>0</v>
      </c>
      <c r="BS17" s="787">
        <v>17624</v>
      </c>
      <c r="BT17" s="787">
        <v>0</v>
      </c>
      <c r="BU17" s="787">
        <v>0</v>
      </c>
      <c r="BV17" s="787">
        <v>0</v>
      </c>
      <c r="BW17" s="787">
        <v>0</v>
      </c>
      <c r="BX17" s="787">
        <v>0</v>
      </c>
      <c r="BY17" s="787">
        <v>0</v>
      </c>
      <c r="BZ17" s="787">
        <v>17624</v>
      </c>
      <c r="CA17" s="787">
        <v>8839.75</v>
      </c>
      <c r="CB17" s="787">
        <v>-8839.94</v>
      </c>
      <c r="CC17" s="787">
        <v>-0.19000000000050932</v>
      </c>
      <c r="CD17" s="787">
        <v>0</v>
      </c>
      <c r="CE17" s="787">
        <v>0</v>
      </c>
      <c r="CF17" s="787">
        <v>0</v>
      </c>
      <c r="CG17" s="787">
        <v>0</v>
      </c>
      <c r="CH17" s="787">
        <v>0</v>
      </c>
      <c r="CI17" s="787">
        <v>0</v>
      </c>
      <c r="CJ17" s="787">
        <v>0</v>
      </c>
      <c r="CK17" s="787">
        <v>0</v>
      </c>
      <c r="CL17" s="787">
        <v>0</v>
      </c>
      <c r="CM17" s="787">
        <v>0</v>
      </c>
      <c r="CN17" s="787">
        <v>-772765.04275082261</v>
      </c>
      <c r="CO17" s="787">
        <v>0</v>
      </c>
      <c r="CP17" s="787">
        <v>-0.19000000000050932</v>
      </c>
      <c r="CQ17" s="787">
        <v>0</v>
      </c>
      <c r="CR17" s="787">
        <v>-772765.23275082256</v>
      </c>
      <c r="CS17" s="787">
        <v>-560382.80000000005</v>
      </c>
      <c r="CT17" s="787">
        <v>0</v>
      </c>
      <c r="CU17" s="787">
        <v>0</v>
      </c>
      <c r="CV17" s="787">
        <v>-560382.80000000005</v>
      </c>
      <c r="CW17" s="787">
        <v>0</v>
      </c>
      <c r="CX17" s="787">
        <v>0</v>
      </c>
      <c r="CY17" s="787">
        <v>8335.18</v>
      </c>
      <c r="CZ17" s="787">
        <v>23903.46</v>
      </c>
      <c r="DA17" s="787">
        <v>0</v>
      </c>
      <c r="DB17" s="787">
        <v>-528144.16</v>
      </c>
      <c r="DC17" s="787">
        <v>0</v>
      </c>
      <c r="DD17" s="787">
        <v>0</v>
      </c>
      <c r="DE17" s="787">
        <v>0</v>
      </c>
      <c r="DF17" s="787">
        <v>0</v>
      </c>
      <c r="DG17" s="787"/>
      <c r="DH17" s="787"/>
      <c r="DI17" s="787"/>
      <c r="DJ17" s="787">
        <v>0</v>
      </c>
      <c r="DK17" s="787">
        <v>0</v>
      </c>
      <c r="DL17" s="787">
        <v>50634.47</v>
      </c>
      <c r="DM17" s="787">
        <v>0</v>
      </c>
      <c r="DN17" s="787">
        <v>0</v>
      </c>
      <c r="DO17" s="787">
        <v>0</v>
      </c>
      <c r="DP17" s="787">
        <v>-283615.71999999997</v>
      </c>
      <c r="DQ17" s="787">
        <v>-11639.94</v>
      </c>
      <c r="DR17" s="787">
        <v>0</v>
      </c>
      <c r="DS17" s="787">
        <v>0</v>
      </c>
      <c r="DT17" s="787">
        <v>-244621.18999999997</v>
      </c>
      <c r="DU17" s="787">
        <v>0</v>
      </c>
      <c r="DV17" s="787">
        <v>0</v>
      </c>
      <c r="DW17" s="787">
        <v>0</v>
      </c>
      <c r="DX17" s="787">
        <v>0</v>
      </c>
      <c r="DY17" s="787">
        <v>0</v>
      </c>
      <c r="DZ17" s="787">
        <v>0</v>
      </c>
      <c r="EA17" s="787">
        <v>0.11724917741958052</v>
      </c>
      <c r="EE17">
        <f>_xlfn.XLOOKUP(C17,'[1]Cfwd Analysis'!$C:$C,'[1]Cfwd Analysis'!$I:$I,0,0)</f>
        <v>-772765.04275082261</v>
      </c>
      <c r="EF17" s="788">
        <f t="shared" si="0"/>
        <v>0</v>
      </c>
    </row>
    <row r="18" spans="1:136" ht="15.6" hidden="1">
      <c r="A18" s="782" t="s">
        <v>1306</v>
      </c>
      <c r="B18" s="782" t="s">
        <v>554</v>
      </c>
      <c r="C18" s="783">
        <v>2017</v>
      </c>
      <c r="D18" s="784" t="s">
        <v>555</v>
      </c>
      <c r="E18" s="785" t="s">
        <v>521</v>
      </c>
      <c r="F18" s="786" t="s">
        <v>1307</v>
      </c>
      <c r="G18" s="785" t="s">
        <v>5</v>
      </c>
      <c r="H18" s="785" t="s">
        <v>567</v>
      </c>
      <c r="I18" s="787">
        <v>1829264.3645051515</v>
      </c>
      <c r="J18" s="787">
        <v>0</v>
      </c>
      <c r="K18" s="787">
        <v>219412.995</v>
      </c>
      <c r="L18" s="787">
        <v>0</v>
      </c>
      <c r="M18" s="787">
        <v>144110</v>
      </c>
      <c r="N18" s="787">
        <v>76573.600000000006</v>
      </c>
      <c r="O18" s="787">
        <v>0</v>
      </c>
      <c r="P18" s="787">
        <v>0</v>
      </c>
      <c r="Q18" s="787">
        <v>2715.6799999999994</v>
      </c>
      <c r="R18" s="787">
        <v>0</v>
      </c>
      <c r="S18" s="787">
        <v>0</v>
      </c>
      <c r="T18" s="787">
        <v>0</v>
      </c>
      <c r="U18" s="787">
        <v>3085</v>
      </c>
      <c r="V18" s="787">
        <v>7910.62</v>
      </c>
      <c r="W18" s="787">
        <v>0</v>
      </c>
      <c r="X18" s="787">
        <v>2283072.2595051518</v>
      </c>
      <c r="Y18" s="787">
        <v>992282.5</v>
      </c>
      <c r="Z18" s="787">
        <v>19508.64</v>
      </c>
      <c r="AA18" s="787">
        <v>224026.15000000002</v>
      </c>
      <c r="AB18" s="787">
        <v>0</v>
      </c>
      <c r="AC18" s="787">
        <v>133282.93</v>
      </c>
      <c r="AD18" s="787">
        <v>0</v>
      </c>
      <c r="AE18" s="787">
        <v>43602.66</v>
      </c>
      <c r="AF18" s="787">
        <v>4819.38</v>
      </c>
      <c r="AG18" s="787">
        <v>2757.27</v>
      </c>
      <c r="AH18" s="787">
        <v>0</v>
      </c>
      <c r="AI18" s="787">
        <v>0</v>
      </c>
      <c r="AJ18" s="787">
        <v>55</v>
      </c>
      <c r="AK18" s="787">
        <v>0</v>
      </c>
      <c r="AL18" s="787">
        <v>0</v>
      </c>
      <c r="AM18" s="787">
        <v>4146.7</v>
      </c>
      <c r="AN18" s="787">
        <v>46494.719999999994</v>
      </c>
      <c r="AO18" s="787">
        <v>28407.830000000005</v>
      </c>
      <c r="AP18" s="787">
        <v>2263</v>
      </c>
      <c r="AQ18" s="787">
        <v>29922.91</v>
      </c>
      <c r="AR18" s="787">
        <v>0</v>
      </c>
      <c r="AS18" s="787">
        <v>0</v>
      </c>
      <c r="AT18" s="787">
        <v>4693</v>
      </c>
      <c r="AU18" s="787">
        <v>0</v>
      </c>
      <c r="AV18" s="787">
        <v>0</v>
      </c>
      <c r="AW18" s="787">
        <v>0</v>
      </c>
      <c r="AX18" s="787">
        <v>8270.68</v>
      </c>
      <c r="AY18" s="787">
        <v>0</v>
      </c>
      <c r="AZ18" s="787">
        <v>11316.740000000002</v>
      </c>
      <c r="BA18" s="787">
        <v>5139.75</v>
      </c>
      <c r="BB18" s="787">
        <v>0</v>
      </c>
      <c r="BC18" s="787">
        <v>114812.78</v>
      </c>
      <c r="BD18" s="787">
        <v>207360.96</v>
      </c>
      <c r="BE18" s="787">
        <v>6911.2</v>
      </c>
      <c r="BF18" s="787">
        <v>51100</v>
      </c>
      <c r="BG18" s="787">
        <v>388523.54</v>
      </c>
      <c r="BH18" s="787">
        <v>0</v>
      </c>
      <c r="BI18" s="787">
        <v>0</v>
      </c>
      <c r="BJ18" s="787">
        <v>2329698.3399999994</v>
      </c>
      <c r="BK18" s="787">
        <v>-100361.40999999945</v>
      </c>
      <c r="BL18" s="787">
        <v>-46626.080494847614</v>
      </c>
      <c r="BM18" s="787">
        <v>-146987.49049484706</v>
      </c>
      <c r="BN18" s="787">
        <v>20790.25</v>
      </c>
      <c r="BO18" s="787">
        <v>0</v>
      </c>
      <c r="BP18" s="787">
        <v>0</v>
      </c>
      <c r="BQ18" s="787">
        <v>20790.25</v>
      </c>
      <c r="BR18" s="787">
        <v>20443</v>
      </c>
      <c r="BS18" s="787">
        <v>0</v>
      </c>
      <c r="BT18" s="787">
        <v>0</v>
      </c>
      <c r="BU18" s="787">
        <v>0</v>
      </c>
      <c r="BV18" s="787">
        <v>0</v>
      </c>
      <c r="BW18" s="787">
        <v>0</v>
      </c>
      <c r="BX18" s="787">
        <v>497</v>
      </c>
      <c r="BY18" s="787">
        <v>0</v>
      </c>
      <c r="BZ18" s="787">
        <v>20940</v>
      </c>
      <c r="CA18" s="787">
        <v>13294.82</v>
      </c>
      <c r="CB18" s="787">
        <v>-149.75</v>
      </c>
      <c r="CC18" s="787">
        <v>13145.07</v>
      </c>
      <c r="CD18" s="787">
        <v>0</v>
      </c>
      <c r="CE18" s="787">
        <v>0</v>
      </c>
      <c r="CF18" s="787">
        <v>0</v>
      </c>
      <c r="CG18" s="787">
        <v>0</v>
      </c>
      <c r="CH18" s="787">
        <v>0</v>
      </c>
      <c r="CI18" s="787">
        <v>0</v>
      </c>
      <c r="CJ18" s="787">
        <v>0</v>
      </c>
      <c r="CK18" s="787">
        <v>0</v>
      </c>
      <c r="CL18" s="787">
        <v>0</v>
      </c>
      <c r="CM18" s="787">
        <v>0</v>
      </c>
      <c r="CN18" s="787">
        <v>-146987.49049484706</v>
      </c>
      <c r="CO18" s="787">
        <v>7026.25</v>
      </c>
      <c r="CP18" s="787">
        <v>6118.82</v>
      </c>
      <c r="CQ18" s="787">
        <v>0</v>
      </c>
      <c r="CR18" s="787">
        <v>-133842.42049484706</v>
      </c>
      <c r="CS18" s="787">
        <v>27666.84</v>
      </c>
      <c r="CT18" s="787">
        <v>298.27</v>
      </c>
      <c r="CU18" s="787">
        <v>1100</v>
      </c>
      <c r="CV18" s="787">
        <v>28468.57</v>
      </c>
      <c r="CW18" s="787">
        <v>0</v>
      </c>
      <c r="CX18" s="787">
        <v>10993.11</v>
      </c>
      <c r="CY18" s="787">
        <v>4391.22</v>
      </c>
      <c r="CZ18" s="787">
        <v>0</v>
      </c>
      <c r="DA18" s="787">
        <v>0</v>
      </c>
      <c r="DB18" s="787">
        <v>43852.9</v>
      </c>
      <c r="DC18" s="787">
        <v>0</v>
      </c>
      <c r="DD18" s="787">
        <v>0</v>
      </c>
      <c r="DE18" s="787">
        <v>0</v>
      </c>
      <c r="DF18" s="787">
        <v>0</v>
      </c>
      <c r="DG18" s="787"/>
      <c r="DH18" s="787"/>
      <c r="DI18" s="787"/>
      <c r="DJ18" s="787">
        <v>0</v>
      </c>
      <c r="DK18" s="787">
        <v>0</v>
      </c>
      <c r="DL18" s="787">
        <v>0</v>
      </c>
      <c r="DM18" s="787">
        <v>0</v>
      </c>
      <c r="DN18" s="787">
        <v>0</v>
      </c>
      <c r="DO18" s="787">
        <v>0</v>
      </c>
      <c r="DP18" s="787">
        <v>-154719.20000000001</v>
      </c>
      <c r="DQ18" s="787">
        <v>-20776.580000000002</v>
      </c>
      <c r="DR18" s="787">
        <v>0</v>
      </c>
      <c r="DS18" s="787">
        <v>0</v>
      </c>
      <c r="DT18" s="787">
        <v>-175495.78000000003</v>
      </c>
      <c r="DU18" s="787">
        <v>0</v>
      </c>
      <c r="DV18" s="787">
        <v>0</v>
      </c>
      <c r="DW18" s="787">
        <v>0</v>
      </c>
      <c r="DX18" s="787">
        <v>-2200</v>
      </c>
      <c r="DY18" s="787">
        <v>0</v>
      </c>
      <c r="DZ18" s="787">
        <v>0</v>
      </c>
      <c r="EA18" s="787">
        <v>0.45950515297590755</v>
      </c>
      <c r="EE18">
        <f>_xlfn.XLOOKUP(C18,'[1]Cfwd Analysis'!$C:$C,'[1]Cfwd Analysis'!$I:$I,0,0)</f>
        <v>-146987.49049484706</v>
      </c>
      <c r="EF18" s="788">
        <f t="shared" si="0"/>
        <v>0</v>
      </c>
    </row>
    <row r="19" spans="1:136" ht="15.6" hidden="1">
      <c r="A19" s="782" t="s">
        <v>1308</v>
      </c>
      <c r="B19" s="782" t="s">
        <v>556</v>
      </c>
      <c r="C19" s="783">
        <v>2016</v>
      </c>
      <c r="D19" s="784" t="s">
        <v>557</v>
      </c>
      <c r="E19" s="785" t="s">
        <v>521</v>
      </c>
      <c r="F19" s="786">
        <v>0</v>
      </c>
      <c r="G19" s="785" t="s">
        <v>5</v>
      </c>
      <c r="H19" s="785" t="s">
        <v>569</v>
      </c>
      <c r="I19" s="787">
        <v>2349642.6641679588</v>
      </c>
      <c r="J19" s="787">
        <v>0</v>
      </c>
      <c r="K19" s="787">
        <v>144585.34</v>
      </c>
      <c r="L19" s="787">
        <v>0</v>
      </c>
      <c r="M19" s="787">
        <v>247660</v>
      </c>
      <c r="N19" s="787">
        <v>26232.86</v>
      </c>
      <c r="O19" s="787">
        <v>0</v>
      </c>
      <c r="P19" s="787">
        <v>0</v>
      </c>
      <c r="Q19" s="787">
        <v>54273.653999999995</v>
      </c>
      <c r="R19" s="787">
        <v>0</v>
      </c>
      <c r="S19" s="787">
        <v>0</v>
      </c>
      <c r="T19" s="787">
        <v>0</v>
      </c>
      <c r="U19" s="787">
        <v>32010</v>
      </c>
      <c r="V19" s="787">
        <v>119577</v>
      </c>
      <c r="W19" s="787">
        <v>0</v>
      </c>
      <c r="X19" s="787">
        <v>2973981.5181679586</v>
      </c>
      <c r="Y19" s="787">
        <v>1247545.6099999999</v>
      </c>
      <c r="Z19" s="787">
        <v>0</v>
      </c>
      <c r="AA19" s="787">
        <v>353726.25000000006</v>
      </c>
      <c r="AB19" s="787">
        <v>0</v>
      </c>
      <c r="AC19" s="787">
        <v>204648.18999999997</v>
      </c>
      <c r="AD19" s="787">
        <v>0</v>
      </c>
      <c r="AE19" s="787">
        <v>79297.12000000001</v>
      </c>
      <c r="AF19" s="787">
        <v>9420.2000000000007</v>
      </c>
      <c r="AG19" s="787">
        <v>2920.07</v>
      </c>
      <c r="AH19" s="787">
        <v>0</v>
      </c>
      <c r="AI19" s="787">
        <v>0</v>
      </c>
      <c r="AJ19" s="787">
        <v>547.6</v>
      </c>
      <c r="AK19" s="787">
        <v>0</v>
      </c>
      <c r="AL19" s="787">
        <v>0</v>
      </c>
      <c r="AM19" s="787">
        <v>9920.49</v>
      </c>
      <c r="AN19" s="787">
        <v>81521.899999999994</v>
      </c>
      <c r="AO19" s="787">
        <v>42611.74</v>
      </c>
      <c r="AP19" s="787">
        <v>7153</v>
      </c>
      <c r="AQ19" s="787">
        <v>150688.95000000001</v>
      </c>
      <c r="AR19" s="787">
        <v>0</v>
      </c>
      <c r="AS19" s="787">
        <v>0</v>
      </c>
      <c r="AT19" s="787">
        <v>3522.32</v>
      </c>
      <c r="AU19" s="787">
        <v>3382</v>
      </c>
      <c r="AV19" s="787">
        <v>0</v>
      </c>
      <c r="AW19" s="787">
        <v>0</v>
      </c>
      <c r="AX19" s="787">
        <v>0</v>
      </c>
      <c r="AY19" s="787">
        <v>0</v>
      </c>
      <c r="AZ19" s="787">
        <v>19748.53</v>
      </c>
      <c r="BA19" s="787">
        <v>10334.06</v>
      </c>
      <c r="BB19" s="787">
        <v>8712</v>
      </c>
      <c r="BC19" s="787">
        <v>64624.17</v>
      </c>
      <c r="BD19" s="787">
        <v>70480.350000000006</v>
      </c>
      <c r="BE19" s="787">
        <v>12932.13</v>
      </c>
      <c r="BF19" s="787">
        <v>58881.47</v>
      </c>
      <c r="BG19" s="787">
        <v>413909.79</v>
      </c>
      <c r="BH19" s="787">
        <v>0</v>
      </c>
      <c r="BI19" s="787">
        <v>0</v>
      </c>
      <c r="BJ19" s="787">
        <v>2856527.94</v>
      </c>
      <c r="BK19" s="787">
        <v>154984</v>
      </c>
      <c r="BL19" s="787">
        <v>117453.57816795865</v>
      </c>
      <c r="BM19" s="787">
        <v>272437.57816795865</v>
      </c>
      <c r="BN19" s="787">
        <v>8044.38</v>
      </c>
      <c r="BO19" s="787">
        <v>0</v>
      </c>
      <c r="BP19" s="787">
        <v>0</v>
      </c>
      <c r="BQ19" s="787">
        <v>8044.38</v>
      </c>
      <c r="BR19" s="787">
        <v>0</v>
      </c>
      <c r="BS19" s="787">
        <v>0</v>
      </c>
      <c r="BT19" s="787">
        <v>0</v>
      </c>
      <c r="BU19" s="787">
        <v>0</v>
      </c>
      <c r="BV19" s="787">
        <v>0</v>
      </c>
      <c r="BW19" s="787">
        <v>0</v>
      </c>
      <c r="BX19" s="787">
        <v>2150</v>
      </c>
      <c r="BY19" s="787">
        <v>0</v>
      </c>
      <c r="BZ19" s="787">
        <v>2150</v>
      </c>
      <c r="CA19" s="787">
        <v>8039</v>
      </c>
      <c r="CB19" s="787">
        <v>5894.38</v>
      </c>
      <c r="CC19" s="787">
        <v>13933.380000000001</v>
      </c>
      <c r="CD19" s="787">
        <v>0</v>
      </c>
      <c r="CE19" s="787">
        <v>0</v>
      </c>
      <c r="CF19" s="787">
        <v>0</v>
      </c>
      <c r="CG19" s="787">
        <v>0</v>
      </c>
      <c r="CH19" s="787">
        <v>0</v>
      </c>
      <c r="CI19" s="787">
        <v>0</v>
      </c>
      <c r="CJ19" s="787">
        <v>0</v>
      </c>
      <c r="CK19" s="787">
        <v>0</v>
      </c>
      <c r="CL19" s="787">
        <v>0</v>
      </c>
      <c r="CM19" s="787">
        <v>272437.57816795865</v>
      </c>
      <c r="CN19" s="787">
        <v>0</v>
      </c>
      <c r="CO19" s="787">
        <v>13933.380000000001</v>
      </c>
      <c r="CP19" s="787">
        <v>0</v>
      </c>
      <c r="CQ19" s="787">
        <v>0</v>
      </c>
      <c r="CR19" s="787">
        <v>286370.95816795866</v>
      </c>
      <c r="CS19" s="787">
        <v>666697.42000000004</v>
      </c>
      <c r="CT19" s="787">
        <v>91467</v>
      </c>
      <c r="CU19" s="787">
        <v>0</v>
      </c>
      <c r="CV19" s="787">
        <v>575230.42000000004</v>
      </c>
      <c r="CW19" s="787">
        <v>0</v>
      </c>
      <c r="CX19" s="787">
        <v>8846.48</v>
      </c>
      <c r="CY19" s="787">
        <v>534.20000000000005</v>
      </c>
      <c r="CZ19" s="787">
        <v>7197.33</v>
      </c>
      <c r="DA19" s="787">
        <v>0</v>
      </c>
      <c r="DB19" s="787">
        <v>591808.42999999993</v>
      </c>
      <c r="DC19" s="787">
        <v>0</v>
      </c>
      <c r="DD19" s="787">
        <v>0</v>
      </c>
      <c r="DE19" s="787">
        <v>0</v>
      </c>
      <c r="DF19" s="787">
        <v>0</v>
      </c>
      <c r="DG19" s="787"/>
      <c r="DH19" s="787"/>
      <c r="DI19" s="787"/>
      <c r="DJ19" s="787">
        <v>0</v>
      </c>
      <c r="DK19" s="787">
        <v>0</v>
      </c>
      <c r="DL19" s="787">
        <v>0</v>
      </c>
      <c r="DM19" s="787">
        <v>0</v>
      </c>
      <c r="DN19" s="787">
        <v>0</v>
      </c>
      <c r="DO19" s="787">
        <v>0</v>
      </c>
      <c r="DP19" s="787">
        <v>-217681.35</v>
      </c>
      <c r="DQ19" s="787">
        <v>-9211.9599999999991</v>
      </c>
      <c r="DR19" s="787">
        <v>0</v>
      </c>
      <c r="DS19" s="787">
        <v>0</v>
      </c>
      <c r="DT19" s="787">
        <v>-226893.31</v>
      </c>
      <c r="DU19" s="787">
        <v>0</v>
      </c>
      <c r="DV19" s="787">
        <v>0</v>
      </c>
      <c r="DW19" s="787">
        <v>0</v>
      </c>
      <c r="DX19" s="787">
        <v>-4898.46</v>
      </c>
      <c r="DY19" s="787">
        <v>0</v>
      </c>
      <c r="DZ19" s="787">
        <v>-73645.759999999995</v>
      </c>
      <c r="EA19" s="787">
        <v>5.8167958748526871E-2</v>
      </c>
      <c r="EE19">
        <f>_xlfn.XLOOKUP(C19,'[1]Cfwd Analysis'!$C:$C,'[1]Cfwd Analysis'!$I:$I,0,0)</f>
        <v>272437.57816795865</v>
      </c>
      <c r="EF19" s="788">
        <f t="shared" si="0"/>
        <v>0</v>
      </c>
    </row>
    <row r="20" spans="1:136" ht="15.6" hidden="1">
      <c r="A20" s="782" t="s">
        <v>1309</v>
      </c>
      <c r="B20" s="782" t="s">
        <v>558</v>
      </c>
      <c r="C20" s="783">
        <v>2239</v>
      </c>
      <c r="D20" s="784" t="s">
        <v>559</v>
      </c>
      <c r="E20" s="785" t="s">
        <v>521</v>
      </c>
      <c r="F20" s="786" t="s">
        <v>1310</v>
      </c>
      <c r="G20" s="785" t="s">
        <v>5</v>
      </c>
      <c r="H20" s="785" t="s">
        <v>571</v>
      </c>
      <c r="I20" s="787">
        <v>1402369.2894904437</v>
      </c>
      <c r="J20" s="787">
        <v>0</v>
      </c>
      <c r="K20" s="787">
        <v>123705.01973222529</v>
      </c>
      <c r="L20" s="787">
        <v>0</v>
      </c>
      <c r="M20" s="787">
        <v>112645</v>
      </c>
      <c r="N20" s="787">
        <v>44967.57</v>
      </c>
      <c r="O20" s="787">
        <v>0</v>
      </c>
      <c r="P20" s="787">
        <v>2880</v>
      </c>
      <c r="Q20" s="787">
        <v>48220.024259999998</v>
      </c>
      <c r="R20" s="787">
        <v>0</v>
      </c>
      <c r="S20" s="787">
        <v>0</v>
      </c>
      <c r="T20" s="787">
        <v>0</v>
      </c>
      <c r="U20" s="787">
        <v>580.29</v>
      </c>
      <c r="V20" s="787">
        <v>0</v>
      </c>
      <c r="W20" s="787">
        <v>0</v>
      </c>
      <c r="X20" s="787">
        <v>1735367.1934826691</v>
      </c>
      <c r="Y20" s="787">
        <v>748635.95</v>
      </c>
      <c r="Z20" s="787">
        <v>0</v>
      </c>
      <c r="AA20" s="787">
        <v>457585.57999999996</v>
      </c>
      <c r="AB20" s="787">
        <v>13803.169999999998</v>
      </c>
      <c r="AC20" s="787">
        <v>171468.57</v>
      </c>
      <c r="AD20" s="787">
        <v>0</v>
      </c>
      <c r="AE20" s="787">
        <v>188084.87</v>
      </c>
      <c r="AF20" s="787">
        <v>98081.37</v>
      </c>
      <c r="AG20" s="787">
        <v>7204.35</v>
      </c>
      <c r="AH20" s="787">
        <v>0</v>
      </c>
      <c r="AI20" s="787">
        <v>22197.73</v>
      </c>
      <c r="AJ20" s="787">
        <v>39131.14</v>
      </c>
      <c r="AK20" s="787">
        <v>2117.7600000000002</v>
      </c>
      <c r="AL20" s="787">
        <v>46429.69</v>
      </c>
      <c r="AM20" s="787">
        <v>3170.54</v>
      </c>
      <c r="AN20" s="787">
        <v>29533.65</v>
      </c>
      <c r="AO20" s="787">
        <v>11105.600000000004</v>
      </c>
      <c r="AP20" s="787">
        <v>6630.58</v>
      </c>
      <c r="AQ20" s="787">
        <v>38788.9</v>
      </c>
      <c r="AR20" s="787">
        <v>0</v>
      </c>
      <c r="AS20" s="787">
        <v>0</v>
      </c>
      <c r="AT20" s="787">
        <v>592.73</v>
      </c>
      <c r="AU20" s="787">
        <v>6580</v>
      </c>
      <c r="AV20" s="787">
        <v>0</v>
      </c>
      <c r="AW20" s="787">
        <v>0</v>
      </c>
      <c r="AX20" s="787">
        <v>0</v>
      </c>
      <c r="AY20" s="787">
        <v>0</v>
      </c>
      <c r="AZ20" s="787">
        <v>28109.140000000003</v>
      </c>
      <c r="BA20" s="787">
        <v>3291.75</v>
      </c>
      <c r="BB20" s="787">
        <v>0</v>
      </c>
      <c r="BC20" s="787">
        <v>80996.58</v>
      </c>
      <c r="BD20" s="787">
        <v>18280.52</v>
      </c>
      <c r="BE20" s="787">
        <v>4483.76</v>
      </c>
      <c r="BF20" s="787">
        <v>72163.509999999995</v>
      </c>
      <c r="BG20" s="787">
        <v>0</v>
      </c>
      <c r="BH20" s="787">
        <v>0</v>
      </c>
      <c r="BI20" s="787">
        <v>0</v>
      </c>
      <c r="BJ20" s="787">
        <v>2098467.4399999995</v>
      </c>
      <c r="BK20" s="787">
        <v>4803.1600000000617</v>
      </c>
      <c r="BL20" s="787">
        <v>-363100.24651733041</v>
      </c>
      <c r="BM20" s="787">
        <v>-358297.08651733038</v>
      </c>
      <c r="BN20" s="787">
        <v>6191.5</v>
      </c>
      <c r="BO20" s="787">
        <v>0</v>
      </c>
      <c r="BP20" s="787">
        <v>0</v>
      </c>
      <c r="BQ20" s="787">
        <v>6191.5</v>
      </c>
      <c r="BR20" s="787">
        <v>0</v>
      </c>
      <c r="BS20" s="787">
        <v>15063</v>
      </c>
      <c r="BT20" s="787">
        <v>0</v>
      </c>
      <c r="BU20" s="787">
        <v>0</v>
      </c>
      <c r="BV20" s="787">
        <v>0</v>
      </c>
      <c r="BW20" s="787">
        <v>0</v>
      </c>
      <c r="BX20" s="787">
        <v>0</v>
      </c>
      <c r="BY20" s="787">
        <v>0</v>
      </c>
      <c r="BZ20" s="787">
        <v>15063</v>
      </c>
      <c r="CA20" s="787">
        <v>8871.6699999999983</v>
      </c>
      <c r="CB20" s="787">
        <v>-8871.5</v>
      </c>
      <c r="CC20" s="787">
        <v>0.16999999999825377</v>
      </c>
      <c r="CD20" s="787">
        <v>0</v>
      </c>
      <c r="CE20" s="787">
        <v>0</v>
      </c>
      <c r="CF20" s="787">
        <v>0</v>
      </c>
      <c r="CG20" s="787">
        <v>0</v>
      </c>
      <c r="CH20" s="787">
        <v>0</v>
      </c>
      <c r="CI20" s="787">
        <v>0</v>
      </c>
      <c r="CJ20" s="787">
        <v>0</v>
      </c>
      <c r="CK20" s="787">
        <v>0</v>
      </c>
      <c r="CL20" s="787">
        <v>0</v>
      </c>
      <c r="CM20" s="787">
        <v>0</v>
      </c>
      <c r="CN20" s="787">
        <v>-358297.08651733038</v>
      </c>
      <c r="CO20" s="787">
        <v>0.16999999999825399</v>
      </c>
      <c r="CP20" s="787">
        <v>0</v>
      </c>
      <c r="CQ20" s="787">
        <v>0</v>
      </c>
      <c r="CR20" s="787">
        <v>-358296.91651733039</v>
      </c>
      <c r="CS20" s="787">
        <v>-206543.78</v>
      </c>
      <c r="CT20" s="787">
        <v>0</v>
      </c>
      <c r="CU20" s="787">
        <v>0</v>
      </c>
      <c r="CV20" s="787">
        <v>-206543.78</v>
      </c>
      <c r="CW20" s="787">
        <v>0</v>
      </c>
      <c r="CX20" s="787">
        <v>6751.85</v>
      </c>
      <c r="CY20" s="787">
        <v>2231.7399999999998</v>
      </c>
      <c r="CZ20" s="787">
        <v>0</v>
      </c>
      <c r="DA20" s="787">
        <v>0</v>
      </c>
      <c r="DB20" s="787">
        <v>-197560.19</v>
      </c>
      <c r="DC20" s="787">
        <v>0</v>
      </c>
      <c r="DD20" s="787">
        <v>0</v>
      </c>
      <c r="DE20" s="787">
        <v>0</v>
      </c>
      <c r="DF20" s="787">
        <v>0</v>
      </c>
      <c r="DG20" s="787"/>
      <c r="DH20" s="787"/>
      <c r="DI20" s="787"/>
      <c r="DJ20" s="787">
        <v>0</v>
      </c>
      <c r="DK20" s="787">
        <v>0</v>
      </c>
      <c r="DL20" s="787">
        <v>0</v>
      </c>
      <c r="DM20" s="787">
        <v>0</v>
      </c>
      <c r="DN20" s="787">
        <v>0</v>
      </c>
      <c r="DO20" s="787">
        <v>0</v>
      </c>
      <c r="DP20" s="787">
        <v>-160736.62</v>
      </c>
      <c r="DQ20" s="787">
        <v>0</v>
      </c>
      <c r="DR20" s="787">
        <v>0</v>
      </c>
      <c r="DS20" s="787">
        <v>0</v>
      </c>
      <c r="DT20" s="787">
        <v>-160736.62</v>
      </c>
      <c r="DU20" s="787">
        <v>0</v>
      </c>
      <c r="DV20" s="787">
        <v>0</v>
      </c>
      <c r="DW20" s="787">
        <v>0</v>
      </c>
      <c r="DX20" s="787">
        <v>0</v>
      </c>
      <c r="DY20" s="787">
        <v>0</v>
      </c>
      <c r="DZ20" s="787">
        <v>0</v>
      </c>
      <c r="EA20" s="787">
        <v>-0.10651733039412647</v>
      </c>
      <c r="EE20">
        <f>_xlfn.XLOOKUP(C20,'[1]Cfwd Analysis'!$C:$C,'[1]Cfwd Analysis'!$I:$I,0,0)</f>
        <v>-358297.08651733038</v>
      </c>
      <c r="EF20" s="788">
        <f t="shared" si="0"/>
        <v>0</v>
      </c>
    </row>
    <row r="21" spans="1:136" ht="15.6" hidden="1">
      <c r="A21" s="782" t="s">
        <v>1311</v>
      </c>
      <c r="B21" s="782" t="s">
        <v>560</v>
      </c>
      <c r="C21" s="783">
        <v>2241</v>
      </c>
      <c r="D21" s="784" t="s">
        <v>561</v>
      </c>
      <c r="E21" s="785" t="s">
        <v>521</v>
      </c>
      <c r="F21" s="786">
        <v>46094</v>
      </c>
      <c r="G21" s="785" t="s">
        <v>5</v>
      </c>
      <c r="H21" s="785" t="s">
        <v>573</v>
      </c>
      <c r="I21" s="787">
        <v>1602553.3978248755</v>
      </c>
      <c r="J21" s="787">
        <v>0</v>
      </c>
      <c r="K21" s="787">
        <v>109328.11666666667</v>
      </c>
      <c r="L21" s="787">
        <v>0</v>
      </c>
      <c r="M21" s="787">
        <v>222975</v>
      </c>
      <c r="N21" s="787">
        <v>33446.259999999995</v>
      </c>
      <c r="O21" s="787">
        <v>0</v>
      </c>
      <c r="P21" s="787">
        <v>2627.95</v>
      </c>
      <c r="Q21" s="787">
        <v>181133.53</v>
      </c>
      <c r="R21" s="787">
        <v>0</v>
      </c>
      <c r="S21" s="787">
        <v>0</v>
      </c>
      <c r="T21" s="787">
        <v>0</v>
      </c>
      <c r="U21" s="787">
        <v>5698.1900000000005</v>
      </c>
      <c r="V21" s="787">
        <v>0</v>
      </c>
      <c r="W21" s="787">
        <v>0</v>
      </c>
      <c r="X21" s="787">
        <v>2157762.4444915419</v>
      </c>
      <c r="Y21" s="787">
        <v>1046651.34</v>
      </c>
      <c r="Z21" s="787">
        <v>0</v>
      </c>
      <c r="AA21" s="787">
        <v>375225.48000000004</v>
      </c>
      <c r="AB21" s="787">
        <v>85392.86</v>
      </c>
      <c r="AC21" s="787">
        <v>243444.38</v>
      </c>
      <c r="AD21" s="787">
        <v>0</v>
      </c>
      <c r="AE21" s="787">
        <v>69461.7</v>
      </c>
      <c r="AF21" s="787">
        <v>17561.95</v>
      </c>
      <c r="AG21" s="787">
        <v>1868.86</v>
      </c>
      <c r="AH21" s="787">
        <v>0</v>
      </c>
      <c r="AI21" s="787">
        <v>0</v>
      </c>
      <c r="AJ21" s="787">
        <v>2654.7599999999984</v>
      </c>
      <c r="AK21" s="787">
        <v>5786.63</v>
      </c>
      <c r="AL21" s="787">
        <v>29674.739999999998</v>
      </c>
      <c r="AM21" s="787">
        <v>9647.4599999999991</v>
      </c>
      <c r="AN21" s="787">
        <v>61337.979999999996</v>
      </c>
      <c r="AO21" s="787">
        <v>14721.389999999998</v>
      </c>
      <c r="AP21" s="787">
        <v>19541.05</v>
      </c>
      <c r="AQ21" s="787">
        <v>88085.25</v>
      </c>
      <c r="AR21" s="787">
        <v>0</v>
      </c>
      <c r="AS21" s="787">
        <v>0</v>
      </c>
      <c r="AT21" s="787">
        <v>0</v>
      </c>
      <c r="AU21" s="787">
        <v>0</v>
      </c>
      <c r="AV21" s="787">
        <v>3338.85</v>
      </c>
      <c r="AW21" s="787">
        <v>0</v>
      </c>
      <c r="AX21" s="787">
        <v>0</v>
      </c>
      <c r="AY21" s="787">
        <v>0</v>
      </c>
      <c r="AZ21" s="787">
        <v>50558.31</v>
      </c>
      <c r="BA21" s="787">
        <v>5139.75</v>
      </c>
      <c r="BB21" s="787">
        <v>5445</v>
      </c>
      <c r="BC21" s="787">
        <v>82023.06</v>
      </c>
      <c r="BD21" s="787">
        <v>6159.8799999999992</v>
      </c>
      <c r="BE21" s="787">
        <v>6363.5199999999977</v>
      </c>
      <c r="BF21" s="787">
        <v>116660.41</v>
      </c>
      <c r="BG21" s="787">
        <v>0</v>
      </c>
      <c r="BH21" s="787">
        <v>0</v>
      </c>
      <c r="BI21" s="787">
        <v>0</v>
      </c>
      <c r="BJ21" s="787">
        <v>2346744.61</v>
      </c>
      <c r="BK21" s="787">
        <v>-58421.729999999807</v>
      </c>
      <c r="BL21" s="787">
        <v>-188982.16550845793</v>
      </c>
      <c r="BM21" s="787">
        <v>-247403.89550845773</v>
      </c>
      <c r="BN21" s="787">
        <v>6756.25</v>
      </c>
      <c r="BO21" s="787">
        <v>0</v>
      </c>
      <c r="BP21" s="787">
        <v>0</v>
      </c>
      <c r="BQ21" s="787">
        <v>6756.25</v>
      </c>
      <c r="BR21" s="787">
        <v>0</v>
      </c>
      <c r="BS21" s="787">
        <v>19482</v>
      </c>
      <c r="BT21" s="787">
        <v>0</v>
      </c>
      <c r="BU21" s="787">
        <v>0</v>
      </c>
      <c r="BV21" s="787">
        <v>0</v>
      </c>
      <c r="BW21" s="787">
        <v>0</v>
      </c>
      <c r="BX21" s="787">
        <v>0</v>
      </c>
      <c r="BY21" s="787">
        <v>0</v>
      </c>
      <c r="BZ21" s="787">
        <v>19482</v>
      </c>
      <c r="CA21" s="787">
        <v>12725.869999999999</v>
      </c>
      <c r="CB21" s="787">
        <v>-12725.75</v>
      </c>
      <c r="CC21" s="787">
        <v>0.11999999999898137</v>
      </c>
      <c r="CD21" s="787">
        <v>0</v>
      </c>
      <c r="CE21" s="787">
        <v>0</v>
      </c>
      <c r="CF21" s="787">
        <v>0</v>
      </c>
      <c r="CG21" s="787">
        <v>0</v>
      </c>
      <c r="CH21" s="787">
        <v>0</v>
      </c>
      <c r="CI21" s="787">
        <v>0</v>
      </c>
      <c r="CJ21" s="787">
        <v>0</v>
      </c>
      <c r="CK21" s="787">
        <v>0</v>
      </c>
      <c r="CL21" s="787">
        <v>0</v>
      </c>
      <c r="CM21" s="787">
        <v>0</v>
      </c>
      <c r="CN21" s="787">
        <v>-247403.89550845773</v>
      </c>
      <c r="CO21" s="787">
        <v>0.11999999999898101</v>
      </c>
      <c r="CP21" s="787">
        <v>0</v>
      </c>
      <c r="CQ21" s="787">
        <v>0</v>
      </c>
      <c r="CR21" s="787">
        <v>-247403.77550845774</v>
      </c>
      <c r="CS21" s="787">
        <v>284677.39</v>
      </c>
      <c r="CT21" s="787">
        <v>0</v>
      </c>
      <c r="CU21" s="787">
        <v>0</v>
      </c>
      <c r="CV21" s="787">
        <v>284677.39</v>
      </c>
      <c r="CW21" s="787">
        <v>0</v>
      </c>
      <c r="CX21" s="787">
        <v>6741.67</v>
      </c>
      <c r="CY21" s="787">
        <v>1378.31</v>
      </c>
      <c r="CZ21" s="787">
        <v>0</v>
      </c>
      <c r="DA21" s="787">
        <v>0</v>
      </c>
      <c r="DB21" s="787">
        <v>292797.37</v>
      </c>
      <c r="DC21" s="787">
        <v>0</v>
      </c>
      <c r="DD21" s="787">
        <v>0</v>
      </c>
      <c r="DE21" s="787">
        <v>0</v>
      </c>
      <c r="DF21" s="787">
        <v>0</v>
      </c>
      <c r="DG21" s="787"/>
      <c r="DH21" s="787"/>
      <c r="DI21" s="787"/>
      <c r="DJ21" s="787">
        <v>-338421.73</v>
      </c>
      <c r="DK21" s="787">
        <v>-338421.73</v>
      </c>
      <c r="DL21" s="787">
        <v>0</v>
      </c>
      <c r="DM21" s="787">
        <v>0</v>
      </c>
      <c r="DN21" s="787">
        <v>0</v>
      </c>
      <c r="DO21" s="787">
        <v>0</v>
      </c>
      <c r="DP21" s="787">
        <v>-201779.77</v>
      </c>
      <c r="DQ21" s="787">
        <v>0</v>
      </c>
      <c r="DR21" s="787">
        <v>0</v>
      </c>
      <c r="DS21" s="787">
        <v>0</v>
      </c>
      <c r="DT21" s="787">
        <v>-201779.77</v>
      </c>
      <c r="DU21" s="787">
        <v>0</v>
      </c>
      <c r="DV21" s="787">
        <v>0</v>
      </c>
      <c r="DW21" s="787">
        <v>0</v>
      </c>
      <c r="DX21" s="787">
        <v>0</v>
      </c>
      <c r="DY21" s="787">
        <v>0</v>
      </c>
      <c r="DZ21" s="787">
        <v>0</v>
      </c>
      <c r="EA21" s="787">
        <v>0.35449154223897494</v>
      </c>
      <c r="EE21">
        <f>_xlfn.XLOOKUP(C21,'[1]Cfwd Analysis'!$C:$C,'[1]Cfwd Analysis'!$I:$I,0,0)</f>
        <v>-247403.89550845773</v>
      </c>
      <c r="EF21" s="788">
        <f t="shared" si="0"/>
        <v>0</v>
      </c>
    </row>
    <row r="22" spans="1:136" ht="15.6" hidden="1">
      <c r="A22" s="782" t="s">
        <v>1312</v>
      </c>
      <c r="B22" s="782" t="s">
        <v>880</v>
      </c>
      <c r="C22" s="783">
        <v>2456</v>
      </c>
      <c r="D22" s="784" t="s">
        <v>881</v>
      </c>
      <c r="E22" s="785" t="s">
        <v>521</v>
      </c>
      <c r="F22" s="786">
        <v>46091</v>
      </c>
      <c r="G22" s="785" t="s">
        <v>5</v>
      </c>
      <c r="H22" s="785" t="s">
        <v>890</v>
      </c>
      <c r="I22" s="787">
        <v>1371481.1628200002</v>
      </c>
      <c r="J22" s="787">
        <v>0</v>
      </c>
      <c r="K22" s="787">
        <v>117973.5</v>
      </c>
      <c r="L22" s="787">
        <v>0</v>
      </c>
      <c r="M22" s="787">
        <v>124545</v>
      </c>
      <c r="N22" s="787">
        <v>43280</v>
      </c>
      <c r="O22" s="787">
        <v>0</v>
      </c>
      <c r="P22" s="787">
        <v>0</v>
      </c>
      <c r="Q22" s="787">
        <v>12119.74</v>
      </c>
      <c r="R22" s="787">
        <v>0</v>
      </c>
      <c r="S22" s="787">
        <v>0</v>
      </c>
      <c r="T22" s="787">
        <v>0</v>
      </c>
      <c r="U22" s="787">
        <v>29829.200000000001</v>
      </c>
      <c r="V22" s="787">
        <v>19404.79</v>
      </c>
      <c r="W22" s="787">
        <v>0</v>
      </c>
      <c r="X22" s="787">
        <v>1718633.3928200002</v>
      </c>
      <c r="Y22" s="787">
        <v>717946.23</v>
      </c>
      <c r="Z22" s="787">
        <v>0</v>
      </c>
      <c r="AA22" s="787">
        <v>248593.44999999998</v>
      </c>
      <c r="AB22" s="787">
        <v>78064.23</v>
      </c>
      <c r="AC22" s="787">
        <v>151730.85999999999</v>
      </c>
      <c r="AD22" s="787">
        <v>44872.119999999995</v>
      </c>
      <c r="AE22" s="787">
        <v>33948.979999999996</v>
      </c>
      <c r="AF22" s="787">
        <v>2436.8000000000002</v>
      </c>
      <c r="AG22" s="787">
        <v>1230.6600000000001</v>
      </c>
      <c r="AH22" s="787">
        <v>0</v>
      </c>
      <c r="AI22" s="787">
        <v>0</v>
      </c>
      <c r="AJ22" s="787">
        <v>4953.88</v>
      </c>
      <c r="AK22" s="787">
        <v>0</v>
      </c>
      <c r="AL22" s="787">
        <v>1996.19</v>
      </c>
      <c r="AM22" s="787">
        <v>4148.5200000000004</v>
      </c>
      <c r="AN22" s="787">
        <v>29342.23</v>
      </c>
      <c r="AO22" s="787">
        <v>43724.74</v>
      </c>
      <c r="AP22" s="787">
        <v>10156.09</v>
      </c>
      <c r="AQ22" s="787">
        <v>77628.679999999993</v>
      </c>
      <c r="AR22" s="787">
        <v>0</v>
      </c>
      <c r="AS22" s="787">
        <v>0</v>
      </c>
      <c r="AT22" s="787">
        <v>2051.87</v>
      </c>
      <c r="AU22" s="787">
        <v>0</v>
      </c>
      <c r="AV22" s="787">
        <v>0</v>
      </c>
      <c r="AW22" s="787">
        <v>62.5</v>
      </c>
      <c r="AX22" s="787">
        <v>0</v>
      </c>
      <c r="AY22" s="787">
        <v>0</v>
      </c>
      <c r="AZ22" s="787">
        <v>35503.129999999997</v>
      </c>
      <c r="BA22" s="787">
        <v>5427</v>
      </c>
      <c r="BB22" s="787">
        <v>1150</v>
      </c>
      <c r="BC22" s="787">
        <v>29670.1</v>
      </c>
      <c r="BD22" s="787">
        <v>7290</v>
      </c>
      <c r="BE22" s="787">
        <v>52253.810000000005</v>
      </c>
      <c r="BF22" s="787">
        <v>69808</v>
      </c>
      <c r="BG22" s="787">
        <v>0</v>
      </c>
      <c r="BH22" s="787">
        <v>0</v>
      </c>
      <c r="BI22" s="787">
        <v>0</v>
      </c>
      <c r="BJ22" s="787">
        <v>1653990.07</v>
      </c>
      <c r="BK22" s="787">
        <v>-148547.98000000091</v>
      </c>
      <c r="BL22" s="787">
        <v>64643.322820000118</v>
      </c>
      <c r="BM22" s="787">
        <v>-83904.657180000795</v>
      </c>
      <c r="BN22" s="787">
        <v>27438</v>
      </c>
      <c r="BO22" s="787">
        <v>0</v>
      </c>
      <c r="BP22" s="787">
        <v>0</v>
      </c>
      <c r="BQ22" s="787">
        <v>27438</v>
      </c>
      <c r="BR22" s="787">
        <v>8830.2000000000007</v>
      </c>
      <c r="BS22" s="787">
        <v>0</v>
      </c>
      <c r="BT22" s="787">
        <v>0</v>
      </c>
      <c r="BU22" s="787">
        <v>0</v>
      </c>
      <c r="BV22" s="787">
        <v>0</v>
      </c>
      <c r="BW22" s="787">
        <v>0</v>
      </c>
      <c r="BX22" s="787">
        <v>0</v>
      </c>
      <c r="BY22" s="787">
        <v>0</v>
      </c>
      <c r="BZ22" s="787">
        <v>8830.2000000000007</v>
      </c>
      <c r="CA22" s="787">
        <v>4030.2699999999995</v>
      </c>
      <c r="CB22" s="787">
        <v>18607.8</v>
      </c>
      <c r="CC22" s="787">
        <v>22638.07</v>
      </c>
      <c r="CD22" s="787">
        <v>0</v>
      </c>
      <c r="CE22" s="787">
        <v>0</v>
      </c>
      <c r="CF22" s="787">
        <v>0</v>
      </c>
      <c r="CG22" s="787">
        <v>0</v>
      </c>
      <c r="CH22" s="787">
        <v>0</v>
      </c>
      <c r="CI22" s="787">
        <v>0</v>
      </c>
      <c r="CJ22" s="787">
        <v>0</v>
      </c>
      <c r="CK22" s="787">
        <v>0</v>
      </c>
      <c r="CL22" s="787">
        <v>0</v>
      </c>
      <c r="CM22" s="787">
        <v>0</v>
      </c>
      <c r="CN22" s="787">
        <v>-83904.657180000795</v>
      </c>
      <c r="CO22" s="787">
        <v>8830.2000000000007</v>
      </c>
      <c r="CP22" s="787">
        <v>13807.869999999999</v>
      </c>
      <c r="CQ22" s="787">
        <v>0</v>
      </c>
      <c r="CR22" s="787">
        <v>-61266.587180000803</v>
      </c>
      <c r="CS22" s="787">
        <v>116583.48</v>
      </c>
      <c r="CT22" s="787">
        <v>26935.119999999999</v>
      </c>
      <c r="CU22" s="787">
        <v>0</v>
      </c>
      <c r="CV22" s="787">
        <v>89648.36</v>
      </c>
      <c r="CW22" s="787">
        <v>-250</v>
      </c>
      <c r="CX22" s="787">
        <v>9323.61</v>
      </c>
      <c r="CY22" s="787">
        <v>4028.76</v>
      </c>
      <c r="CZ22" s="787">
        <v>0</v>
      </c>
      <c r="DA22" s="787">
        <v>0</v>
      </c>
      <c r="DB22" s="787">
        <v>102750.73</v>
      </c>
      <c r="DC22" s="787">
        <v>0</v>
      </c>
      <c r="DD22" s="787">
        <v>0</v>
      </c>
      <c r="DE22" s="787">
        <v>0</v>
      </c>
      <c r="DF22" s="787">
        <v>0</v>
      </c>
      <c r="DG22" s="787"/>
      <c r="DH22" s="787"/>
      <c r="DI22" s="787"/>
      <c r="DJ22" s="787">
        <v>0</v>
      </c>
      <c r="DK22" s="787">
        <v>0</v>
      </c>
      <c r="DL22" s="787">
        <v>0</v>
      </c>
      <c r="DM22" s="787">
        <v>0</v>
      </c>
      <c r="DN22" s="787">
        <v>0</v>
      </c>
      <c r="DO22" s="787">
        <v>0</v>
      </c>
      <c r="DP22" s="787">
        <v>-139870.64000000001</v>
      </c>
      <c r="DQ22" s="787">
        <v>0</v>
      </c>
      <c r="DR22" s="787">
        <v>0</v>
      </c>
      <c r="DS22" s="787">
        <v>0</v>
      </c>
      <c r="DT22" s="787">
        <v>-139870.64000000001</v>
      </c>
      <c r="DU22" s="787">
        <v>0</v>
      </c>
      <c r="DV22" s="787">
        <v>0</v>
      </c>
      <c r="DW22" s="787">
        <v>0</v>
      </c>
      <c r="DX22" s="787">
        <v>0</v>
      </c>
      <c r="DY22" s="787">
        <v>0</v>
      </c>
      <c r="DZ22" s="787">
        <v>-24146.25</v>
      </c>
      <c r="EA22" s="787">
        <v>-0.42718000078457408</v>
      </c>
      <c r="EE22">
        <f>_xlfn.XLOOKUP(C22,'[1]Cfwd Analysis'!$C:$C,'[1]Cfwd Analysis'!$I:$I,0,0)</f>
        <v>-83904.657180000795</v>
      </c>
      <c r="EF22" s="788">
        <f t="shared" si="0"/>
        <v>0</v>
      </c>
    </row>
    <row r="23" spans="1:136" ht="15.6" hidden="1">
      <c r="A23" s="782" t="s">
        <v>1313</v>
      </c>
      <c r="B23" s="782" t="s">
        <v>562</v>
      </c>
      <c r="C23" s="783">
        <v>5413</v>
      </c>
      <c r="D23" s="784" t="s">
        <v>563</v>
      </c>
      <c r="E23" s="785" t="s">
        <v>521</v>
      </c>
      <c r="F23" s="786">
        <v>46092</v>
      </c>
      <c r="G23" s="785" t="s">
        <v>5</v>
      </c>
      <c r="H23" s="785" t="s">
        <v>575</v>
      </c>
      <c r="I23" s="787">
        <v>7581383.8208234208</v>
      </c>
      <c r="J23" s="787">
        <v>1640937.4366666661</v>
      </c>
      <c r="K23" s="787">
        <v>130252.50333333331</v>
      </c>
      <c r="L23" s="787">
        <v>0</v>
      </c>
      <c r="M23" s="787">
        <v>420215</v>
      </c>
      <c r="N23" s="787">
        <v>25785.48</v>
      </c>
      <c r="O23" s="787">
        <v>767</v>
      </c>
      <c r="P23" s="787">
        <v>0</v>
      </c>
      <c r="Q23" s="787">
        <v>3888391</v>
      </c>
      <c r="R23" s="787">
        <v>287905</v>
      </c>
      <c r="S23" s="787">
        <v>0</v>
      </c>
      <c r="T23" s="787">
        <v>0</v>
      </c>
      <c r="U23" s="787">
        <v>163720</v>
      </c>
      <c r="V23" s="787">
        <v>2000</v>
      </c>
      <c r="W23" s="787">
        <v>0</v>
      </c>
      <c r="X23" s="787">
        <v>14141357.240823422</v>
      </c>
      <c r="Y23" s="787">
        <v>7255310</v>
      </c>
      <c r="Z23" s="787">
        <v>0</v>
      </c>
      <c r="AA23" s="787">
        <v>747894</v>
      </c>
      <c r="AB23" s="787">
        <v>489772</v>
      </c>
      <c r="AC23" s="787">
        <v>1440454</v>
      </c>
      <c r="AD23" s="787">
        <v>297990</v>
      </c>
      <c r="AE23" s="787">
        <v>46000</v>
      </c>
      <c r="AF23" s="787">
        <v>0</v>
      </c>
      <c r="AG23" s="787">
        <v>14093</v>
      </c>
      <c r="AH23" s="787">
        <v>0</v>
      </c>
      <c r="AI23" s="787">
        <v>0</v>
      </c>
      <c r="AJ23" s="787">
        <v>109831</v>
      </c>
      <c r="AK23" s="787">
        <v>0</v>
      </c>
      <c r="AL23" s="787">
        <v>17704</v>
      </c>
      <c r="AM23" s="787">
        <v>14408</v>
      </c>
      <c r="AN23" s="787">
        <v>201639</v>
      </c>
      <c r="AO23" s="787">
        <v>87604.229999999981</v>
      </c>
      <c r="AP23" s="787">
        <v>42066</v>
      </c>
      <c r="AQ23" s="787">
        <v>2183865</v>
      </c>
      <c r="AR23" s="787">
        <v>0</v>
      </c>
      <c r="AS23" s="787">
        <v>0</v>
      </c>
      <c r="AT23" s="787">
        <v>80097</v>
      </c>
      <c r="AU23" s="787">
        <v>0</v>
      </c>
      <c r="AV23" s="787">
        <v>0</v>
      </c>
      <c r="AW23" s="787">
        <v>0</v>
      </c>
      <c r="AX23" s="787">
        <v>0</v>
      </c>
      <c r="AY23" s="787">
        <v>165583</v>
      </c>
      <c r="AZ23" s="787">
        <v>135024</v>
      </c>
      <c r="BA23" s="787">
        <v>39631</v>
      </c>
      <c r="BB23" s="787">
        <v>0</v>
      </c>
      <c r="BC23" s="787">
        <v>235023</v>
      </c>
      <c r="BD23" s="787">
        <v>134111</v>
      </c>
      <c r="BE23" s="787">
        <v>219131.09</v>
      </c>
      <c r="BF23" s="787">
        <v>32565</v>
      </c>
      <c r="BG23" s="787">
        <v>0</v>
      </c>
      <c r="BH23" s="787">
        <v>0</v>
      </c>
      <c r="BI23" s="787">
        <v>53857</v>
      </c>
      <c r="BJ23" s="787">
        <v>14043652.32</v>
      </c>
      <c r="BK23" s="787">
        <v>248128.38000000076</v>
      </c>
      <c r="BL23" s="787">
        <v>97704.920823421329</v>
      </c>
      <c r="BM23" s="787">
        <v>345833.30082342209</v>
      </c>
      <c r="BN23" s="787">
        <v>0</v>
      </c>
      <c r="BO23" s="787">
        <v>0</v>
      </c>
      <c r="BP23" s="787">
        <v>44562</v>
      </c>
      <c r="BQ23" s="787">
        <v>44562</v>
      </c>
      <c r="BR23" s="787">
        <v>0</v>
      </c>
      <c r="BS23" s="787">
        <v>0</v>
      </c>
      <c r="BT23" s="787">
        <v>0</v>
      </c>
      <c r="BU23" s="787">
        <v>0</v>
      </c>
      <c r="BV23" s="787">
        <v>0</v>
      </c>
      <c r="BW23" s="787">
        <v>44562</v>
      </c>
      <c r="BX23" s="787">
        <v>0</v>
      </c>
      <c r="BY23" s="787">
        <v>0</v>
      </c>
      <c r="BZ23" s="787">
        <v>44562</v>
      </c>
      <c r="CA23" s="787">
        <v>0</v>
      </c>
      <c r="CB23" s="787">
        <v>0</v>
      </c>
      <c r="CC23" s="787">
        <v>0</v>
      </c>
      <c r="CD23" s="787">
        <v>329788</v>
      </c>
      <c r="CE23" s="787">
        <v>0</v>
      </c>
      <c r="CF23" s="787">
        <v>329788</v>
      </c>
      <c r="CG23" s="787">
        <v>0</v>
      </c>
      <c r="CH23" s="787">
        <v>319401</v>
      </c>
      <c r="CI23" s="787">
        <v>319401</v>
      </c>
      <c r="CJ23" s="787">
        <v>0</v>
      </c>
      <c r="CK23" s="787">
        <v>10387</v>
      </c>
      <c r="CL23" s="787">
        <v>10387</v>
      </c>
      <c r="CM23" s="787">
        <v>345833.30082342209</v>
      </c>
      <c r="CN23" s="787">
        <v>0</v>
      </c>
      <c r="CO23" s="787">
        <v>0</v>
      </c>
      <c r="CP23" s="787">
        <v>0</v>
      </c>
      <c r="CQ23" s="787">
        <v>10387</v>
      </c>
      <c r="CR23" s="787">
        <v>356220.30082342209</v>
      </c>
      <c r="CS23" s="787">
        <v>3250.25</v>
      </c>
      <c r="CT23" s="787">
        <v>51994.79</v>
      </c>
      <c r="CU23" s="787">
        <v>0</v>
      </c>
      <c r="CV23" s="787">
        <v>-48744.54</v>
      </c>
      <c r="CW23" s="787">
        <v>126.37</v>
      </c>
      <c r="CX23" s="787">
        <v>13121.34</v>
      </c>
      <c r="CY23" s="787">
        <v>8122.84</v>
      </c>
      <c r="CZ23" s="787">
        <v>86.43</v>
      </c>
      <c r="DA23" s="787">
        <v>0</v>
      </c>
      <c r="DB23" s="787">
        <v>-27287.56</v>
      </c>
      <c r="DC23" s="787">
        <v>1456403.1099999999</v>
      </c>
      <c r="DD23" s="787">
        <v>0</v>
      </c>
      <c r="DE23" s="787">
        <v>0</v>
      </c>
      <c r="DF23" s="787">
        <v>1456403.1099999999</v>
      </c>
      <c r="DG23" s="787"/>
      <c r="DH23" s="787"/>
      <c r="DI23" s="787"/>
      <c r="DJ23" s="787">
        <v>0</v>
      </c>
      <c r="DK23" s="787">
        <v>1456403.1099999999</v>
      </c>
      <c r="DL23" s="787">
        <v>329788</v>
      </c>
      <c r="DM23" s="787">
        <v>0</v>
      </c>
      <c r="DN23" s="787">
        <v>0</v>
      </c>
      <c r="DO23" s="787">
        <v>0</v>
      </c>
      <c r="DP23" s="787">
        <v>-337195</v>
      </c>
      <c r="DQ23" s="787">
        <v>0</v>
      </c>
      <c r="DR23" s="787">
        <v>-73233</v>
      </c>
      <c r="DS23" s="787">
        <v>0</v>
      </c>
      <c r="DT23" s="787">
        <v>-80640</v>
      </c>
      <c r="DU23" s="787">
        <v>70721.759999999995</v>
      </c>
      <c r="DV23" s="787">
        <v>0</v>
      </c>
      <c r="DW23" s="787">
        <v>0</v>
      </c>
      <c r="DX23" s="787">
        <v>-3491.9900000000002</v>
      </c>
      <c r="DY23" s="787">
        <v>0</v>
      </c>
      <c r="DZ23" s="787">
        <v>-1059484.8400000001</v>
      </c>
      <c r="EA23" s="787">
        <v>-0.17917657765792683</v>
      </c>
      <c r="EE23">
        <f>_xlfn.XLOOKUP(C23,'[1]Cfwd Analysis'!$C:$C,'[1]Cfwd Analysis'!$I:$I,0,0)</f>
        <v>345833.30082342209</v>
      </c>
      <c r="EF23" s="788">
        <f t="shared" si="0"/>
        <v>0</v>
      </c>
    </row>
    <row r="24" spans="1:136" ht="15.6" hidden="1">
      <c r="A24" s="782" t="s">
        <v>1314</v>
      </c>
      <c r="B24" s="782" t="s">
        <v>882</v>
      </c>
      <c r="C24" s="783">
        <v>2254</v>
      </c>
      <c r="D24" s="784" t="s">
        <v>883</v>
      </c>
      <c r="E24" s="785" t="s">
        <v>521</v>
      </c>
      <c r="F24" s="786" t="s">
        <v>1315</v>
      </c>
      <c r="G24" s="785" t="s">
        <v>5</v>
      </c>
      <c r="H24" s="785" t="s">
        <v>892</v>
      </c>
      <c r="I24" s="787">
        <v>3421343.5844809846</v>
      </c>
      <c r="J24" s="787">
        <v>0</v>
      </c>
      <c r="K24" s="787">
        <v>248180</v>
      </c>
      <c r="L24" s="787">
        <v>0</v>
      </c>
      <c r="M24" s="787">
        <v>384410</v>
      </c>
      <c r="N24" s="787">
        <v>62644</v>
      </c>
      <c r="O24" s="787">
        <v>4700</v>
      </c>
      <c r="P24" s="787">
        <v>0</v>
      </c>
      <c r="Q24" s="787">
        <v>114934.77</v>
      </c>
      <c r="R24" s="787">
        <v>0</v>
      </c>
      <c r="S24" s="787">
        <v>0</v>
      </c>
      <c r="T24" s="787">
        <v>0</v>
      </c>
      <c r="U24" s="787">
        <v>5400.6</v>
      </c>
      <c r="V24" s="787">
        <v>0</v>
      </c>
      <c r="W24" s="787">
        <v>0</v>
      </c>
      <c r="X24" s="787">
        <v>4241612.9544809842</v>
      </c>
      <c r="Y24" s="787">
        <v>1785430.63</v>
      </c>
      <c r="Z24" s="787">
        <v>0</v>
      </c>
      <c r="AA24" s="787">
        <v>763987.37000000011</v>
      </c>
      <c r="AB24" s="787">
        <v>0</v>
      </c>
      <c r="AC24" s="787">
        <v>190761.04</v>
      </c>
      <c r="AD24" s="787">
        <v>0</v>
      </c>
      <c r="AE24" s="787">
        <v>145038.79</v>
      </c>
      <c r="AF24" s="787">
        <v>16660.68</v>
      </c>
      <c r="AG24" s="787">
        <v>7506.95</v>
      </c>
      <c r="AH24" s="787">
        <v>0</v>
      </c>
      <c r="AI24" s="787">
        <v>0</v>
      </c>
      <c r="AJ24" s="787">
        <v>748.82</v>
      </c>
      <c r="AK24" s="787">
        <v>1560</v>
      </c>
      <c r="AL24" s="787">
        <v>656.99</v>
      </c>
      <c r="AM24" s="787">
        <v>15845.77</v>
      </c>
      <c r="AN24" s="787">
        <v>69117</v>
      </c>
      <c r="AO24" s="787">
        <v>79170.73</v>
      </c>
      <c r="AP24" s="787">
        <v>21731.78</v>
      </c>
      <c r="AQ24" s="787">
        <v>28564.81</v>
      </c>
      <c r="AR24" s="787">
        <v>26789.66</v>
      </c>
      <c r="AS24" s="787">
        <v>0</v>
      </c>
      <c r="AT24" s="787">
        <v>5542.11</v>
      </c>
      <c r="AU24" s="787">
        <v>19587.63</v>
      </c>
      <c r="AV24" s="787">
        <v>8221.619999999999</v>
      </c>
      <c r="AW24" s="787">
        <v>0</v>
      </c>
      <c r="AX24" s="787">
        <v>0</v>
      </c>
      <c r="AY24" s="787">
        <v>0</v>
      </c>
      <c r="AZ24" s="787">
        <v>8513.6299999999992</v>
      </c>
      <c r="BA24" s="787">
        <v>13559.75</v>
      </c>
      <c r="BB24" s="787">
        <v>0</v>
      </c>
      <c r="BC24" s="787">
        <v>213488.22</v>
      </c>
      <c r="BD24" s="787">
        <v>396150.5</v>
      </c>
      <c r="BE24" s="787">
        <v>26427.409999999996</v>
      </c>
      <c r="BF24" s="787">
        <v>237015.38</v>
      </c>
      <c r="BG24" s="787">
        <v>203861.14</v>
      </c>
      <c r="BH24" s="787">
        <v>0</v>
      </c>
      <c r="BI24" s="787">
        <v>0</v>
      </c>
      <c r="BJ24" s="787">
        <v>4285938.41</v>
      </c>
      <c r="BK24" s="787">
        <v>-1491332.2199999972</v>
      </c>
      <c r="BL24" s="787">
        <v>-44325.455519015901</v>
      </c>
      <c r="BM24" s="787">
        <v>-1535657.6755190131</v>
      </c>
      <c r="BN24" s="787">
        <v>10052.5</v>
      </c>
      <c r="BO24" s="787">
        <v>0</v>
      </c>
      <c r="BP24" s="787">
        <v>0</v>
      </c>
      <c r="BQ24" s="787">
        <v>10052.5</v>
      </c>
      <c r="BR24" s="787">
        <v>0</v>
      </c>
      <c r="BS24" s="787">
        <v>0</v>
      </c>
      <c r="BT24" s="787">
        <v>0</v>
      </c>
      <c r="BU24" s="787">
        <v>0</v>
      </c>
      <c r="BV24" s="787">
        <v>0</v>
      </c>
      <c r="BW24" s="787">
        <v>0</v>
      </c>
      <c r="BX24" s="787">
        <v>9595.5</v>
      </c>
      <c r="BY24" s="787">
        <v>0</v>
      </c>
      <c r="BZ24" s="787">
        <v>9595.5</v>
      </c>
      <c r="CA24" s="787">
        <v>10300</v>
      </c>
      <c r="CB24" s="787">
        <v>457</v>
      </c>
      <c r="CC24" s="787">
        <v>10757</v>
      </c>
      <c r="CD24" s="787">
        <v>0</v>
      </c>
      <c r="CE24" s="787">
        <v>0</v>
      </c>
      <c r="CF24" s="787">
        <v>0</v>
      </c>
      <c r="CG24" s="787">
        <v>0</v>
      </c>
      <c r="CH24" s="787">
        <v>0</v>
      </c>
      <c r="CI24" s="787">
        <v>0</v>
      </c>
      <c r="CJ24" s="787">
        <v>0</v>
      </c>
      <c r="CK24" s="787">
        <v>0</v>
      </c>
      <c r="CL24" s="787">
        <v>0</v>
      </c>
      <c r="CM24" s="787">
        <v>0</v>
      </c>
      <c r="CN24" s="787">
        <v>-1535657.6755190131</v>
      </c>
      <c r="CO24" s="787">
        <v>10757</v>
      </c>
      <c r="CP24" s="787">
        <v>0</v>
      </c>
      <c r="CQ24" s="787">
        <v>0</v>
      </c>
      <c r="CR24" s="787">
        <v>-1524900.6755190131</v>
      </c>
      <c r="CS24" s="787">
        <v>-1236427.3999999999</v>
      </c>
      <c r="CT24" s="787">
        <v>24219.89</v>
      </c>
      <c r="CU24" s="787">
        <v>0</v>
      </c>
      <c r="CV24" s="787">
        <v>-1260647.2899999998</v>
      </c>
      <c r="CW24" s="787">
        <v>0</v>
      </c>
      <c r="CX24" s="787">
        <v>0</v>
      </c>
      <c r="CY24" s="787">
        <v>21427.55</v>
      </c>
      <c r="CZ24" s="787">
        <v>27281.35</v>
      </c>
      <c r="DA24" s="787">
        <v>0</v>
      </c>
      <c r="DB24" s="787">
        <v>-1211938.3899999997</v>
      </c>
      <c r="DC24" s="787">
        <v>0</v>
      </c>
      <c r="DD24" s="787">
        <v>0</v>
      </c>
      <c r="DE24" s="787">
        <v>0</v>
      </c>
      <c r="DF24" s="787">
        <v>0</v>
      </c>
      <c r="DG24" s="787"/>
      <c r="DH24" s="787"/>
      <c r="DI24" s="787"/>
      <c r="DJ24" s="787">
        <v>0</v>
      </c>
      <c r="DK24" s="787">
        <v>0</v>
      </c>
      <c r="DL24" s="787">
        <v>0</v>
      </c>
      <c r="DM24" s="787">
        <v>0</v>
      </c>
      <c r="DN24" s="787">
        <v>0</v>
      </c>
      <c r="DO24" s="787">
        <v>0</v>
      </c>
      <c r="DP24" s="787">
        <v>-255988.34</v>
      </c>
      <c r="DQ24" s="787">
        <v>-56974.21</v>
      </c>
      <c r="DR24" s="787">
        <v>0</v>
      </c>
      <c r="DS24" s="787">
        <v>0</v>
      </c>
      <c r="DT24" s="787">
        <v>-312962.55</v>
      </c>
      <c r="DU24" s="787">
        <v>0</v>
      </c>
      <c r="DV24" s="787">
        <v>0</v>
      </c>
      <c r="DW24" s="787">
        <v>0</v>
      </c>
      <c r="DX24" s="787">
        <v>0</v>
      </c>
      <c r="DY24" s="787">
        <v>0</v>
      </c>
      <c r="DZ24" s="787">
        <v>0</v>
      </c>
      <c r="EA24" s="787">
        <v>0.26448098663240671</v>
      </c>
      <c r="EE24">
        <f>_xlfn.XLOOKUP(C24,'[1]Cfwd Analysis'!$C:$C,'[1]Cfwd Analysis'!$I:$I,0,0)</f>
        <v>-1535657.6755190131</v>
      </c>
      <c r="EF24" s="788">
        <f t="shared" si="0"/>
        <v>0</v>
      </c>
    </row>
    <row r="25" spans="1:136" ht="15.6" hidden="1">
      <c r="A25" s="782" t="s">
        <v>1316</v>
      </c>
      <c r="B25" s="782" t="s">
        <v>565</v>
      </c>
      <c r="C25" s="783">
        <v>1025</v>
      </c>
      <c r="D25" s="784" t="s">
        <v>566</v>
      </c>
      <c r="E25" s="785" t="s">
        <v>521</v>
      </c>
      <c r="F25" s="786">
        <v>46094</v>
      </c>
      <c r="G25" s="785" t="s">
        <v>5</v>
      </c>
      <c r="H25" s="785" t="s">
        <v>577</v>
      </c>
      <c r="I25" s="787">
        <v>873006.20387678547</v>
      </c>
      <c r="J25" s="787">
        <v>0</v>
      </c>
      <c r="K25" s="787">
        <v>105628.74112963988</v>
      </c>
      <c r="L25" s="787">
        <v>0</v>
      </c>
      <c r="M25" s="787">
        <v>0</v>
      </c>
      <c r="N25" s="787">
        <v>214201</v>
      </c>
      <c r="O25" s="787">
        <v>0</v>
      </c>
      <c r="P25" s="787">
        <v>13800</v>
      </c>
      <c r="Q25" s="787">
        <v>78367.860720000011</v>
      </c>
      <c r="R25" s="787">
        <v>1775</v>
      </c>
      <c r="S25" s="787">
        <v>0</v>
      </c>
      <c r="T25" s="787">
        <v>0</v>
      </c>
      <c r="U25" s="787">
        <v>14619</v>
      </c>
      <c r="V25" s="787">
        <v>0</v>
      </c>
      <c r="W25" s="787">
        <v>0</v>
      </c>
      <c r="X25" s="787">
        <v>1301397.8057264255</v>
      </c>
      <c r="Y25" s="787">
        <v>249559.07</v>
      </c>
      <c r="Z25" s="787">
        <v>0</v>
      </c>
      <c r="AA25" s="787">
        <v>275071.76</v>
      </c>
      <c r="AB25" s="787">
        <v>42112.06</v>
      </c>
      <c r="AC25" s="787">
        <v>99172.97</v>
      </c>
      <c r="AD25" s="787">
        <v>17676.34</v>
      </c>
      <c r="AE25" s="787">
        <v>0</v>
      </c>
      <c r="AF25" s="787">
        <v>3085.78</v>
      </c>
      <c r="AG25" s="787">
        <v>2569</v>
      </c>
      <c r="AH25" s="787">
        <v>0</v>
      </c>
      <c r="AI25" s="787">
        <v>0</v>
      </c>
      <c r="AJ25" s="787">
        <v>75394</v>
      </c>
      <c r="AK25" s="787">
        <v>5233</v>
      </c>
      <c r="AL25" s="787">
        <v>3578</v>
      </c>
      <c r="AM25" s="787">
        <v>2135</v>
      </c>
      <c r="AN25" s="787">
        <v>12995.08</v>
      </c>
      <c r="AO25" s="787">
        <v>0</v>
      </c>
      <c r="AP25" s="787">
        <v>11394</v>
      </c>
      <c r="AQ25" s="787">
        <v>28428</v>
      </c>
      <c r="AR25" s="787">
        <v>5555</v>
      </c>
      <c r="AS25" s="787">
        <v>0</v>
      </c>
      <c r="AT25" s="787">
        <v>7552</v>
      </c>
      <c r="AU25" s="787">
        <v>0</v>
      </c>
      <c r="AV25" s="787">
        <v>100</v>
      </c>
      <c r="AW25" s="787">
        <v>0</v>
      </c>
      <c r="AX25" s="787">
        <v>7575</v>
      </c>
      <c r="AY25" s="787">
        <v>0</v>
      </c>
      <c r="AZ25" s="787">
        <v>3578.97</v>
      </c>
      <c r="BA25" s="787">
        <v>3291.75</v>
      </c>
      <c r="BB25" s="787">
        <v>0</v>
      </c>
      <c r="BC25" s="787">
        <v>5673</v>
      </c>
      <c r="BD25" s="787">
        <v>0</v>
      </c>
      <c r="BE25" s="787">
        <v>78489</v>
      </c>
      <c r="BF25" s="787">
        <v>448144</v>
      </c>
      <c r="BG25" s="787">
        <v>0</v>
      </c>
      <c r="BH25" s="787">
        <v>500</v>
      </c>
      <c r="BI25" s="787">
        <v>0</v>
      </c>
      <c r="BJ25" s="787">
        <v>1388862.78</v>
      </c>
      <c r="BK25" s="787">
        <v>636711.52000000025</v>
      </c>
      <c r="BL25" s="787">
        <v>-87464.974273574539</v>
      </c>
      <c r="BM25" s="787">
        <v>549246.54572642571</v>
      </c>
      <c r="BN25" s="787">
        <v>4924.75</v>
      </c>
      <c r="BO25" s="787">
        <v>0</v>
      </c>
      <c r="BP25" s="787">
        <v>0</v>
      </c>
      <c r="BQ25" s="787">
        <v>4924.75</v>
      </c>
      <c r="BR25" s="787">
        <v>0</v>
      </c>
      <c r="BS25" s="787">
        <v>0</v>
      </c>
      <c r="BT25" s="787">
        <v>3219.57</v>
      </c>
      <c r="BU25" s="787">
        <v>0</v>
      </c>
      <c r="BV25" s="787">
        <v>0</v>
      </c>
      <c r="BW25" s="787">
        <v>0</v>
      </c>
      <c r="BX25" s="787">
        <v>0</v>
      </c>
      <c r="BY25" s="787">
        <v>0</v>
      </c>
      <c r="BZ25" s="787">
        <v>3219.57</v>
      </c>
      <c r="CA25" s="787">
        <v>27676.25</v>
      </c>
      <c r="CB25" s="787">
        <v>1705.1799999999998</v>
      </c>
      <c r="CC25" s="787">
        <v>29381.43</v>
      </c>
      <c r="CD25" s="787">
        <v>0</v>
      </c>
      <c r="CE25" s="787">
        <v>0</v>
      </c>
      <c r="CF25" s="787">
        <v>0</v>
      </c>
      <c r="CG25" s="787">
        <v>0</v>
      </c>
      <c r="CH25" s="787">
        <v>0</v>
      </c>
      <c r="CI25" s="787">
        <v>0</v>
      </c>
      <c r="CJ25" s="787">
        <v>0</v>
      </c>
      <c r="CK25" s="787">
        <v>0</v>
      </c>
      <c r="CL25" s="787">
        <v>0</v>
      </c>
      <c r="CM25" s="787">
        <v>549246.54572642571</v>
      </c>
      <c r="CN25" s="787">
        <v>0</v>
      </c>
      <c r="CO25" s="787">
        <v>29381.43</v>
      </c>
      <c r="CP25" s="787">
        <v>0</v>
      </c>
      <c r="CQ25" s="787">
        <v>0</v>
      </c>
      <c r="CR25" s="787">
        <v>578627.97572642576</v>
      </c>
      <c r="CS25" s="787">
        <v>633187.52</v>
      </c>
      <c r="CT25" s="787">
        <v>0</v>
      </c>
      <c r="CU25" s="787">
        <v>0</v>
      </c>
      <c r="CV25" s="787">
        <v>633187.52</v>
      </c>
      <c r="CW25" s="787">
        <v>0</v>
      </c>
      <c r="CX25" s="787">
        <v>5976.11</v>
      </c>
      <c r="CY25" s="787">
        <v>3701.53</v>
      </c>
      <c r="CZ25" s="787">
        <v>0</v>
      </c>
      <c r="DA25" s="787">
        <v>0</v>
      </c>
      <c r="DB25" s="787">
        <v>642865.16</v>
      </c>
      <c r="DC25" s="787">
        <v>0</v>
      </c>
      <c r="DD25" s="787">
        <v>0</v>
      </c>
      <c r="DE25" s="787">
        <v>0</v>
      </c>
      <c r="DF25" s="787">
        <v>0</v>
      </c>
      <c r="DG25" s="787"/>
      <c r="DH25" s="787"/>
      <c r="DI25" s="787"/>
      <c r="DJ25" s="787">
        <v>0</v>
      </c>
      <c r="DK25" s="787">
        <v>0</v>
      </c>
      <c r="DL25" s="787">
        <v>6399</v>
      </c>
      <c r="DM25" s="787">
        <v>0</v>
      </c>
      <c r="DN25" s="787">
        <v>0</v>
      </c>
      <c r="DO25" s="787">
        <v>0</v>
      </c>
      <c r="DP25" s="787">
        <v>-70636.06</v>
      </c>
      <c r="DQ25" s="787">
        <v>0</v>
      </c>
      <c r="DR25" s="787">
        <v>0</v>
      </c>
      <c r="DS25" s="787">
        <v>0</v>
      </c>
      <c r="DT25" s="787">
        <v>-64237.06</v>
      </c>
      <c r="DU25" s="787">
        <v>0</v>
      </c>
      <c r="DV25" s="787">
        <v>0</v>
      </c>
      <c r="DW25" s="787">
        <v>0</v>
      </c>
      <c r="DX25" s="787">
        <v>0</v>
      </c>
      <c r="DY25" s="787">
        <v>0</v>
      </c>
      <c r="DZ25" s="787">
        <v>0</v>
      </c>
      <c r="EA25" s="787">
        <v>-0.12427357432898134</v>
      </c>
      <c r="EE25">
        <f>_xlfn.XLOOKUP(C25,'[1]Cfwd Analysis'!$C:$C,'[1]Cfwd Analysis'!$I:$I,0,0)</f>
        <v>549246.54572642571</v>
      </c>
      <c r="EF25" s="788">
        <f t="shared" si="0"/>
        <v>0</v>
      </c>
    </row>
    <row r="26" spans="1:136" ht="15.6" hidden="1">
      <c r="A26" s="782" t="s">
        <v>1317</v>
      </c>
      <c r="B26" s="782" t="s">
        <v>567</v>
      </c>
      <c r="C26" s="783">
        <v>2402</v>
      </c>
      <c r="D26" s="784" t="s">
        <v>568</v>
      </c>
      <c r="E26" s="785" t="s">
        <v>521</v>
      </c>
      <c r="F26" s="786">
        <v>46094</v>
      </c>
      <c r="G26" s="785" t="s">
        <v>5</v>
      </c>
      <c r="H26" s="785" t="s">
        <v>579</v>
      </c>
      <c r="I26" s="787">
        <v>1697211.7823371056</v>
      </c>
      <c r="J26" s="787">
        <v>0</v>
      </c>
      <c r="K26" s="787">
        <v>365512.45333333337</v>
      </c>
      <c r="L26" s="787">
        <v>0</v>
      </c>
      <c r="M26" s="787">
        <v>84455</v>
      </c>
      <c r="N26" s="787">
        <v>124879</v>
      </c>
      <c r="O26" s="787">
        <v>0</v>
      </c>
      <c r="P26" s="787">
        <v>1205</v>
      </c>
      <c r="Q26" s="787">
        <v>95382</v>
      </c>
      <c r="R26" s="787">
        <v>1193.67</v>
      </c>
      <c r="S26" s="787">
        <v>0</v>
      </c>
      <c r="T26" s="787">
        <v>0</v>
      </c>
      <c r="U26" s="787">
        <v>4471.95</v>
      </c>
      <c r="V26" s="787">
        <v>0</v>
      </c>
      <c r="W26" s="787">
        <v>0</v>
      </c>
      <c r="X26" s="787">
        <v>2374310.8556704391</v>
      </c>
      <c r="Y26" s="787">
        <v>1226620.98</v>
      </c>
      <c r="Z26" s="787">
        <v>0</v>
      </c>
      <c r="AA26" s="787">
        <v>643010.13</v>
      </c>
      <c r="AB26" s="787">
        <v>23583.78</v>
      </c>
      <c r="AC26" s="787">
        <v>87854.03</v>
      </c>
      <c r="AD26" s="787">
        <v>0</v>
      </c>
      <c r="AE26" s="787">
        <v>54547.1</v>
      </c>
      <c r="AF26" s="787">
        <v>15925.62</v>
      </c>
      <c r="AG26" s="787">
        <v>5789.94</v>
      </c>
      <c r="AH26" s="787">
        <v>0</v>
      </c>
      <c r="AI26" s="787">
        <v>0</v>
      </c>
      <c r="AJ26" s="787">
        <v>24195.279999999999</v>
      </c>
      <c r="AK26" s="787">
        <v>125</v>
      </c>
      <c r="AL26" s="787">
        <v>30682.23</v>
      </c>
      <c r="AM26" s="787">
        <v>9339.76</v>
      </c>
      <c r="AN26" s="787">
        <v>30264.11</v>
      </c>
      <c r="AO26" s="787">
        <v>18078.900000000005</v>
      </c>
      <c r="AP26" s="787">
        <v>5078.34</v>
      </c>
      <c r="AQ26" s="787">
        <v>23440.18</v>
      </c>
      <c r="AR26" s="787">
        <v>0</v>
      </c>
      <c r="AS26" s="787">
        <v>0</v>
      </c>
      <c r="AT26" s="787">
        <v>1005</v>
      </c>
      <c r="AU26" s="787">
        <v>0</v>
      </c>
      <c r="AV26" s="787">
        <v>0</v>
      </c>
      <c r="AW26" s="787">
        <v>0</v>
      </c>
      <c r="AX26" s="787">
        <v>0</v>
      </c>
      <c r="AY26" s="787">
        <v>0</v>
      </c>
      <c r="AZ26" s="787">
        <v>41293.089999999997</v>
      </c>
      <c r="BA26" s="787">
        <v>5139.75</v>
      </c>
      <c r="BB26" s="787">
        <v>0</v>
      </c>
      <c r="BC26" s="787">
        <v>122922.73</v>
      </c>
      <c r="BD26" s="787">
        <v>154800.15</v>
      </c>
      <c r="BE26" s="787">
        <v>7119.8399999999974</v>
      </c>
      <c r="BF26" s="787">
        <v>120222.39</v>
      </c>
      <c r="BG26" s="787">
        <v>0</v>
      </c>
      <c r="BH26" s="787">
        <v>0</v>
      </c>
      <c r="BI26" s="787">
        <v>0</v>
      </c>
      <c r="BJ26" s="787">
        <v>2651038.3299999996</v>
      </c>
      <c r="BK26" s="787">
        <v>-86751.580000000249</v>
      </c>
      <c r="BL26" s="787">
        <v>-276727.47432956053</v>
      </c>
      <c r="BM26" s="787">
        <v>-363479.05432956078</v>
      </c>
      <c r="BN26" s="787">
        <v>7497.63</v>
      </c>
      <c r="BO26" s="787">
        <v>0</v>
      </c>
      <c r="BP26" s="787">
        <v>0</v>
      </c>
      <c r="BQ26" s="787">
        <v>7497.63</v>
      </c>
      <c r="BR26" s="787">
        <v>0</v>
      </c>
      <c r="BS26" s="787">
        <v>0</v>
      </c>
      <c r="BT26" s="787">
        <v>0</v>
      </c>
      <c r="BU26" s="787">
        <v>0</v>
      </c>
      <c r="BV26" s="787">
        <v>0</v>
      </c>
      <c r="BW26" s="787">
        <v>0</v>
      </c>
      <c r="BX26" s="787">
        <v>0</v>
      </c>
      <c r="BY26" s="787">
        <v>0</v>
      </c>
      <c r="BZ26" s="787">
        <v>0</v>
      </c>
      <c r="CA26" s="787">
        <v>56294.36</v>
      </c>
      <c r="CB26" s="787">
        <v>7497.63</v>
      </c>
      <c r="CC26" s="787">
        <v>63791.99</v>
      </c>
      <c r="CD26" s="787">
        <v>0</v>
      </c>
      <c r="CE26" s="787">
        <v>0</v>
      </c>
      <c r="CF26" s="787">
        <v>0</v>
      </c>
      <c r="CG26" s="787">
        <v>0</v>
      </c>
      <c r="CH26" s="787">
        <v>0</v>
      </c>
      <c r="CI26" s="787">
        <v>0</v>
      </c>
      <c r="CJ26" s="787">
        <v>0</v>
      </c>
      <c r="CK26" s="787">
        <v>0</v>
      </c>
      <c r="CL26" s="787">
        <v>0</v>
      </c>
      <c r="CM26" s="787">
        <v>0</v>
      </c>
      <c r="CN26" s="787">
        <v>-363479.05432956078</v>
      </c>
      <c r="CO26" s="787">
        <v>63791.99</v>
      </c>
      <c r="CP26" s="787">
        <v>0</v>
      </c>
      <c r="CQ26" s="787">
        <v>0</v>
      </c>
      <c r="CR26" s="787">
        <v>-299687.06432956079</v>
      </c>
      <c r="CS26" s="787">
        <v>197948.84</v>
      </c>
      <c r="CT26" s="787">
        <v>50</v>
      </c>
      <c r="CU26" s="787">
        <v>0</v>
      </c>
      <c r="CV26" s="787">
        <v>197898.84</v>
      </c>
      <c r="CW26" s="787">
        <v>0</v>
      </c>
      <c r="CX26" s="787">
        <v>11067.61</v>
      </c>
      <c r="CY26" s="787">
        <v>-5.25</v>
      </c>
      <c r="CZ26" s="787">
        <v>0</v>
      </c>
      <c r="DA26" s="787">
        <v>5472.98</v>
      </c>
      <c r="DB26" s="787">
        <v>214434.18000000002</v>
      </c>
      <c r="DC26" s="787">
        <v>7</v>
      </c>
      <c r="DD26" s="787">
        <v>0</v>
      </c>
      <c r="DE26" s="787">
        <v>0</v>
      </c>
      <c r="DF26" s="787">
        <v>7</v>
      </c>
      <c r="DG26" s="787"/>
      <c r="DH26" s="787"/>
      <c r="DI26" s="787"/>
      <c r="DJ26" s="787">
        <v>-280365.58</v>
      </c>
      <c r="DK26" s="787">
        <v>-280358.58</v>
      </c>
      <c r="DL26" s="787">
        <v>0</v>
      </c>
      <c r="DM26" s="787">
        <v>0</v>
      </c>
      <c r="DN26" s="787">
        <v>0</v>
      </c>
      <c r="DO26" s="787">
        <v>0</v>
      </c>
      <c r="DP26" s="787">
        <v>-200702.1</v>
      </c>
      <c r="DQ26" s="787">
        <v>0</v>
      </c>
      <c r="DR26" s="787">
        <v>0</v>
      </c>
      <c r="DS26" s="787">
        <v>0</v>
      </c>
      <c r="DT26" s="787">
        <v>-200702.1</v>
      </c>
      <c r="DU26" s="787">
        <v>3629.06</v>
      </c>
      <c r="DV26" s="787">
        <v>0</v>
      </c>
      <c r="DW26" s="787">
        <v>0</v>
      </c>
      <c r="DX26" s="787">
        <v>0</v>
      </c>
      <c r="DY26" s="787">
        <v>0</v>
      </c>
      <c r="DZ26" s="787">
        <v>-36689.390000000014</v>
      </c>
      <c r="EA26" s="787">
        <v>-0.23432956077158451</v>
      </c>
      <c r="EC26" s="788">
        <v>63791.99</v>
      </c>
      <c r="EE26">
        <f>_xlfn.XLOOKUP(C26,'[1]Cfwd Analysis'!$C:$C,'[1]Cfwd Analysis'!$I:$I,0,0)</f>
        <v>-363479.05432956078</v>
      </c>
      <c r="EF26" s="788">
        <f t="shared" si="0"/>
        <v>0</v>
      </c>
    </row>
    <row r="27" spans="1:136" ht="15.6" hidden="1">
      <c r="A27" s="782" t="s">
        <v>1318</v>
      </c>
      <c r="B27" s="782" t="s">
        <v>569</v>
      </c>
      <c r="C27" s="783">
        <v>2401</v>
      </c>
      <c r="D27" s="784" t="s">
        <v>570</v>
      </c>
      <c r="E27" s="785" t="s">
        <v>521</v>
      </c>
      <c r="F27" s="786">
        <v>46094</v>
      </c>
      <c r="G27" s="785" t="s">
        <v>5</v>
      </c>
      <c r="H27" s="785" t="s">
        <v>586</v>
      </c>
      <c r="I27" s="787">
        <v>1963417.9999999998</v>
      </c>
      <c r="J27" s="787">
        <v>0</v>
      </c>
      <c r="K27" s="787">
        <v>126227.20000000001</v>
      </c>
      <c r="L27" s="787">
        <v>0</v>
      </c>
      <c r="M27" s="787">
        <v>115055</v>
      </c>
      <c r="N27" s="787">
        <v>20015.93</v>
      </c>
      <c r="O27" s="787">
        <v>0</v>
      </c>
      <c r="P27" s="787">
        <v>8490</v>
      </c>
      <c r="Q27" s="787">
        <v>325789.53000000003</v>
      </c>
      <c r="R27" s="787">
        <v>0</v>
      </c>
      <c r="S27" s="787">
        <v>0</v>
      </c>
      <c r="T27" s="787">
        <v>0</v>
      </c>
      <c r="U27" s="787">
        <v>66532.38</v>
      </c>
      <c r="V27" s="787">
        <v>0</v>
      </c>
      <c r="W27" s="787">
        <v>0</v>
      </c>
      <c r="X27" s="787">
        <v>2625528.04</v>
      </c>
      <c r="Y27" s="787">
        <v>1340073.8500000001</v>
      </c>
      <c r="Z27" s="787">
        <v>0</v>
      </c>
      <c r="AA27" s="787">
        <v>607746.79</v>
      </c>
      <c r="AB27" s="787">
        <v>23584.68</v>
      </c>
      <c r="AC27" s="787">
        <v>114151.14</v>
      </c>
      <c r="AD27" s="787">
        <v>0</v>
      </c>
      <c r="AE27" s="787">
        <v>41363.56</v>
      </c>
      <c r="AF27" s="787">
        <v>9054.4</v>
      </c>
      <c r="AG27" s="787">
        <v>5472.84</v>
      </c>
      <c r="AH27" s="787">
        <v>0</v>
      </c>
      <c r="AI27" s="787">
        <v>0</v>
      </c>
      <c r="AJ27" s="787">
        <v>21460.01</v>
      </c>
      <c r="AK27" s="787">
        <v>2117.5</v>
      </c>
      <c r="AL27" s="787">
        <v>49380.4</v>
      </c>
      <c r="AM27" s="787">
        <v>16503.830000000002</v>
      </c>
      <c r="AN27" s="787">
        <v>60071.979999999996</v>
      </c>
      <c r="AO27" s="787">
        <v>21049</v>
      </c>
      <c r="AP27" s="787">
        <v>14872.75</v>
      </c>
      <c r="AQ27" s="787">
        <v>141141.14000000001</v>
      </c>
      <c r="AR27" s="787">
        <v>0</v>
      </c>
      <c r="AS27" s="787">
        <v>0</v>
      </c>
      <c r="AT27" s="787">
        <v>7114.55</v>
      </c>
      <c r="AU27" s="787">
        <v>0</v>
      </c>
      <c r="AV27" s="787">
        <v>0</v>
      </c>
      <c r="AW27" s="787">
        <v>0</v>
      </c>
      <c r="AX27" s="787">
        <v>0</v>
      </c>
      <c r="AY27" s="787">
        <v>0</v>
      </c>
      <c r="AZ27" s="787">
        <v>6593.5</v>
      </c>
      <c r="BA27" s="787">
        <v>9471</v>
      </c>
      <c r="BB27" s="787">
        <v>0</v>
      </c>
      <c r="BC27" s="787">
        <v>19266.22</v>
      </c>
      <c r="BD27" s="787">
        <v>75457.16</v>
      </c>
      <c r="BE27" s="787">
        <v>9936.48</v>
      </c>
      <c r="BF27" s="787">
        <v>127634.51</v>
      </c>
      <c r="BG27" s="787">
        <v>0</v>
      </c>
      <c r="BH27" s="787">
        <v>0</v>
      </c>
      <c r="BI27" s="787">
        <v>0</v>
      </c>
      <c r="BJ27" s="787">
        <v>2723517.2899999996</v>
      </c>
      <c r="BK27" s="787">
        <v>21873.179999999993</v>
      </c>
      <c r="BL27" s="787">
        <v>-97989.249999999534</v>
      </c>
      <c r="BM27" s="787">
        <v>-76116.069999999541</v>
      </c>
      <c r="BN27" s="787">
        <v>8286.25</v>
      </c>
      <c r="BO27" s="787">
        <v>0</v>
      </c>
      <c r="BP27" s="787">
        <v>0</v>
      </c>
      <c r="BQ27" s="787">
        <v>8286.25</v>
      </c>
      <c r="BR27" s="787">
        <v>0</v>
      </c>
      <c r="BS27" s="787">
        <v>0</v>
      </c>
      <c r="BT27" s="787">
        <v>0</v>
      </c>
      <c r="BU27" s="787">
        <v>0</v>
      </c>
      <c r="BV27" s="787">
        <v>0</v>
      </c>
      <c r="BW27" s="787">
        <v>0</v>
      </c>
      <c r="BX27" s="787">
        <v>0</v>
      </c>
      <c r="BY27" s="787">
        <v>0</v>
      </c>
      <c r="BZ27" s="787">
        <v>0</v>
      </c>
      <c r="CA27" s="787">
        <v>58954.69</v>
      </c>
      <c r="CB27" s="787">
        <v>8286.25</v>
      </c>
      <c r="CC27" s="787">
        <v>67240.94</v>
      </c>
      <c r="CD27" s="787">
        <v>0</v>
      </c>
      <c r="CE27" s="787">
        <v>0</v>
      </c>
      <c r="CF27" s="787">
        <v>0</v>
      </c>
      <c r="CG27" s="787">
        <v>0</v>
      </c>
      <c r="CH27" s="787">
        <v>0</v>
      </c>
      <c r="CI27" s="787">
        <v>0</v>
      </c>
      <c r="CJ27" s="787">
        <v>0</v>
      </c>
      <c r="CK27" s="787">
        <v>0</v>
      </c>
      <c r="CL27" s="787">
        <v>0</v>
      </c>
      <c r="CM27" s="787">
        <v>0</v>
      </c>
      <c r="CN27" s="787">
        <v>-76116.069999999541</v>
      </c>
      <c r="CO27" s="787">
        <v>67240.94</v>
      </c>
      <c r="CP27" s="787">
        <v>0</v>
      </c>
      <c r="CQ27" s="787">
        <v>0</v>
      </c>
      <c r="CR27" s="787">
        <v>-8875.129999999539</v>
      </c>
      <c r="CS27" s="787">
        <v>238431.9</v>
      </c>
      <c r="CT27" s="787">
        <v>74</v>
      </c>
      <c r="CU27" s="787">
        <v>0</v>
      </c>
      <c r="CV27" s="787">
        <v>238357.9</v>
      </c>
      <c r="CW27" s="787">
        <v>0</v>
      </c>
      <c r="CX27" s="787">
        <v>8973.5</v>
      </c>
      <c r="CY27" s="787">
        <v>5683.63</v>
      </c>
      <c r="CZ27" s="787">
        <v>28238</v>
      </c>
      <c r="DA27" s="787">
        <v>8071.83</v>
      </c>
      <c r="DB27" s="787">
        <v>289324.86000000004</v>
      </c>
      <c r="DC27" s="787">
        <v>0</v>
      </c>
      <c r="DD27" s="787">
        <v>0</v>
      </c>
      <c r="DE27" s="787">
        <v>0</v>
      </c>
      <c r="DF27" s="787">
        <v>0</v>
      </c>
      <c r="DG27" s="787"/>
      <c r="DH27" s="787"/>
      <c r="DI27" s="787"/>
      <c r="DJ27" s="787">
        <v>-62100</v>
      </c>
      <c r="DK27" s="787">
        <v>-62100</v>
      </c>
      <c r="DL27" s="787">
        <v>0</v>
      </c>
      <c r="DM27" s="787">
        <v>0</v>
      </c>
      <c r="DN27" s="787">
        <v>0</v>
      </c>
      <c r="DO27" s="787">
        <v>0</v>
      </c>
      <c r="DP27" s="787">
        <v>-200386.37</v>
      </c>
      <c r="DQ27" s="787">
        <v>0</v>
      </c>
      <c r="DR27" s="787">
        <v>0</v>
      </c>
      <c r="DS27" s="787">
        <v>0</v>
      </c>
      <c r="DT27" s="787">
        <v>-200386.37</v>
      </c>
      <c r="DU27" s="787">
        <v>675</v>
      </c>
      <c r="DV27" s="787">
        <v>37.24</v>
      </c>
      <c r="DW27" s="787">
        <v>0</v>
      </c>
      <c r="DX27" s="787">
        <v>0</v>
      </c>
      <c r="DY27" s="787">
        <v>0</v>
      </c>
      <c r="DZ27" s="787">
        <v>-36426.25</v>
      </c>
      <c r="EA27" s="787">
        <v>0.39000000042142347</v>
      </c>
      <c r="EC27" s="788">
        <v>67240.94</v>
      </c>
      <c r="EE27">
        <f>_xlfn.XLOOKUP(C27,'[1]Cfwd Analysis'!$C:$C,'[1]Cfwd Analysis'!$I:$I,0,0)</f>
        <v>-76116.069999999541</v>
      </c>
      <c r="EF27" s="788">
        <f t="shared" si="0"/>
        <v>0</v>
      </c>
    </row>
    <row r="28" spans="1:136" ht="15.6" hidden="1">
      <c r="A28" s="782" t="s">
        <v>1319</v>
      </c>
      <c r="B28" s="782" t="s">
        <v>862</v>
      </c>
      <c r="C28" s="783">
        <v>1001</v>
      </c>
      <c r="D28" s="784" t="s">
        <v>863</v>
      </c>
      <c r="E28" s="785" t="s">
        <v>521</v>
      </c>
      <c r="F28" s="786">
        <v>46094</v>
      </c>
      <c r="G28" s="785" t="s">
        <v>5</v>
      </c>
      <c r="H28" s="785" t="s">
        <v>894</v>
      </c>
      <c r="I28" s="787">
        <v>538535.8611483518</v>
      </c>
      <c r="J28" s="787">
        <v>0</v>
      </c>
      <c r="K28" s="787">
        <v>7662.4963988919662</v>
      </c>
      <c r="L28" s="787">
        <v>0</v>
      </c>
      <c r="M28" s="787">
        <v>0</v>
      </c>
      <c r="N28" s="787">
        <v>3256.93</v>
      </c>
      <c r="O28" s="787">
        <v>0</v>
      </c>
      <c r="P28" s="787">
        <v>0</v>
      </c>
      <c r="Q28" s="787">
        <v>59358.860000000008</v>
      </c>
      <c r="R28" s="787">
        <v>0</v>
      </c>
      <c r="S28" s="787">
        <v>0</v>
      </c>
      <c r="T28" s="787">
        <v>0</v>
      </c>
      <c r="U28" s="787">
        <v>0</v>
      </c>
      <c r="V28" s="787">
        <v>0</v>
      </c>
      <c r="W28" s="787">
        <v>0</v>
      </c>
      <c r="X28" s="787">
        <v>608814.14754724386</v>
      </c>
      <c r="Y28" s="787">
        <v>187681.04</v>
      </c>
      <c r="Z28" s="787">
        <v>0</v>
      </c>
      <c r="AA28" s="787">
        <v>209775.49000000002</v>
      </c>
      <c r="AB28" s="787">
        <v>0</v>
      </c>
      <c r="AC28" s="787">
        <v>49662.1</v>
      </c>
      <c r="AD28" s="787">
        <v>1013.35</v>
      </c>
      <c r="AE28" s="787">
        <v>12941.29</v>
      </c>
      <c r="AF28" s="787">
        <v>1398.82</v>
      </c>
      <c r="AG28" s="787">
        <v>2394</v>
      </c>
      <c r="AH28" s="787">
        <v>0</v>
      </c>
      <c r="AI28" s="787">
        <v>0</v>
      </c>
      <c r="AJ28" s="787">
        <v>12030.34</v>
      </c>
      <c r="AK28" s="787">
        <v>0</v>
      </c>
      <c r="AL28" s="787">
        <v>18824.330000000002</v>
      </c>
      <c r="AM28" s="787">
        <v>2540.64</v>
      </c>
      <c r="AN28" s="787">
        <v>7182.2999999999993</v>
      </c>
      <c r="AO28" s="787">
        <v>0</v>
      </c>
      <c r="AP28" s="787">
        <v>3640.29</v>
      </c>
      <c r="AQ28" s="787">
        <v>5071.1899999999996</v>
      </c>
      <c r="AR28" s="787">
        <v>0</v>
      </c>
      <c r="AS28" s="787">
        <v>0</v>
      </c>
      <c r="AT28" s="787">
        <v>0</v>
      </c>
      <c r="AU28" s="787">
        <v>14207.199999999999</v>
      </c>
      <c r="AV28" s="787">
        <v>0</v>
      </c>
      <c r="AW28" s="787">
        <v>0</v>
      </c>
      <c r="AX28" s="787">
        <v>0</v>
      </c>
      <c r="AY28" s="787">
        <v>0</v>
      </c>
      <c r="AZ28" s="787">
        <v>11179.949999999999</v>
      </c>
      <c r="BA28" s="787">
        <v>6583.5</v>
      </c>
      <c r="BB28" s="787">
        <v>0</v>
      </c>
      <c r="BC28" s="787">
        <v>663.24</v>
      </c>
      <c r="BD28" s="787">
        <v>54957.58</v>
      </c>
      <c r="BE28" s="787">
        <v>0</v>
      </c>
      <c r="BF28" s="787">
        <v>9260.36</v>
      </c>
      <c r="BG28" s="787">
        <v>0</v>
      </c>
      <c r="BH28" s="787">
        <v>0</v>
      </c>
      <c r="BI28" s="787">
        <v>0</v>
      </c>
      <c r="BJ28" s="787">
        <v>611007.00999999989</v>
      </c>
      <c r="BK28" s="787">
        <v>-211961.54999999993</v>
      </c>
      <c r="BL28" s="787">
        <v>-2192.8624527560314</v>
      </c>
      <c r="BM28" s="787">
        <v>-214154.41245275596</v>
      </c>
      <c r="BN28" s="787">
        <v>4573.75</v>
      </c>
      <c r="BO28" s="787">
        <v>0</v>
      </c>
      <c r="BP28" s="787">
        <v>0</v>
      </c>
      <c r="BQ28" s="787">
        <v>4573.75</v>
      </c>
      <c r="BR28" s="787">
        <v>0</v>
      </c>
      <c r="BS28" s="787">
        <v>0</v>
      </c>
      <c r="BT28" s="787">
        <v>0</v>
      </c>
      <c r="BU28" s="787">
        <v>0</v>
      </c>
      <c r="BV28" s="787">
        <v>0</v>
      </c>
      <c r="BW28" s="787">
        <v>0</v>
      </c>
      <c r="BX28" s="787">
        <v>0</v>
      </c>
      <c r="BY28" s="787">
        <v>0</v>
      </c>
      <c r="BZ28" s="787">
        <v>0</v>
      </c>
      <c r="CA28" s="787">
        <v>17836.749999999993</v>
      </c>
      <c r="CB28" s="787">
        <v>4573.75</v>
      </c>
      <c r="CC28" s="787">
        <v>22410.499999999993</v>
      </c>
      <c r="CD28" s="787">
        <v>0</v>
      </c>
      <c r="CE28" s="787">
        <v>0</v>
      </c>
      <c r="CF28" s="787">
        <v>0</v>
      </c>
      <c r="CG28" s="787">
        <v>0</v>
      </c>
      <c r="CH28" s="787">
        <v>0</v>
      </c>
      <c r="CI28" s="787">
        <v>0</v>
      </c>
      <c r="CJ28" s="787">
        <v>0</v>
      </c>
      <c r="CK28" s="787">
        <v>0</v>
      </c>
      <c r="CL28" s="787">
        <v>0</v>
      </c>
      <c r="CM28" s="787">
        <v>0</v>
      </c>
      <c r="CN28" s="787">
        <v>-214154.41245275596</v>
      </c>
      <c r="CO28" s="787">
        <v>22410.5</v>
      </c>
      <c r="CP28" s="787">
        <v>0</v>
      </c>
      <c r="CQ28" s="787">
        <v>0</v>
      </c>
      <c r="CR28" s="787">
        <v>-191743.91245275596</v>
      </c>
      <c r="CS28" s="787">
        <v>-134812.56</v>
      </c>
      <c r="CT28" s="787">
        <v>0</v>
      </c>
      <c r="CU28" s="787">
        <v>0</v>
      </c>
      <c r="CV28" s="787">
        <v>-134812.56</v>
      </c>
      <c r="CW28" s="787">
        <v>0</v>
      </c>
      <c r="CX28" s="787">
        <v>3911.64</v>
      </c>
      <c r="CY28" s="787">
        <v>0</v>
      </c>
      <c r="CZ28" s="787">
        <v>0</v>
      </c>
      <c r="DA28" s="787">
        <v>0</v>
      </c>
      <c r="DB28" s="787">
        <v>-130900.92</v>
      </c>
      <c r="DC28" s="787">
        <v>0</v>
      </c>
      <c r="DD28" s="787">
        <v>0</v>
      </c>
      <c r="DE28" s="787">
        <v>0</v>
      </c>
      <c r="DF28" s="787">
        <v>0</v>
      </c>
      <c r="DG28" s="787"/>
      <c r="DH28" s="787"/>
      <c r="DI28" s="787"/>
      <c r="DJ28" s="787">
        <v>0</v>
      </c>
      <c r="DK28" s="787">
        <v>0</v>
      </c>
      <c r="DL28" s="787">
        <v>0</v>
      </c>
      <c r="DM28" s="787">
        <v>0</v>
      </c>
      <c r="DN28" s="787">
        <v>0</v>
      </c>
      <c r="DO28" s="787">
        <v>0</v>
      </c>
      <c r="DP28" s="787">
        <v>-22590.69</v>
      </c>
      <c r="DQ28" s="787">
        <v>-38252.120000000003</v>
      </c>
      <c r="DR28" s="787">
        <v>0</v>
      </c>
      <c r="DS28" s="787">
        <v>0</v>
      </c>
      <c r="DT28" s="787">
        <v>-60842.81</v>
      </c>
      <c r="DU28" s="787">
        <v>0</v>
      </c>
      <c r="DV28" s="787">
        <v>0</v>
      </c>
      <c r="DW28" s="787">
        <v>0</v>
      </c>
      <c r="DX28" s="787">
        <v>0</v>
      </c>
      <c r="DY28" s="787">
        <v>0</v>
      </c>
      <c r="DZ28" s="787">
        <v>0</v>
      </c>
      <c r="EA28" s="787">
        <v>-0.18245275598019361</v>
      </c>
      <c r="EE28">
        <f>_xlfn.XLOOKUP(C28,'[1]Cfwd Analysis'!$C:$C,'[1]Cfwd Analysis'!$I:$I,0,0)</f>
        <v>-214154.41245275596</v>
      </c>
      <c r="EF28" s="788">
        <f t="shared" si="0"/>
        <v>0</v>
      </c>
    </row>
    <row r="29" spans="1:136" ht="15.6" hidden="1">
      <c r="A29" s="782" t="s">
        <v>1320</v>
      </c>
      <c r="B29" s="782" t="s">
        <v>571</v>
      </c>
      <c r="C29" s="783">
        <v>4115</v>
      </c>
      <c r="D29" s="784" t="s">
        <v>572</v>
      </c>
      <c r="E29" s="785" t="s">
        <v>521</v>
      </c>
      <c r="F29" s="786" t="s">
        <v>1315</v>
      </c>
      <c r="G29" s="785" t="s">
        <v>5</v>
      </c>
      <c r="H29" s="785" t="s">
        <v>588</v>
      </c>
      <c r="I29" s="787">
        <v>5474577.9739160948</v>
      </c>
      <c r="J29" s="787">
        <v>2471040.1566666663</v>
      </c>
      <c r="K29" s="787">
        <v>334860.17666666664</v>
      </c>
      <c r="L29" s="787">
        <v>0</v>
      </c>
      <c r="M29" s="787">
        <v>384850</v>
      </c>
      <c r="N29" s="787">
        <v>16352.75</v>
      </c>
      <c r="O29" s="787">
        <v>2695.1</v>
      </c>
      <c r="P29" s="787">
        <v>21922.82</v>
      </c>
      <c r="Q29" s="787">
        <v>135199.34</v>
      </c>
      <c r="R29" s="787">
        <v>86029.440000000002</v>
      </c>
      <c r="S29" s="787">
        <v>0</v>
      </c>
      <c r="T29" s="787">
        <v>0</v>
      </c>
      <c r="U29" s="787">
        <v>24837.65</v>
      </c>
      <c r="V29" s="787">
        <v>0</v>
      </c>
      <c r="W29" s="787">
        <v>0</v>
      </c>
      <c r="X29" s="787">
        <v>8952365.4072494265</v>
      </c>
      <c r="Y29" s="787">
        <v>4633630.2700000005</v>
      </c>
      <c r="Z29" s="787">
        <v>0</v>
      </c>
      <c r="AA29" s="787">
        <v>1138937.6099999999</v>
      </c>
      <c r="AB29" s="787">
        <v>115060.59</v>
      </c>
      <c r="AC29" s="787">
        <v>713194.4</v>
      </c>
      <c r="AD29" s="787">
        <v>0</v>
      </c>
      <c r="AE29" s="787">
        <v>102845.92</v>
      </c>
      <c r="AF29" s="787">
        <v>56431.09</v>
      </c>
      <c r="AG29" s="787">
        <v>16797.440000000002</v>
      </c>
      <c r="AH29" s="787">
        <v>0</v>
      </c>
      <c r="AI29" s="787">
        <v>0</v>
      </c>
      <c r="AJ29" s="787">
        <v>168043.03</v>
      </c>
      <c r="AK29" s="787">
        <v>6500</v>
      </c>
      <c r="AL29" s="787">
        <v>185658.23</v>
      </c>
      <c r="AM29" s="787">
        <v>15160.84</v>
      </c>
      <c r="AN29" s="787">
        <v>203651.22</v>
      </c>
      <c r="AO29" s="787">
        <v>85961.030000000013</v>
      </c>
      <c r="AP29" s="787">
        <v>31058.799999999999</v>
      </c>
      <c r="AQ29" s="787">
        <v>208996.21</v>
      </c>
      <c r="AR29" s="787">
        <v>0</v>
      </c>
      <c r="AS29" s="787">
        <v>649.98</v>
      </c>
      <c r="AT29" s="787">
        <v>80902.080000000002</v>
      </c>
      <c r="AU29" s="787">
        <v>34251.279999999999</v>
      </c>
      <c r="AV29" s="787">
        <v>0</v>
      </c>
      <c r="AW29" s="787">
        <v>18540.22</v>
      </c>
      <c r="AX29" s="787">
        <v>0</v>
      </c>
      <c r="AY29" s="787">
        <v>163260.99</v>
      </c>
      <c r="AZ29" s="787">
        <v>151026.53</v>
      </c>
      <c r="BA29" s="787">
        <v>19395.300000000003</v>
      </c>
      <c r="BB29" s="787">
        <v>0</v>
      </c>
      <c r="BC29" s="787">
        <v>313579.98</v>
      </c>
      <c r="BD29" s="787">
        <v>280295.93</v>
      </c>
      <c r="BE29" s="787">
        <v>96946.05</v>
      </c>
      <c r="BF29" s="787">
        <v>213674.31</v>
      </c>
      <c r="BG29" s="787">
        <v>0</v>
      </c>
      <c r="BH29" s="787">
        <v>0</v>
      </c>
      <c r="BI29" s="787">
        <v>447772.44</v>
      </c>
      <c r="BJ29" s="787">
        <v>9502221.7700000033</v>
      </c>
      <c r="BK29" s="787">
        <v>2250261.4399999981</v>
      </c>
      <c r="BL29" s="787">
        <v>-549856.36275057681</v>
      </c>
      <c r="BM29" s="787">
        <v>1700405.0772494213</v>
      </c>
      <c r="BN29" s="787">
        <v>22126.560000000001</v>
      </c>
      <c r="BO29" s="787">
        <v>0</v>
      </c>
      <c r="BP29" s="787">
        <v>447772.44</v>
      </c>
      <c r="BQ29" s="787">
        <v>469899</v>
      </c>
      <c r="BR29" s="787">
        <v>0</v>
      </c>
      <c r="BS29" s="787">
        <v>278712.08</v>
      </c>
      <c r="BT29" s="787">
        <v>8920</v>
      </c>
      <c r="BU29" s="787">
        <v>0</v>
      </c>
      <c r="BV29" s="787">
        <v>2279.98</v>
      </c>
      <c r="BW29" s="787">
        <v>0</v>
      </c>
      <c r="BX29" s="787">
        <v>61566.19</v>
      </c>
      <c r="BY29" s="787">
        <v>118420.48</v>
      </c>
      <c r="BZ29" s="787">
        <v>469898.73</v>
      </c>
      <c r="CA29" s="787">
        <v>0</v>
      </c>
      <c r="CB29" s="787">
        <v>0.27000000001862645</v>
      </c>
      <c r="CC29" s="787">
        <v>0.27000000001862645</v>
      </c>
      <c r="CD29" s="787">
        <v>0</v>
      </c>
      <c r="CE29" s="787">
        <v>0</v>
      </c>
      <c r="CF29" s="787">
        <v>0</v>
      </c>
      <c r="CG29" s="787">
        <v>0</v>
      </c>
      <c r="CH29" s="787">
        <v>0</v>
      </c>
      <c r="CI29" s="787">
        <v>0</v>
      </c>
      <c r="CJ29" s="787">
        <v>0</v>
      </c>
      <c r="CK29" s="787">
        <v>0</v>
      </c>
      <c r="CL29" s="787">
        <v>0</v>
      </c>
      <c r="CM29" s="787">
        <v>1700405.0772494213</v>
      </c>
      <c r="CN29" s="787">
        <v>0</v>
      </c>
      <c r="CO29" s="787">
        <v>0.27000000001862601</v>
      </c>
      <c r="CP29" s="787">
        <v>0</v>
      </c>
      <c r="CQ29" s="787">
        <v>0</v>
      </c>
      <c r="CR29" s="787">
        <v>1700405.3472494213</v>
      </c>
      <c r="CS29" s="787">
        <v>899175.67</v>
      </c>
      <c r="CT29" s="787">
        <v>162900.57</v>
      </c>
      <c r="CU29" s="787">
        <v>3183.59</v>
      </c>
      <c r="CV29" s="787">
        <v>739458.69000000006</v>
      </c>
      <c r="CW29" s="787">
        <v>100</v>
      </c>
      <c r="CX29" s="787">
        <v>36689.17</v>
      </c>
      <c r="CY29" s="787">
        <v>8718.06</v>
      </c>
      <c r="CZ29" s="787">
        <v>0</v>
      </c>
      <c r="DA29" s="787">
        <v>0</v>
      </c>
      <c r="DB29" s="787">
        <v>784965.92000000016</v>
      </c>
      <c r="DC29" s="787">
        <v>1548424.75</v>
      </c>
      <c r="DD29" s="787">
        <v>0</v>
      </c>
      <c r="DE29" s="787">
        <v>0</v>
      </c>
      <c r="DF29" s="787">
        <v>1548424.75</v>
      </c>
      <c r="DG29" s="787"/>
      <c r="DH29" s="787"/>
      <c r="DI29" s="787"/>
      <c r="DJ29" s="787">
        <v>0</v>
      </c>
      <c r="DK29" s="787">
        <v>1548424.75</v>
      </c>
      <c r="DL29" s="787">
        <v>0</v>
      </c>
      <c r="DM29" s="787">
        <v>0</v>
      </c>
      <c r="DN29" s="787">
        <v>141397.87</v>
      </c>
      <c r="DO29" s="787">
        <v>0</v>
      </c>
      <c r="DP29" s="787">
        <v>-738877.18</v>
      </c>
      <c r="DQ29" s="787">
        <v>-8199.52</v>
      </c>
      <c r="DR29" s="787">
        <v>-29449.37</v>
      </c>
      <c r="DS29" s="787">
        <v>0</v>
      </c>
      <c r="DT29" s="787">
        <v>-635128.20000000007</v>
      </c>
      <c r="DU29" s="787">
        <v>2710.69</v>
      </c>
      <c r="DV29" s="787">
        <v>0</v>
      </c>
      <c r="DW29" s="787">
        <v>-568.22</v>
      </c>
      <c r="DX29" s="787">
        <v>0</v>
      </c>
      <c r="DY29" s="787">
        <v>0</v>
      </c>
      <c r="DZ29" s="787">
        <v>0</v>
      </c>
      <c r="EA29" s="787">
        <v>0.40724942134693265</v>
      </c>
      <c r="EE29">
        <f>_xlfn.XLOOKUP(C29,'[1]Cfwd Analysis'!$C:$C,'[1]Cfwd Analysis'!$I:$I,0,0)</f>
        <v>1700405.0772494213</v>
      </c>
      <c r="EF29" s="788">
        <f t="shared" si="0"/>
        <v>0</v>
      </c>
    </row>
    <row r="30" spans="1:136" ht="15.6" hidden="1">
      <c r="A30" s="782" t="s">
        <v>1321</v>
      </c>
      <c r="B30" s="782" t="s">
        <v>573</v>
      </c>
      <c r="C30" s="783">
        <v>2030</v>
      </c>
      <c r="D30" s="784" t="s">
        <v>574</v>
      </c>
      <c r="E30" s="785" t="s">
        <v>521</v>
      </c>
      <c r="F30" s="786" t="s">
        <v>1322</v>
      </c>
      <c r="G30" s="785" t="s">
        <v>5</v>
      </c>
      <c r="H30" s="785" t="s">
        <v>590</v>
      </c>
      <c r="I30" s="787">
        <v>3974179.8308746084</v>
      </c>
      <c r="J30" s="787">
        <v>0</v>
      </c>
      <c r="K30" s="787">
        <v>102229.49333333333</v>
      </c>
      <c r="L30" s="787">
        <v>0</v>
      </c>
      <c r="M30" s="787">
        <v>449955</v>
      </c>
      <c r="N30" s="787">
        <v>82885</v>
      </c>
      <c r="O30" s="787">
        <v>0</v>
      </c>
      <c r="P30" s="787">
        <v>0</v>
      </c>
      <c r="Q30" s="787">
        <v>89.54</v>
      </c>
      <c r="R30" s="787">
        <v>23572.61</v>
      </c>
      <c r="S30" s="787">
        <v>0</v>
      </c>
      <c r="T30" s="787">
        <v>0</v>
      </c>
      <c r="U30" s="787">
        <v>18018.439999999999</v>
      </c>
      <c r="V30" s="787">
        <v>5630.81</v>
      </c>
      <c r="W30" s="787">
        <v>0</v>
      </c>
      <c r="X30" s="787">
        <v>4656560.7242079414</v>
      </c>
      <c r="Y30" s="787">
        <v>2158395.0299999998</v>
      </c>
      <c r="Z30" s="787">
        <v>0</v>
      </c>
      <c r="AA30" s="787">
        <v>1089104.8899999999</v>
      </c>
      <c r="AB30" s="787">
        <v>136083</v>
      </c>
      <c r="AC30" s="787">
        <v>177222.45</v>
      </c>
      <c r="AD30" s="787">
        <v>121126.16</v>
      </c>
      <c r="AE30" s="787">
        <v>98639.27</v>
      </c>
      <c r="AF30" s="787">
        <v>19358.5</v>
      </c>
      <c r="AG30" s="787">
        <v>7931.54</v>
      </c>
      <c r="AH30" s="787">
        <v>0</v>
      </c>
      <c r="AI30" s="787">
        <v>0</v>
      </c>
      <c r="AJ30" s="787">
        <v>33026.28</v>
      </c>
      <c r="AK30" s="787">
        <v>0</v>
      </c>
      <c r="AL30" s="787">
        <v>6786.47</v>
      </c>
      <c r="AM30" s="787">
        <v>7651.42</v>
      </c>
      <c r="AN30" s="787">
        <v>72894.320000000007</v>
      </c>
      <c r="AO30" s="787">
        <v>33389.800000000003</v>
      </c>
      <c r="AP30" s="787">
        <v>13104.52</v>
      </c>
      <c r="AQ30" s="787">
        <v>63257.17</v>
      </c>
      <c r="AR30" s="787">
        <v>18410.55</v>
      </c>
      <c r="AS30" s="787">
        <v>0</v>
      </c>
      <c r="AT30" s="787">
        <v>8571.2999999999993</v>
      </c>
      <c r="AU30" s="787">
        <v>10666.12</v>
      </c>
      <c r="AV30" s="787">
        <v>26346.04</v>
      </c>
      <c r="AW30" s="787">
        <v>0</v>
      </c>
      <c r="AX30" s="787">
        <v>22165.75</v>
      </c>
      <c r="AY30" s="787">
        <v>0</v>
      </c>
      <c r="AZ30" s="787">
        <v>25350.99</v>
      </c>
      <c r="BA30" s="787">
        <v>17415</v>
      </c>
      <c r="BB30" s="787">
        <v>1750</v>
      </c>
      <c r="BC30" s="787">
        <v>59257.24</v>
      </c>
      <c r="BD30" s="787">
        <v>202380.72</v>
      </c>
      <c r="BE30" s="787">
        <v>47300.79</v>
      </c>
      <c r="BF30" s="787">
        <v>92603.45</v>
      </c>
      <c r="BG30" s="787">
        <v>0</v>
      </c>
      <c r="BH30" s="787">
        <v>0</v>
      </c>
      <c r="BI30" s="787">
        <v>0</v>
      </c>
      <c r="BJ30" s="787">
        <v>4570188.7699999996</v>
      </c>
      <c r="BK30" s="787">
        <v>542567.29999999877</v>
      </c>
      <c r="BL30" s="787">
        <v>86371.95420794189</v>
      </c>
      <c r="BM30" s="787">
        <v>628939.25420794066</v>
      </c>
      <c r="BN30" s="787">
        <v>11416</v>
      </c>
      <c r="BO30" s="787">
        <v>0</v>
      </c>
      <c r="BP30" s="787">
        <v>0</v>
      </c>
      <c r="BQ30" s="787">
        <v>11416</v>
      </c>
      <c r="BR30" s="787">
        <v>0</v>
      </c>
      <c r="BS30" s="787">
        <v>10107</v>
      </c>
      <c r="BT30" s="787">
        <v>0</v>
      </c>
      <c r="BU30" s="787">
        <v>0</v>
      </c>
      <c r="BV30" s="787">
        <v>0</v>
      </c>
      <c r="BW30" s="787">
        <v>0</v>
      </c>
      <c r="BX30" s="787">
        <v>22149</v>
      </c>
      <c r="BY30" s="787">
        <v>0</v>
      </c>
      <c r="BZ30" s="787">
        <v>32256</v>
      </c>
      <c r="CA30" s="787">
        <v>52009.5</v>
      </c>
      <c r="CB30" s="787">
        <v>-20840</v>
      </c>
      <c r="CC30" s="787">
        <v>31169.5</v>
      </c>
      <c r="CD30" s="787">
        <v>0</v>
      </c>
      <c r="CE30" s="787">
        <v>0</v>
      </c>
      <c r="CF30" s="787">
        <v>0</v>
      </c>
      <c r="CG30" s="787">
        <v>0</v>
      </c>
      <c r="CH30" s="787">
        <v>0</v>
      </c>
      <c r="CI30" s="787">
        <v>0</v>
      </c>
      <c r="CJ30" s="787">
        <v>0</v>
      </c>
      <c r="CK30" s="787">
        <v>0</v>
      </c>
      <c r="CL30" s="787">
        <v>0</v>
      </c>
      <c r="CM30" s="787">
        <v>628939.25420794066</v>
      </c>
      <c r="CN30" s="787">
        <v>0</v>
      </c>
      <c r="CO30" s="787">
        <v>31169.5</v>
      </c>
      <c r="CP30" s="787">
        <v>0</v>
      </c>
      <c r="CQ30" s="787">
        <v>0</v>
      </c>
      <c r="CR30" s="787">
        <v>660108.75420794066</v>
      </c>
      <c r="CS30" s="787">
        <v>1096738.7</v>
      </c>
      <c r="CT30" s="787">
        <v>295243.53999999998</v>
      </c>
      <c r="CU30" s="787">
        <v>526.35</v>
      </c>
      <c r="CV30" s="787">
        <v>802021.50999999989</v>
      </c>
      <c r="CW30" s="787">
        <v>0</v>
      </c>
      <c r="CX30" s="787">
        <v>4973.26</v>
      </c>
      <c r="CY30" s="787">
        <v>9155.85</v>
      </c>
      <c r="CZ30" s="787">
        <v>0</v>
      </c>
      <c r="DA30" s="787">
        <v>0</v>
      </c>
      <c r="DB30" s="787">
        <v>816150.61999999988</v>
      </c>
      <c r="DC30" s="787">
        <v>695.02</v>
      </c>
      <c r="DD30" s="787">
        <v>0</v>
      </c>
      <c r="DE30" s="787">
        <v>0</v>
      </c>
      <c r="DF30" s="787">
        <v>695.02</v>
      </c>
      <c r="DG30" s="787"/>
      <c r="DH30" s="787"/>
      <c r="DI30" s="787"/>
      <c r="DJ30" s="787">
        <v>0</v>
      </c>
      <c r="DK30" s="787">
        <v>695.02</v>
      </c>
      <c r="DL30" s="787">
        <v>0</v>
      </c>
      <c r="DM30" s="787">
        <v>0</v>
      </c>
      <c r="DN30" s="787">
        <v>0</v>
      </c>
      <c r="DO30" s="787">
        <v>0</v>
      </c>
      <c r="DP30" s="787">
        <v>-156736.9</v>
      </c>
      <c r="DQ30" s="787">
        <v>0</v>
      </c>
      <c r="DR30" s="787">
        <v>0</v>
      </c>
      <c r="DS30" s="787">
        <v>0</v>
      </c>
      <c r="DT30" s="787">
        <v>-156736.9</v>
      </c>
      <c r="DU30" s="787">
        <v>0</v>
      </c>
      <c r="DV30" s="787">
        <v>0</v>
      </c>
      <c r="DW30" s="787">
        <v>0</v>
      </c>
      <c r="DX30" s="787">
        <v>0</v>
      </c>
      <c r="DY30" s="787">
        <v>0</v>
      </c>
      <c r="DZ30" s="787">
        <v>0</v>
      </c>
      <c r="EA30" s="787">
        <v>1.4207940781489015E-2</v>
      </c>
      <c r="EE30">
        <f>_xlfn.XLOOKUP(C30,'[1]Cfwd Analysis'!$C:$C,'[1]Cfwd Analysis'!$I:$I,0,0)</f>
        <v>628939.25420794066</v>
      </c>
      <c r="EF30" s="788">
        <f t="shared" si="0"/>
        <v>0</v>
      </c>
    </row>
    <row r="31" spans="1:136" ht="15.6" hidden="1">
      <c r="A31" s="782" t="s">
        <v>1323</v>
      </c>
      <c r="B31" s="782" t="s">
        <v>575</v>
      </c>
      <c r="C31" s="783">
        <v>3353</v>
      </c>
      <c r="D31" s="784" t="s">
        <v>576</v>
      </c>
      <c r="E31" s="785" t="s">
        <v>521</v>
      </c>
      <c r="F31" s="786">
        <v>46091</v>
      </c>
      <c r="G31" s="785" t="s">
        <v>5</v>
      </c>
      <c r="H31" s="785" t="s">
        <v>592</v>
      </c>
      <c r="I31" s="787">
        <v>3316626.6386000002</v>
      </c>
      <c r="J31" s="787">
        <v>0</v>
      </c>
      <c r="K31" s="787">
        <v>130469.10666666666</v>
      </c>
      <c r="L31" s="787">
        <v>0</v>
      </c>
      <c r="M31" s="787">
        <v>183990</v>
      </c>
      <c r="N31" s="787">
        <v>147629.93</v>
      </c>
      <c r="O31" s="787">
        <v>0</v>
      </c>
      <c r="P31" s="787">
        <v>19560</v>
      </c>
      <c r="Q31" s="787">
        <v>79826.45</v>
      </c>
      <c r="R31" s="787">
        <v>0</v>
      </c>
      <c r="S31" s="787">
        <v>0</v>
      </c>
      <c r="T31" s="787">
        <v>0</v>
      </c>
      <c r="U31" s="787">
        <v>25948.85</v>
      </c>
      <c r="V31" s="787">
        <v>139894.1</v>
      </c>
      <c r="W31" s="787">
        <v>0</v>
      </c>
      <c r="X31" s="787">
        <v>4043945.0752666672</v>
      </c>
      <c r="Y31" s="787">
        <v>1783070.54</v>
      </c>
      <c r="Z31" s="787">
        <v>0</v>
      </c>
      <c r="AA31" s="787">
        <v>837606.01</v>
      </c>
      <c r="AB31" s="787">
        <v>47702.59</v>
      </c>
      <c r="AC31" s="787">
        <v>265995.15000000002</v>
      </c>
      <c r="AD31" s="787">
        <v>0</v>
      </c>
      <c r="AE31" s="787">
        <v>52917.91</v>
      </c>
      <c r="AF31" s="787">
        <v>294.67</v>
      </c>
      <c r="AG31" s="787">
        <v>12893</v>
      </c>
      <c r="AH31" s="787">
        <v>0</v>
      </c>
      <c r="AI31" s="787">
        <v>0</v>
      </c>
      <c r="AJ31" s="787">
        <v>30722.84</v>
      </c>
      <c r="AK31" s="787">
        <v>6087.95</v>
      </c>
      <c r="AL31" s="787">
        <v>71337.960000000006</v>
      </c>
      <c r="AM31" s="787">
        <v>11809.7</v>
      </c>
      <c r="AN31" s="787">
        <v>55672.13</v>
      </c>
      <c r="AO31" s="787">
        <v>11218.18</v>
      </c>
      <c r="AP31" s="787">
        <v>27366.02</v>
      </c>
      <c r="AQ31" s="787">
        <v>85217.46</v>
      </c>
      <c r="AR31" s="787">
        <v>1306.7</v>
      </c>
      <c r="AS31" s="787">
        <v>0</v>
      </c>
      <c r="AT31" s="787">
        <v>9682.59</v>
      </c>
      <c r="AU31" s="787">
        <v>3781.7</v>
      </c>
      <c r="AV31" s="787">
        <v>0</v>
      </c>
      <c r="AW31" s="787">
        <v>0</v>
      </c>
      <c r="AX31" s="787">
        <v>0</v>
      </c>
      <c r="AY31" s="787">
        <v>0</v>
      </c>
      <c r="AZ31" s="787">
        <v>284613.63</v>
      </c>
      <c r="BA31" s="787">
        <v>18745.650000000001</v>
      </c>
      <c r="BB31" s="787">
        <v>4248</v>
      </c>
      <c r="BC31" s="787">
        <v>0</v>
      </c>
      <c r="BD31" s="787">
        <v>371603.11000000004</v>
      </c>
      <c r="BE31" s="787">
        <v>19091.999999999996</v>
      </c>
      <c r="BF31" s="787">
        <v>183618.57</v>
      </c>
      <c r="BG31" s="787">
        <v>0</v>
      </c>
      <c r="BH31" s="787">
        <v>0</v>
      </c>
      <c r="BI31" s="787">
        <v>0</v>
      </c>
      <c r="BJ31" s="787">
        <v>4196604.0599999996</v>
      </c>
      <c r="BK31" s="787">
        <v>148846.70000000601</v>
      </c>
      <c r="BL31" s="787">
        <v>-152658.98473333241</v>
      </c>
      <c r="BM31" s="787">
        <v>-3812.2847333264071</v>
      </c>
      <c r="BN31" s="787">
        <v>0</v>
      </c>
      <c r="BO31" s="787">
        <v>0</v>
      </c>
      <c r="BP31" s="787">
        <v>0</v>
      </c>
      <c r="BQ31" s="787">
        <v>0</v>
      </c>
      <c r="BR31" s="787">
        <v>0</v>
      </c>
      <c r="BS31" s="787">
        <v>0</v>
      </c>
      <c r="BT31" s="787">
        <v>0</v>
      </c>
      <c r="BU31" s="787">
        <v>0</v>
      </c>
      <c r="BV31" s="787">
        <v>0</v>
      </c>
      <c r="BW31" s="787">
        <v>0</v>
      </c>
      <c r="BX31" s="787">
        <v>0</v>
      </c>
      <c r="BY31" s="787">
        <v>0</v>
      </c>
      <c r="BZ31" s="787">
        <v>0</v>
      </c>
      <c r="CA31" s="787">
        <v>0</v>
      </c>
      <c r="CB31" s="787">
        <v>0</v>
      </c>
      <c r="CC31" s="787">
        <v>0</v>
      </c>
      <c r="CD31" s="787">
        <v>0</v>
      </c>
      <c r="CE31" s="787">
        <v>0</v>
      </c>
      <c r="CF31" s="787">
        <v>0</v>
      </c>
      <c r="CG31" s="787">
        <v>0</v>
      </c>
      <c r="CH31" s="787">
        <v>0</v>
      </c>
      <c r="CI31" s="787">
        <v>0</v>
      </c>
      <c r="CJ31" s="787">
        <v>0</v>
      </c>
      <c r="CK31" s="787">
        <v>0</v>
      </c>
      <c r="CL31" s="787">
        <v>0</v>
      </c>
      <c r="CM31" s="787">
        <v>0</v>
      </c>
      <c r="CN31" s="787">
        <v>-3812.2847333264071</v>
      </c>
      <c r="CO31" s="787">
        <v>0</v>
      </c>
      <c r="CP31" s="787">
        <v>0</v>
      </c>
      <c r="CQ31" s="787">
        <v>0</v>
      </c>
      <c r="CR31" s="787">
        <v>-3812.2847333264071</v>
      </c>
      <c r="CS31" s="787">
        <v>353756.13</v>
      </c>
      <c r="CT31" s="787">
        <v>246978.8</v>
      </c>
      <c r="CU31" s="787">
        <v>2083.4699999999998</v>
      </c>
      <c r="CV31" s="787">
        <v>108860.80000000002</v>
      </c>
      <c r="CW31" s="787">
        <v>0</v>
      </c>
      <c r="CX31" s="787">
        <v>12591.16</v>
      </c>
      <c r="CY31" s="787">
        <v>4151.41</v>
      </c>
      <c r="CZ31" s="787">
        <v>0</v>
      </c>
      <c r="DA31" s="787">
        <v>0</v>
      </c>
      <c r="DB31" s="787">
        <v>125603.37000000002</v>
      </c>
      <c r="DC31" s="787">
        <v>0</v>
      </c>
      <c r="DD31" s="787">
        <v>0</v>
      </c>
      <c r="DE31" s="787">
        <v>0</v>
      </c>
      <c r="DF31" s="787">
        <v>0</v>
      </c>
      <c r="DG31" s="787"/>
      <c r="DH31" s="787"/>
      <c r="DI31" s="787"/>
      <c r="DJ31" s="787">
        <v>0</v>
      </c>
      <c r="DK31" s="787">
        <v>0</v>
      </c>
      <c r="DL31" s="787">
        <v>0</v>
      </c>
      <c r="DM31" s="787">
        <v>0</v>
      </c>
      <c r="DN31" s="787">
        <v>0</v>
      </c>
      <c r="DO31" s="787">
        <v>0</v>
      </c>
      <c r="DP31" s="787">
        <v>-76100.44</v>
      </c>
      <c r="DQ31" s="787">
        <v>-4248</v>
      </c>
      <c r="DR31" s="787">
        <v>0</v>
      </c>
      <c r="DS31" s="787">
        <v>0</v>
      </c>
      <c r="DT31" s="787">
        <v>-80348.44</v>
      </c>
      <c r="DU31" s="787">
        <v>3900</v>
      </c>
      <c r="DV31" s="787">
        <v>0</v>
      </c>
      <c r="DW31" s="787">
        <v>0</v>
      </c>
      <c r="DX31" s="787">
        <v>0</v>
      </c>
      <c r="DY31" s="787">
        <v>0</v>
      </c>
      <c r="DZ31" s="787">
        <v>-52967.21</v>
      </c>
      <c r="EA31" s="787">
        <v>-4.7333264301414602E-3</v>
      </c>
      <c r="EE31">
        <f>_xlfn.XLOOKUP(C31,'[1]Cfwd Analysis'!$C:$C,'[1]Cfwd Analysis'!$I:$I,0,0)</f>
        <v>-3812.2847333264071</v>
      </c>
      <c r="EF31" s="788">
        <f t="shared" si="0"/>
        <v>0</v>
      </c>
    </row>
    <row r="32" spans="1:136" ht="15.6" hidden="1">
      <c r="A32" s="782" t="s">
        <v>1324</v>
      </c>
      <c r="B32" s="782" t="s">
        <v>577</v>
      </c>
      <c r="C32" s="783">
        <v>7030</v>
      </c>
      <c r="D32" s="784" t="s">
        <v>578</v>
      </c>
      <c r="E32" s="785" t="s">
        <v>521</v>
      </c>
      <c r="F32" s="786" t="s">
        <v>1305</v>
      </c>
      <c r="G32" s="785" t="s">
        <v>5</v>
      </c>
      <c r="H32" s="785" t="s">
        <v>594</v>
      </c>
      <c r="I32" s="787">
        <v>830707.34503478266</v>
      </c>
      <c r="J32" s="787">
        <v>13358.369663282592</v>
      </c>
      <c r="K32" s="787">
        <v>1040532.8631384897</v>
      </c>
      <c r="L32" s="787">
        <v>0</v>
      </c>
      <c r="M32" s="787">
        <v>54380</v>
      </c>
      <c r="N32" s="787">
        <v>856.93</v>
      </c>
      <c r="O32" s="787">
        <v>0</v>
      </c>
      <c r="P32" s="787">
        <v>0</v>
      </c>
      <c r="Q32" s="787">
        <v>797438.56972500007</v>
      </c>
      <c r="R32" s="787">
        <v>0</v>
      </c>
      <c r="S32" s="787">
        <v>0</v>
      </c>
      <c r="T32" s="787">
        <v>0</v>
      </c>
      <c r="U32" s="787">
        <v>0</v>
      </c>
      <c r="V32" s="787">
        <v>48195.91</v>
      </c>
      <c r="W32" s="787">
        <v>0</v>
      </c>
      <c r="X32" s="787">
        <v>2785469.9875615551</v>
      </c>
      <c r="Y32" s="787">
        <v>1277606.72</v>
      </c>
      <c r="Z32" s="787">
        <v>0</v>
      </c>
      <c r="AA32" s="787">
        <v>560808.03</v>
      </c>
      <c r="AB32" s="787">
        <v>70621.03</v>
      </c>
      <c r="AC32" s="787">
        <v>227476.01</v>
      </c>
      <c r="AD32" s="787">
        <v>0</v>
      </c>
      <c r="AE32" s="787">
        <v>4151.01</v>
      </c>
      <c r="AF32" s="787">
        <v>4486.32</v>
      </c>
      <c r="AG32" s="787">
        <v>18765.849999999999</v>
      </c>
      <c r="AH32" s="787">
        <v>0</v>
      </c>
      <c r="AI32" s="787">
        <v>0</v>
      </c>
      <c r="AJ32" s="787">
        <v>27117.79</v>
      </c>
      <c r="AK32" s="787">
        <v>4606</v>
      </c>
      <c r="AL32" s="787">
        <v>26928.48</v>
      </c>
      <c r="AM32" s="787">
        <v>2052.06</v>
      </c>
      <c r="AN32" s="787">
        <v>8031.39</v>
      </c>
      <c r="AO32" s="787">
        <v>0</v>
      </c>
      <c r="AP32" s="787">
        <v>4845.16</v>
      </c>
      <c r="AQ32" s="787">
        <v>144326.81999999998</v>
      </c>
      <c r="AR32" s="787">
        <v>0</v>
      </c>
      <c r="AS32" s="787">
        <v>0</v>
      </c>
      <c r="AT32" s="787">
        <v>0</v>
      </c>
      <c r="AU32" s="787">
        <v>10029.61</v>
      </c>
      <c r="AV32" s="787">
        <v>0</v>
      </c>
      <c r="AW32" s="787">
        <v>0</v>
      </c>
      <c r="AX32" s="787">
        <v>0</v>
      </c>
      <c r="AY32" s="787">
        <v>12882.79</v>
      </c>
      <c r="AZ32" s="787">
        <v>71654.03</v>
      </c>
      <c r="BA32" s="787">
        <v>3291.75</v>
      </c>
      <c r="BB32" s="787">
        <v>5325.6</v>
      </c>
      <c r="BC32" s="787">
        <v>25976.87</v>
      </c>
      <c r="BD32" s="787">
        <v>0</v>
      </c>
      <c r="BE32" s="787">
        <v>2100</v>
      </c>
      <c r="BF32" s="787">
        <v>88782.95</v>
      </c>
      <c r="BG32" s="787">
        <v>0</v>
      </c>
      <c r="BH32" s="787">
        <v>0</v>
      </c>
      <c r="BI32" s="787">
        <v>0</v>
      </c>
      <c r="BJ32" s="787">
        <v>2601866.27</v>
      </c>
      <c r="BK32" s="787">
        <v>555829.35000000219</v>
      </c>
      <c r="BL32" s="787">
        <v>183603.7175615551</v>
      </c>
      <c r="BM32" s="787">
        <v>739433.06756155728</v>
      </c>
      <c r="BN32" s="787">
        <v>8201.8799999999992</v>
      </c>
      <c r="BO32" s="787">
        <v>0</v>
      </c>
      <c r="BP32" s="787">
        <v>0</v>
      </c>
      <c r="BQ32" s="787">
        <v>8201.8799999999992</v>
      </c>
      <c r="BR32" s="787">
        <v>0</v>
      </c>
      <c r="BS32" s="787">
        <v>0</v>
      </c>
      <c r="BT32" s="787">
        <v>0</v>
      </c>
      <c r="BU32" s="787">
        <v>0</v>
      </c>
      <c r="BV32" s="787">
        <v>0</v>
      </c>
      <c r="BW32" s="787">
        <v>0</v>
      </c>
      <c r="BX32" s="787">
        <v>0</v>
      </c>
      <c r="BY32" s="787">
        <v>0</v>
      </c>
      <c r="BZ32" s="787">
        <v>0</v>
      </c>
      <c r="CA32" s="787">
        <v>7543.75</v>
      </c>
      <c r="CB32" s="787">
        <v>8201.8799999999992</v>
      </c>
      <c r="CC32" s="787">
        <v>15745.63</v>
      </c>
      <c r="CD32" s="787">
        <v>0</v>
      </c>
      <c r="CE32" s="787">
        <v>0</v>
      </c>
      <c r="CF32" s="787">
        <v>0</v>
      </c>
      <c r="CG32" s="787">
        <v>0</v>
      </c>
      <c r="CH32" s="787">
        <v>0</v>
      </c>
      <c r="CI32" s="787">
        <v>0</v>
      </c>
      <c r="CJ32" s="787">
        <v>0</v>
      </c>
      <c r="CK32" s="787">
        <v>0</v>
      </c>
      <c r="CL32" s="787">
        <v>0</v>
      </c>
      <c r="CM32" s="787">
        <v>739433.06756155728</v>
      </c>
      <c r="CN32" s="787">
        <v>0</v>
      </c>
      <c r="CO32" s="787">
        <v>15745.63</v>
      </c>
      <c r="CP32" s="787">
        <v>0</v>
      </c>
      <c r="CQ32" s="787">
        <v>0</v>
      </c>
      <c r="CR32" s="787">
        <v>755178.69756155729</v>
      </c>
      <c r="CS32" s="787">
        <v>905426.03</v>
      </c>
      <c r="CT32" s="787">
        <v>0</v>
      </c>
      <c r="CU32" s="787">
        <v>0</v>
      </c>
      <c r="CV32" s="787">
        <v>905426.03</v>
      </c>
      <c r="CW32" s="787">
        <v>0</v>
      </c>
      <c r="CX32" s="787">
        <v>5179.43</v>
      </c>
      <c r="CY32" s="787">
        <v>294.75</v>
      </c>
      <c r="CZ32" s="787">
        <v>3197.24</v>
      </c>
      <c r="DA32" s="787">
        <v>-50696.36</v>
      </c>
      <c r="DB32" s="787">
        <v>863401.09000000008</v>
      </c>
      <c r="DC32" s="787">
        <v>0</v>
      </c>
      <c r="DD32" s="787">
        <v>0</v>
      </c>
      <c r="DE32" s="787">
        <v>0</v>
      </c>
      <c r="DF32" s="787">
        <v>0</v>
      </c>
      <c r="DG32" s="787"/>
      <c r="DH32" s="787"/>
      <c r="DI32" s="787"/>
      <c r="DJ32" s="787">
        <v>0</v>
      </c>
      <c r="DK32" s="787">
        <v>0</v>
      </c>
      <c r="DL32" s="787">
        <v>113776.38</v>
      </c>
      <c r="DM32" s="787">
        <v>0</v>
      </c>
      <c r="DN32" s="787">
        <v>0</v>
      </c>
      <c r="DO32" s="787">
        <v>0</v>
      </c>
      <c r="DP32" s="787">
        <v>-12283.33</v>
      </c>
      <c r="DQ32" s="787">
        <v>0</v>
      </c>
      <c r="DR32" s="787">
        <v>0</v>
      </c>
      <c r="DS32" s="787">
        <v>0</v>
      </c>
      <c r="DT32" s="787">
        <v>101493.05</v>
      </c>
      <c r="DU32" s="787">
        <v>6090.62</v>
      </c>
      <c r="DV32" s="787">
        <v>0</v>
      </c>
      <c r="DW32" s="787">
        <v>0</v>
      </c>
      <c r="DX32" s="787">
        <v>0</v>
      </c>
      <c r="DY32" s="787">
        <v>0</v>
      </c>
      <c r="DZ32" s="787">
        <v>-215805.69</v>
      </c>
      <c r="EA32" s="787">
        <v>-0.37243844277691096</v>
      </c>
      <c r="EC32" s="788">
        <v>15745.63</v>
      </c>
      <c r="EE32">
        <f>_xlfn.XLOOKUP(C32,'[1]Cfwd Analysis'!$C:$C,'[1]Cfwd Analysis'!$I:$I,0,0)</f>
        <v>739433.06756155728</v>
      </c>
      <c r="EF32" s="788">
        <f t="shared" si="0"/>
        <v>0</v>
      </c>
    </row>
    <row r="33" spans="1:136" ht="15.6" hidden="1">
      <c r="A33" s="782" t="s">
        <v>1325</v>
      </c>
      <c r="B33" s="782" t="s">
        <v>579</v>
      </c>
      <c r="C33" s="783">
        <v>1002</v>
      </c>
      <c r="D33" s="784" t="s">
        <v>580</v>
      </c>
      <c r="E33" s="785" t="s">
        <v>521</v>
      </c>
      <c r="F33" s="786">
        <v>46094</v>
      </c>
      <c r="G33" s="785" t="s">
        <v>5</v>
      </c>
      <c r="H33" s="785" t="s">
        <v>596</v>
      </c>
      <c r="I33" s="787">
        <v>742919.99472093489</v>
      </c>
      <c r="J33" s="787">
        <v>0</v>
      </c>
      <c r="K33" s="787">
        <v>44816.426131117267</v>
      </c>
      <c r="L33" s="787">
        <v>0</v>
      </c>
      <c r="M33" s="787">
        <v>0</v>
      </c>
      <c r="N33" s="787">
        <v>0</v>
      </c>
      <c r="O33" s="787">
        <v>0</v>
      </c>
      <c r="P33" s="787">
        <v>0</v>
      </c>
      <c r="Q33" s="787">
        <v>19101.640465000019</v>
      </c>
      <c r="R33" s="787">
        <v>4562</v>
      </c>
      <c r="S33" s="787">
        <v>0</v>
      </c>
      <c r="T33" s="787">
        <v>0</v>
      </c>
      <c r="U33" s="787">
        <v>82</v>
      </c>
      <c r="V33" s="787">
        <v>0</v>
      </c>
      <c r="W33" s="787">
        <v>0</v>
      </c>
      <c r="X33" s="787">
        <v>811482.06131705223</v>
      </c>
      <c r="Y33" s="787">
        <v>138163.35999999999</v>
      </c>
      <c r="Z33" s="787">
        <v>0</v>
      </c>
      <c r="AA33" s="787">
        <v>240330.2</v>
      </c>
      <c r="AB33" s="787">
        <v>21870.82</v>
      </c>
      <c r="AC33" s="787">
        <v>67538.759999999995</v>
      </c>
      <c r="AD33" s="787">
        <v>17856.04</v>
      </c>
      <c r="AE33" s="787">
        <v>46422.37</v>
      </c>
      <c r="AF33" s="787">
        <v>16934</v>
      </c>
      <c r="AG33" s="787">
        <v>1585</v>
      </c>
      <c r="AH33" s="787">
        <v>0</v>
      </c>
      <c r="AI33" s="787">
        <v>0</v>
      </c>
      <c r="AJ33" s="787">
        <v>32127.5</v>
      </c>
      <c r="AK33" s="787">
        <v>0</v>
      </c>
      <c r="AL33" s="787">
        <v>2412</v>
      </c>
      <c r="AM33" s="787">
        <v>3200</v>
      </c>
      <c r="AN33" s="787">
        <v>16215.32</v>
      </c>
      <c r="AO33" s="787">
        <v>0</v>
      </c>
      <c r="AP33" s="787">
        <v>10186.6</v>
      </c>
      <c r="AQ33" s="787">
        <v>22921</v>
      </c>
      <c r="AR33" s="787">
        <v>4499</v>
      </c>
      <c r="AS33" s="787">
        <v>0</v>
      </c>
      <c r="AT33" s="787">
        <v>2630</v>
      </c>
      <c r="AU33" s="787">
        <v>0</v>
      </c>
      <c r="AV33" s="787">
        <v>0</v>
      </c>
      <c r="AW33" s="787">
        <v>0</v>
      </c>
      <c r="AX33" s="787">
        <v>3900</v>
      </c>
      <c r="AY33" s="787">
        <v>0</v>
      </c>
      <c r="AZ33" s="787">
        <v>7220.76</v>
      </c>
      <c r="BA33" s="787">
        <v>6352.75</v>
      </c>
      <c r="BB33" s="787">
        <v>0</v>
      </c>
      <c r="BC33" s="787">
        <v>7030</v>
      </c>
      <c r="BD33" s="787">
        <v>65929.55</v>
      </c>
      <c r="BE33" s="787">
        <v>0</v>
      </c>
      <c r="BF33" s="787">
        <v>22064</v>
      </c>
      <c r="BG33" s="787">
        <v>0</v>
      </c>
      <c r="BH33" s="787">
        <v>0</v>
      </c>
      <c r="BI33" s="787">
        <v>0</v>
      </c>
      <c r="BJ33" s="787">
        <v>757389.03</v>
      </c>
      <c r="BK33" s="787">
        <v>293856.1900000007</v>
      </c>
      <c r="BL33" s="787">
        <v>54093.031317052199</v>
      </c>
      <c r="BM33" s="787">
        <v>347949.2213170529</v>
      </c>
      <c r="BN33" s="787">
        <v>4850.5</v>
      </c>
      <c r="BO33" s="787">
        <v>0</v>
      </c>
      <c r="BP33" s="787">
        <v>0</v>
      </c>
      <c r="BQ33" s="787">
        <v>4850.5</v>
      </c>
      <c r="BR33" s="787">
        <v>0</v>
      </c>
      <c r="BS33" s="787">
        <v>0</v>
      </c>
      <c r="BT33" s="787">
        <v>4850.5</v>
      </c>
      <c r="BU33" s="787">
        <v>0</v>
      </c>
      <c r="BV33" s="787">
        <v>0</v>
      </c>
      <c r="BW33" s="787">
        <v>0</v>
      </c>
      <c r="BX33" s="787">
        <v>0</v>
      </c>
      <c r="BY33" s="787">
        <v>0</v>
      </c>
      <c r="BZ33" s="787">
        <v>4850.5</v>
      </c>
      <c r="CA33" s="787">
        <v>45276.25</v>
      </c>
      <c r="CB33" s="787">
        <v>0</v>
      </c>
      <c r="CC33" s="787">
        <v>45276.25</v>
      </c>
      <c r="CD33" s="787">
        <v>0</v>
      </c>
      <c r="CE33" s="787">
        <v>0</v>
      </c>
      <c r="CF33" s="787">
        <v>0</v>
      </c>
      <c r="CG33" s="787">
        <v>0</v>
      </c>
      <c r="CH33" s="787">
        <v>0</v>
      </c>
      <c r="CI33" s="787">
        <v>0</v>
      </c>
      <c r="CJ33" s="787">
        <v>0</v>
      </c>
      <c r="CK33" s="787">
        <v>0</v>
      </c>
      <c r="CL33" s="787">
        <v>0</v>
      </c>
      <c r="CM33" s="787">
        <v>347949.2213170529</v>
      </c>
      <c r="CN33" s="787">
        <v>0</v>
      </c>
      <c r="CO33" s="787">
        <v>45276.25</v>
      </c>
      <c r="CP33" s="787">
        <v>0</v>
      </c>
      <c r="CQ33" s="787">
        <v>0</v>
      </c>
      <c r="CR33" s="787">
        <v>393225.4713170529</v>
      </c>
      <c r="CS33" s="787">
        <v>443394.44</v>
      </c>
      <c r="CT33" s="787">
        <v>0</v>
      </c>
      <c r="CU33" s="787">
        <v>0</v>
      </c>
      <c r="CV33" s="787">
        <v>443394.44</v>
      </c>
      <c r="CW33" s="787">
        <v>0</v>
      </c>
      <c r="CX33" s="787">
        <v>2955.66</v>
      </c>
      <c r="CY33" s="787">
        <v>1738.09</v>
      </c>
      <c r="CZ33" s="787">
        <v>6209.48</v>
      </c>
      <c r="DA33" s="787">
        <v>0</v>
      </c>
      <c r="DB33" s="787">
        <v>454297.67</v>
      </c>
      <c r="DC33" s="787">
        <v>0</v>
      </c>
      <c r="DD33" s="787">
        <v>0</v>
      </c>
      <c r="DE33" s="787">
        <v>0</v>
      </c>
      <c r="DF33" s="787">
        <v>0</v>
      </c>
      <c r="DG33" s="787"/>
      <c r="DH33" s="787"/>
      <c r="DI33" s="787"/>
      <c r="DJ33" s="787">
        <v>0</v>
      </c>
      <c r="DK33" s="787">
        <v>0</v>
      </c>
      <c r="DL33" s="787">
        <v>0</v>
      </c>
      <c r="DM33" s="787">
        <v>0</v>
      </c>
      <c r="DN33" s="787">
        <v>0</v>
      </c>
      <c r="DO33" s="787">
        <v>0</v>
      </c>
      <c r="DP33" s="787">
        <v>-49803.76</v>
      </c>
      <c r="DQ33" s="787">
        <v>-2649.6</v>
      </c>
      <c r="DR33" s="787">
        <v>0</v>
      </c>
      <c r="DS33" s="787">
        <v>0</v>
      </c>
      <c r="DT33" s="787">
        <v>-52453.36</v>
      </c>
      <c r="DU33" s="787">
        <v>0</v>
      </c>
      <c r="DV33" s="787">
        <v>0</v>
      </c>
      <c r="DW33" s="787">
        <v>-446.79</v>
      </c>
      <c r="DX33" s="787">
        <v>0</v>
      </c>
      <c r="DY33" s="787">
        <v>0</v>
      </c>
      <c r="DZ33" s="787">
        <v>-8171.68</v>
      </c>
      <c r="EA33" s="787">
        <v>-0.36868294706800953</v>
      </c>
      <c r="EE33">
        <f>_xlfn.XLOOKUP(C33,'[1]Cfwd Analysis'!$C:$C,'[1]Cfwd Analysis'!$I:$I,0,0)</f>
        <v>347949.2213170529</v>
      </c>
      <c r="EF33" s="788">
        <f t="shared" si="0"/>
        <v>0</v>
      </c>
    </row>
    <row r="34" spans="1:136" ht="15.6" hidden="1">
      <c r="A34" s="782" t="s">
        <v>1326</v>
      </c>
      <c r="B34" s="782" t="s">
        <v>586</v>
      </c>
      <c r="C34" s="783">
        <v>2465</v>
      </c>
      <c r="D34" s="784" t="s">
        <v>587</v>
      </c>
      <c r="E34" s="785" t="s">
        <v>521</v>
      </c>
      <c r="F34" s="786">
        <v>0</v>
      </c>
      <c r="G34" s="785" t="s">
        <v>5</v>
      </c>
      <c r="H34" s="785" t="s">
        <v>598</v>
      </c>
      <c r="I34" s="787">
        <v>2915961.4470353196</v>
      </c>
      <c r="J34" s="787">
        <v>0</v>
      </c>
      <c r="K34" s="787">
        <v>140332.23766666665</v>
      </c>
      <c r="L34" s="787">
        <v>0</v>
      </c>
      <c r="M34" s="787">
        <v>224460</v>
      </c>
      <c r="N34" s="787">
        <v>82998</v>
      </c>
      <c r="O34" s="787">
        <v>0</v>
      </c>
      <c r="P34" s="787">
        <v>10500</v>
      </c>
      <c r="Q34" s="787">
        <v>69997.299564999994</v>
      </c>
      <c r="R34" s="787">
        <v>8245</v>
      </c>
      <c r="S34" s="787">
        <v>0</v>
      </c>
      <c r="T34" s="787">
        <v>0</v>
      </c>
      <c r="U34" s="787">
        <v>81377.94</v>
      </c>
      <c r="V34" s="787">
        <v>107343.89</v>
      </c>
      <c r="W34" s="787">
        <v>0</v>
      </c>
      <c r="X34" s="787">
        <v>3641215.8142669862</v>
      </c>
      <c r="Y34" s="787">
        <v>1575427.07</v>
      </c>
      <c r="Z34" s="787">
        <v>0</v>
      </c>
      <c r="AA34" s="787">
        <v>554496.73</v>
      </c>
      <c r="AB34" s="787">
        <v>0</v>
      </c>
      <c r="AC34" s="787">
        <v>144263.24</v>
      </c>
      <c r="AD34" s="787">
        <v>0</v>
      </c>
      <c r="AE34" s="787">
        <v>171518.36</v>
      </c>
      <c r="AF34" s="787">
        <v>9546.93</v>
      </c>
      <c r="AG34" s="787">
        <v>1200</v>
      </c>
      <c r="AH34" s="787">
        <v>0</v>
      </c>
      <c r="AI34" s="787">
        <v>0</v>
      </c>
      <c r="AJ34" s="787">
        <v>960.99</v>
      </c>
      <c r="AK34" s="787">
        <v>6312.5</v>
      </c>
      <c r="AL34" s="787">
        <v>0</v>
      </c>
      <c r="AM34" s="787">
        <v>7970.8600000000006</v>
      </c>
      <c r="AN34" s="787">
        <v>41824.19</v>
      </c>
      <c r="AO34" s="787">
        <v>46033.170000000013</v>
      </c>
      <c r="AP34" s="787">
        <v>430.14</v>
      </c>
      <c r="AQ34" s="787">
        <v>55503.44</v>
      </c>
      <c r="AR34" s="787">
        <v>0</v>
      </c>
      <c r="AS34" s="787">
        <v>0</v>
      </c>
      <c r="AT34" s="787">
        <v>0</v>
      </c>
      <c r="AU34" s="787">
        <v>0</v>
      </c>
      <c r="AV34" s="787">
        <v>0</v>
      </c>
      <c r="AW34" s="787">
        <v>10256.77</v>
      </c>
      <c r="AX34" s="787">
        <v>16761.62</v>
      </c>
      <c r="AY34" s="787">
        <v>0</v>
      </c>
      <c r="AZ34" s="787">
        <v>17789.02</v>
      </c>
      <c r="BA34" s="787">
        <v>9471</v>
      </c>
      <c r="BB34" s="787">
        <v>3025</v>
      </c>
      <c r="BC34" s="787">
        <v>101709.32</v>
      </c>
      <c r="BD34" s="787">
        <v>40996.28</v>
      </c>
      <c r="BE34" s="787">
        <v>10901.439999999997</v>
      </c>
      <c r="BF34" s="787">
        <v>63034.2</v>
      </c>
      <c r="BG34" s="787">
        <v>646053.14</v>
      </c>
      <c r="BH34" s="787">
        <v>0</v>
      </c>
      <c r="BI34" s="787">
        <v>0</v>
      </c>
      <c r="BJ34" s="787">
        <v>3535485.41</v>
      </c>
      <c r="BK34" s="787">
        <v>144626.78999999963</v>
      </c>
      <c r="BL34" s="787">
        <v>105730.40426698606</v>
      </c>
      <c r="BM34" s="787">
        <v>250357.19426698569</v>
      </c>
      <c r="BN34" s="787">
        <v>8977</v>
      </c>
      <c r="BO34" s="787">
        <v>0</v>
      </c>
      <c r="BP34" s="787">
        <v>0</v>
      </c>
      <c r="BQ34" s="787">
        <v>8977</v>
      </c>
      <c r="BR34" s="787">
        <v>0</v>
      </c>
      <c r="BS34" s="787">
        <v>0</v>
      </c>
      <c r="BT34" s="787">
        <v>0</v>
      </c>
      <c r="BU34" s="787">
        <v>0</v>
      </c>
      <c r="BV34" s="787">
        <v>0</v>
      </c>
      <c r="BW34" s="787">
        <v>0</v>
      </c>
      <c r="BX34" s="787">
        <v>0</v>
      </c>
      <c r="BY34" s="787">
        <v>0</v>
      </c>
      <c r="BZ34" s="787">
        <v>0</v>
      </c>
      <c r="CA34" s="787">
        <v>17371.989999999998</v>
      </c>
      <c r="CB34" s="787">
        <v>8977</v>
      </c>
      <c r="CC34" s="787">
        <v>26348.989999999998</v>
      </c>
      <c r="CD34" s="787">
        <v>0</v>
      </c>
      <c r="CE34" s="787">
        <v>0</v>
      </c>
      <c r="CF34" s="787">
        <v>0</v>
      </c>
      <c r="CG34" s="787">
        <v>0</v>
      </c>
      <c r="CH34" s="787">
        <v>0</v>
      </c>
      <c r="CI34" s="787">
        <v>0</v>
      </c>
      <c r="CJ34" s="787">
        <v>0</v>
      </c>
      <c r="CK34" s="787">
        <v>0</v>
      </c>
      <c r="CL34" s="787">
        <v>0</v>
      </c>
      <c r="CM34" s="787">
        <v>250357.19426698569</v>
      </c>
      <c r="CN34" s="787">
        <v>0</v>
      </c>
      <c r="CO34" s="787">
        <v>8977</v>
      </c>
      <c r="CP34" s="787">
        <v>17371.989999999998</v>
      </c>
      <c r="CQ34" s="787">
        <v>0</v>
      </c>
      <c r="CR34" s="787">
        <v>276706.18426698569</v>
      </c>
      <c r="CS34" s="787">
        <v>501962.67</v>
      </c>
      <c r="CT34" s="787">
        <v>0</v>
      </c>
      <c r="CU34" s="787">
        <v>0</v>
      </c>
      <c r="CV34" s="787">
        <v>501962.67</v>
      </c>
      <c r="CW34" s="787">
        <v>0</v>
      </c>
      <c r="CX34" s="787">
        <v>8982.65</v>
      </c>
      <c r="CY34" s="787">
        <v>4740.3500000000004</v>
      </c>
      <c r="CZ34" s="787">
        <v>0</v>
      </c>
      <c r="DA34" s="787">
        <v>0</v>
      </c>
      <c r="DB34" s="787">
        <v>515685.67</v>
      </c>
      <c r="DC34" s="787">
        <v>0</v>
      </c>
      <c r="DD34" s="787">
        <v>0</v>
      </c>
      <c r="DE34" s="787">
        <v>0</v>
      </c>
      <c r="DF34" s="787">
        <v>0</v>
      </c>
      <c r="DG34" s="787"/>
      <c r="DH34" s="787"/>
      <c r="DI34" s="787"/>
      <c r="DJ34" s="787">
        <v>0</v>
      </c>
      <c r="DK34" s="787">
        <v>0</v>
      </c>
      <c r="DL34" s="787">
        <v>0</v>
      </c>
      <c r="DM34" s="787">
        <v>0</v>
      </c>
      <c r="DN34" s="787">
        <v>0</v>
      </c>
      <c r="DO34" s="787">
        <v>0</v>
      </c>
      <c r="DP34" s="787">
        <v>-30980.82</v>
      </c>
      <c r="DQ34" s="787">
        <v>-207999</v>
      </c>
      <c r="DR34" s="787">
        <v>0</v>
      </c>
      <c r="DS34" s="787">
        <v>0</v>
      </c>
      <c r="DT34" s="787">
        <v>-238979.82</v>
      </c>
      <c r="DU34" s="787">
        <v>0</v>
      </c>
      <c r="DV34" s="787">
        <v>0</v>
      </c>
      <c r="DW34" s="787">
        <v>0</v>
      </c>
      <c r="DX34" s="787">
        <v>0</v>
      </c>
      <c r="DY34" s="787">
        <v>0</v>
      </c>
      <c r="DZ34" s="787">
        <v>0</v>
      </c>
      <c r="EA34" s="787">
        <v>0.33426698570838198</v>
      </c>
      <c r="EE34">
        <f>_xlfn.XLOOKUP(C34,'[1]Cfwd Analysis'!$C:$C,'[1]Cfwd Analysis'!$I:$I,0,0)</f>
        <v>250357.19426698569</v>
      </c>
      <c r="EF34" s="788">
        <f t="shared" si="0"/>
        <v>0</v>
      </c>
    </row>
    <row r="35" spans="1:136" ht="15.6" hidden="1">
      <c r="A35" s="782" t="s">
        <v>1327</v>
      </c>
      <c r="B35" s="782" t="s">
        <v>588</v>
      </c>
      <c r="C35" s="783">
        <v>4801</v>
      </c>
      <c r="D35" s="784" t="s">
        <v>589</v>
      </c>
      <c r="E35" s="785" t="s">
        <v>521</v>
      </c>
      <c r="F35" s="786">
        <v>46094</v>
      </c>
      <c r="G35" s="785" t="s">
        <v>5</v>
      </c>
      <c r="H35" s="785" t="s">
        <v>600</v>
      </c>
      <c r="I35" s="787">
        <v>6411356.0659079803</v>
      </c>
      <c r="J35" s="787">
        <v>0</v>
      </c>
      <c r="K35" s="787">
        <v>111283.46666666667</v>
      </c>
      <c r="L35" s="787">
        <v>0</v>
      </c>
      <c r="M35" s="787">
        <v>447300</v>
      </c>
      <c r="N35" s="787">
        <v>12768.26</v>
      </c>
      <c r="O35" s="787">
        <v>157100</v>
      </c>
      <c r="P35" s="787">
        <v>56571.01</v>
      </c>
      <c r="Q35" s="787">
        <v>65958</v>
      </c>
      <c r="R35" s="787">
        <v>153444.44</v>
      </c>
      <c r="S35" s="787">
        <v>0</v>
      </c>
      <c r="T35" s="787">
        <v>0</v>
      </c>
      <c r="U35" s="787">
        <v>47049</v>
      </c>
      <c r="V35" s="787">
        <v>19143.960000000021</v>
      </c>
      <c r="W35" s="787">
        <v>0</v>
      </c>
      <c r="X35" s="787">
        <v>7481974.202574647</v>
      </c>
      <c r="Y35" s="787">
        <v>4160213.4</v>
      </c>
      <c r="Z35" s="787">
        <v>0</v>
      </c>
      <c r="AA35" s="787">
        <v>853240.76</v>
      </c>
      <c r="AB35" s="787">
        <v>167907.17</v>
      </c>
      <c r="AC35" s="787">
        <v>290361.33</v>
      </c>
      <c r="AD35" s="787">
        <v>196503</v>
      </c>
      <c r="AE35" s="787">
        <v>0</v>
      </c>
      <c r="AF35" s="787">
        <v>48364.92</v>
      </c>
      <c r="AG35" s="787">
        <v>59302.75</v>
      </c>
      <c r="AH35" s="787">
        <v>0</v>
      </c>
      <c r="AI35" s="787">
        <v>3716</v>
      </c>
      <c r="AJ35" s="787">
        <v>397202.89</v>
      </c>
      <c r="AK35" s="787">
        <v>9950</v>
      </c>
      <c r="AL35" s="787">
        <v>770</v>
      </c>
      <c r="AM35" s="787">
        <v>20888.574000000001</v>
      </c>
      <c r="AN35" s="787">
        <v>124150.80799999999</v>
      </c>
      <c r="AO35" s="787">
        <v>24697.859999999997</v>
      </c>
      <c r="AP35" s="787">
        <v>13720</v>
      </c>
      <c r="AQ35" s="787">
        <v>354893</v>
      </c>
      <c r="AR35" s="787">
        <v>13893</v>
      </c>
      <c r="AS35" s="787">
        <v>6030</v>
      </c>
      <c r="AT35" s="787">
        <v>31083</v>
      </c>
      <c r="AU35" s="787">
        <v>49516</v>
      </c>
      <c r="AV35" s="787">
        <v>63881</v>
      </c>
      <c r="AW35" s="787">
        <v>7553</v>
      </c>
      <c r="AX35" s="787">
        <v>13881</v>
      </c>
      <c r="AY35" s="787">
        <v>108202.2</v>
      </c>
      <c r="AZ35" s="787">
        <v>44715</v>
      </c>
      <c r="BA35" s="787">
        <v>50598.75</v>
      </c>
      <c r="BB35" s="787">
        <v>0</v>
      </c>
      <c r="BC35" s="787">
        <v>161327.9</v>
      </c>
      <c r="BD35" s="787">
        <v>24482</v>
      </c>
      <c r="BE35" s="787">
        <v>172097.3</v>
      </c>
      <c r="BF35" s="787">
        <v>70843</v>
      </c>
      <c r="BG35" s="787">
        <v>0</v>
      </c>
      <c r="BH35" s="787">
        <v>0</v>
      </c>
      <c r="BI35" s="787">
        <v>0</v>
      </c>
      <c r="BJ35" s="787">
        <v>7543985.6120000007</v>
      </c>
      <c r="BK35" s="787">
        <v>228168.13000000006</v>
      </c>
      <c r="BL35" s="787">
        <v>-62011.409425353631</v>
      </c>
      <c r="BM35" s="787">
        <v>166156.72057464643</v>
      </c>
      <c r="BN35" s="787">
        <v>18289</v>
      </c>
      <c r="BO35" s="787">
        <v>0</v>
      </c>
      <c r="BP35" s="787">
        <v>0</v>
      </c>
      <c r="BQ35" s="787">
        <v>18289</v>
      </c>
      <c r="BR35" s="787">
        <v>0</v>
      </c>
      <c r="BS35" s="787">
        <v>15133</v>
      </c>
      <c r="BT35" s="787">
        <v>0</v>
      </c>
      <c r="BU35" s="787">
        <v>0</v>
      </c>
      <c r="BV35" s="787">
        <v>0</v>
      </c>
      <c r="BW35" s="787">
        <v>0</v>
      </c>
      <c r="BX35" s="787">
        <v>0</v>
      </c>
      <c r="BY35" s="787">
        <v>0</v>
      </c>
      <c r="BZ35" s="787">
        <v>15133</v>
      </c>
      <c r="CA35" s="787">
        <v>0</v>
      </c>
      <c r="CB35" s="787">
        <v>3156</v>
      </c>
      <c r="CC35" s="787">
        <v>3156</v>
      </c>
      <c r="CD35" s="787">
        <v>0</v>
      </c>
      <c r="CE35" s="787">
        <v>0</v>
      </c>
      <c r="CF35" s="787">
        <v>0</v>
      </c>
      <c r="CG35" s="787">
        <v>0</v>
      </c>
      <c r="CH35" s="787">
        <v>0</v>
      </c>
      <c r="CI35" s="787">
        <v>0</v>
      </c>
      <c r="CJ35" s="787">
        <v>0</v>
      </c>
      <c r="CK35" s="787">
        <v>0</v>
      </c>
      <c r="CL35" s="787">
        <v>0</v>
      </c>
      <c r="CM35" s="787">
        <v>166156.72057464643</v>
      </c>
      <c r="CN35" s="787">
        <v>0</v>
      </c>
      <c r="CO35" s="787">
        <v>3156</v>
      </c>
      <c r="CP35" s="787">
        <v>0</v>
      </c>
      <c r="CQ35" s="787">
        <v>0</v>
      </c>
      <c r="CR35" s="787">
        <v>169312.72057464643</v>
      </c>
      <c r="CS35" s="787">
        <v>869027.06</v>
      </c>
      <c r="CT35" s="787">
        <v>108</v>
      </c>
      <c r="CU35" s="787">
        <v>240.21</v>
      </c>
      <c r="CV35" s="787">
        <v>869159.27</v>
      </c>
      <c r="CW35" s="787">
        <v>0</v>
      </c>
      <c r="CX35" s="787">
        <v>9474</v>
      </c>
      <c r="CY35" s="787">
        <v>4841</v>
      </c>
      <c r="CZ35" s="787">
        <v>3725</v>
      </c>
      <c r="DA35" s="787">
        <v>0</v>
      </c>
      <c r="DB35" s="787">
        <v>887199.27</v>
      </c>
      <c r="DC35" s="787">
        <v>0</v>
      </c>
      <c r="DD35" s="787">
        <v>0</v>
      </c>
      <c r="DE35" s="787">
        <v>0</v>
      </c>
      <c r="DF35" s="787">
        <v>0</v>
      </c>
      <c r="DG35" s="787"/>
      <c r="DH35" s="787"/>
      <c r="DI35" s="787"/>
      <c r="DJ35" s="787">
        <v>0</v>
      </c>
      <c r="DK35" s="787">
        <v>0</v>
      </c>
      <c r="DL35" s="787">
        <v>0</v>
      </c>
      <c r="DM35" s="787">
        <v>0</v>
      </c>
      <c r="DN35" s="787">
        <v>0</v>
      </c>
      <c r="DO35" s="787">
        <v>0</v>
      </c>
      <c r="DP35" s="787">
        <v>-593444.29</v>
      </c>
      <c r="DQ35" s="787">
        <v>-3200</v>
      </c>
      <c r="DR35" s="787">
        <v>0</v>
      </c>
      <c r="DS35" s="787">
        <v>0</v>
      </c>
      <c r="DT35" s="787">
        <v>-596644.29</v>
      </c>
      <c r="DU35" s="787">
        <v>0</v>
      </c>
      <c r="DV35" s="787">
        <v>0</v>
      </c>
      <c r="DW35" s="787">
        <v>-1245</v>
      </c>
      <c r="DX35" s="787">
        <v>0</v>
      </c>
      <c r="DY35" s="787">
        <v>0</v>
      </c>
      <c r="DZ35" s="787">
        <v>-119997.64</v>
      </c>
      <c r="EA35" s="787">
        <v>0.38057464646408334</v>
      </c>
      <c r="EE35">
        <f>_xlfn.XLOOKUP(C35,'[1]Cfwd Analysis'!$C:$C,'[1]Cfwd Analysis'!$I:$I,0,0)</f>
        <v>166156.72057464643</v>
      </c>
      <c r="EF35" s="788">
        <f t="shared" si="0"/>
        <v>0</v>
      </c>
    </row>
    <row r="36" spans="1:136" ht="15.6" hidden="1">
      <c r="A36" s="782" t="s">
        <v>1328</v>
      </c>
      <c r="B36" s="782" t="s">
        <v>590</v>
      </c>
      <c r="C36" s="783">
        <v>1048</v>
      </c>
      <c r="D36" s="784" t="s">
        <v>591</v>
      </c>
      <c r="E36" s="785" t="s">
        <v>521</v>
      </c>
      <c r="F36" s="786">
        <v>46094</v>
      </c>
      <c r="G36" s="785" t="s">
        <v>5</v>
      </c>
      <c r="H36" s="785" t="s">
        <v>602</v>
      </c>
      <c r="I36" s="787">
        <v>1015663.080560061</v>
      </c>
      <c r="J36" s="787">
        <v>0</v>
      </c>
      <c r="K36" s="787">
        <v>79162.899192613113</v>
      </c>
      <c r="L36" s="787">
        <v>0</v>
      </c>
      <c r="M36" s="787">
        <v>0</v>
      </c>
      <c r="N36" s="787">
        <v>14552</v>
      </c>
      <c r="O36" s="787">
        <v>0</v>
      </c>
      <c r="P36" s="787">
        <v>0</v>
      </c>
      <c r="Q36" s="787">
        <v>169472.34038000001</v>
      </c>
      <c r="R36" s="787">
        <v>0</v>
      </c>
      <c r="S36" s="787">
        <v>0</v>
      </c>
      <c r="T36" s="787">
        <v>0</v>
      </c>
      <c r="U36" s="787">
        <v>0</v>
      </c>
      <c r="V36" s="787">
        <v>0</v>
      </c>
      <c r="W36" s="787">
        <v>0</v>
      </c>
      <c r="X36" s="787">
        <v>1278850.3201326742</v>
      </c>
      <c r="Y36" s="787">
        <v>273999.28000000003</v>
      </c>
      <c r="Z36" s="787">
        <v>0</v>
      </c>
      <c r="AA36" s="787">
        <v>669581.39</v>
      </c>
      <c r="AB36" s="787">
        <v>9138.4500000000007</v>
      </c>
      <c r="AC36" s="787">
        <v>73639.73</v>
      </c>
      <c r="AD36" s="787">
        <v>0</v>
      </c>
      <c r="AE36" s="787">
        <v>0</v>
      </c>
      <c r="AF36" s="787">
        <v>0</v>
      </c>
      <c r="AG36" s="787">
        <v>12365.5</v>
      </c>
      <c r="AH36" s="787">
        <v>0</v>
      </c>
      <c r="AI36" s="787">
        <v>0</v>
      </c>
      <c r="AJ36" s="787">
        <v>12151.62</v>
      </c>
      <c r="AK36" s="787">
        <v>0</v>
      </c>
      <c r="AL36" s="787">
        <v>5514.29</v>
      </c>
      <c r="AM36" s="787">
        <v>590</v>
      </c>
      <c r="AN36" s="787">
        <v>5659.59</v>
      </c>
      <c r="AO36" s="787">
        <v>0</v>
      </c>
      <c r="AP36" s="787">
        <v>1555.8400000000001</v>
      </c>
      <c r="AQ36" s="787">
        <v>28266.05</v>
      </c>
      <c r="AR36" s="787">
        <v>0</v>
      </c>
      <c r="AS36" s="787">
        <v>0</v>
      </c>
      <c r="AT36" s="787">
        <v>10532.730000000001</v>
      </c>
      <c r="AU36" s="787">
        <v>0</v>
      </c>
      <c r="AV36" s="787">
        <v>0</v>
      </c>
      <c r="AW36" s="787">
        <v>0</v>
      </c>
      <c r="AX36" s="787">
        <v>0</v>
      </c>
      <c r="AY36" s="787">
        <v>0</v>
      </c>
      <c r="AZ36" s="787">
        <v>8826.9299999999894</v>
      </c>
      <c r="BA36" s="787">
        <v>3291.75</v>
      </c>
      <c r="BB36" s="787">
        <v>0</v>
      </c>
      <c r="BC36" s="787">
        <v>33778.400000000001</v>
      </c>
      <c r="BD36" s="787">
        <v>11659.95</v>
      </c>
      <c r="BE36" s="787">
        <v>0</v>
      </c>
      <c r="BF36" s="787">
        <v>140183</v>
      </c>
      <c r="BG36" s="787">
        <v>0</v>
      </c>
      <c r="BH36" s="787">
        <v>0</v>
      </c>
      <c r="BI36" s="787">
        <v>0</v>
      </c>
      <c r="BJ36" s="787">
        <v>1300734.5</v>
      </c>
      <c r="BK36" s="787">
        <v>196971.08000000066</v>
      </c>
      <c r="BL36" s="787">
        <v>-21884.179867325816</v>
      </c>
      <c r="BM36" s="787">
        <v>175086.90013267484</v>
      </c>
      <c r="BN36" s="787">
        <v>77313.5</v>
      </c>
      <c r="BO36" s="787">
        <v>0</v>
      </c>
      <c r="BP36" s="787">
        <v>0</v>
      </c>
      <c r="BQ36" s="787">
        <v>77313.5</v>
      </c>
      <c r="BR36" s="787">
        <v>0</v>
      </c>
      <c r="BS36" s="787">
        <v>108157.44</v>
      </c>
      <c r="BT36" s="787">
        <v>0</v>
      </c>
      <c r="BU36" s="787">
        <v>0</v>
      </c>
      <c r="BV36" s="787">
        <v>0</v>
      </c>
      <c r="BW36" s="787">
        <v>0</v>
      </c>
      <c r="BX36" s="787">
        <v>0</v>
      </c>
      <c r="BY36" s="787">
        <v>0</v>
      </c>
      <c r="BZ36" s="787">
        <v>108157.44</v>
      </c>
      <c r="CA36" s="787">
        <v>36877.43</v>
      </c>
      <c r="CB36" s="787">
        <v>-30843.940000000002</v>
      </c>
      <c r="CC36" s="787">
        <v>6033.489999999998</v>
      </c>
      <c r="CD36" s="787">
        <v>0</v>
      </c>
      <c r="CE36" s="787">
        <v>0</v>
      </c>
      <c r="CF36" s="787">
        <v>0</v>
      </c>
      <c r="CG36" s="787">
        <v>0</v>
      </c>
      <c r="CH36" s="787">
        <v>0</v>
      </c>
      <c r="CI36" s="787">
        <v>0</v>
      </c>
      <c r="CJ36" s="787">
        <v>0</v>
      </c>
      <c r="CK36" s="787">
        <v>0</v>
      </c>
      <c r="CL36" s="787">
        <v>0</v>
      </c>
      <c r="CM36" s="787">
        <v>175086.90013267484</v>
      </c>
      <c r="CN36" s="787">
        <v>0</v>
      </c>
      <c r="CO36" s="787">
        <v>6033.489999999998</v>
      </c>
      <c r="CP36" s="787">
        <v>0</v>
      </c>
      <c r="CQ36" s="787">
        <v>0</v>
      </c>
      <c r="CR36" s="787">
        <v>181120.39013267483</v>
      </c>
      <c r="CS36" s="787">
        <v>297415.64</v>
      </c>
      <c r="CT36" s="787">
        <v>0</v>
      </c>
      <c r="CU36" s="787">
        <v>0</v>
      </c>
      <c r="CV36" s="787">
        <v>297415.64</v>
      </c>
      <c r="CW36" s="787">
        <v>0</v>
      </c>
      <c r="CX36" s="787">
        <v>9301.41</v>
      </c>
      <c r="CY36" s="787">
        <v>0</v>
      </c>
      <c r="CZ36" s="787">
        <v>0</v>
      </c>
      <c r="DA36" s="787">
        <v>0</v>
      </c>
      <c r="DB36" s="787">
        <v>306717.05</v>
      </c>
      <c r="DC36" s="787">
        <v>0</v>
      </c>
      <c r="DD36" s="787">
        <v>0</v>
      </c>
      <c r="DE36" s="787">
        <v>0</v>
      </c>
      <c r="DF36" s="787">
        <v>0</v>
      </c>
      <c r="DG36" s="787"/>
      <c r="DH36" s="787"/>
      <c r="DI36" s="787"/>
      <c r="DJ36" s="787">
        <v>0</v>
      </c>
      <c r="DK36" s="787">
        <v>0</v>
      </c>
      <c r="DL36" s="787">
        <v>86802.6</v>
      </c>
      <c r="DM36" s="787">
        <v>0</v>
      </c>
      <c r="DN36" s="787">
        <v>0</v>
      </c>
      <c r="DO36" s="787">
        <v>0</v>
      </c>
      <c r="DP36" s="787">
        <v>-144659.88</v>
      </c>
      <c r="DQ36" s="787">
        <v>-1555.84</v>
      </c>
      <c r="DR36" s="787">
        <v>0</v>
      </c>
      <c r="DS36" s="787">
        <v>0</v>
      </c>
      <c r="DT36" s="787">
        <v>-59413.119999999995</v>
      </c>
      <c r="DU36" s="787">
        <v>0</v>
      </c>
      <c r="DV36" s="787">
        <v>0</v>
      </c>
      <c r="DW36" s="787">
        <v>0</v>
      </c>
      <c r="DX36" s="787">
        <v>0</v>
      </c>
      <c r="DY36" s="787">
        <v>0</v>
      </c>
      <c r="DZ36" s="787">
        <v>-66183.739999999991</v>
      </c>
      <c r="EA36" s="787">
        <v>0.20013267482863739</v>
      </c>
      <c r="EE36">
        <f>_xlfn.XLOOKUP(C36,'[1]Cfwd Analysis'!$C:$C,'[1]Cfwd Analysis'!$I:$I,0,0)</f>
        <v>175086.90013267484</v>
      </c>
      <c r="EF36" s="788">
        <f t="shared" si="0"/>
        <v>0</v>
      </c>
    </row>
    <row r="37" spans="1:136" ht="15.6" hidden="1">
      <c r="A37" s="782" t="s">
        <v>1329</v>
      </c>
      <c r="B37" s="782" t="s">
        <v>592</v>
      </c>
      <c r="C37" s="783">
        <v>2312</v>
      </c>
      <c r="D37" s="784" t="s">
        <v>593</v>
      </c>
      <c r="E37" s="785" t="s">
        <v>521</v>
      </c>
      <c r="F37" s="786">
        <v>46094</v>
      </c>
      <c r="G37" s="785" t="s">
        <v>5</v>
      </c>
      <c r="H37" s="785" t="s">
        <v>604</v>
      </c>
      <c r="I37" s="787">
        <v>2231663.6941999993</v>
      </c>
      <c r="J37" s="787">
        <v>0</v>
      </c>
      <c r="K37" s="787">
        <v>305831.03999999998</v>
      </c>
      <c r="L37" s="787">
        <v>0</v>
      </c>
      <c r="M37" s="787">
        <v>127875.38</v>
      </c>
      <c r="N37" s="787">
        <v>84600</v>
      </c>
      <c r="O37" s="787">
        <v>0</v>
      </c>
      <c r="P37" s="787">
        <v>145521</v>
      </c>
      <c r="Q37" s="787">
        <v>124197.17000000001</v>
      </c>
      <c r="R37" s="787">
        <v>46104.57</v>
      </c>
      <c r="S37" s="787">
        <v>0</v>
      </c>
      <c r="T37" s="787">
        <v>0</v>
      </c>
      <c r="U37" s="787">
        <v>53697.22</v>
      </c>
      <c r="V37" s="787">
        <v>1479.72</v>
      </c>
      <c r="W37" s="787">
        <v>0</v>
      </c>
      <c r="X37" s="787">
        <v>3120969.7941999994</v>
      </c>
      <c r="Y37" s="787">
        <v>1434788.06</v>
      </c>
      <c r="Z37" s="787">
        <v>0</v>
      </c>
      <c r="AA37" s="787">
        <v>502749.01</v>
      </c>
      <c r="AB37" s="787">
        <v>122443.53</v>
      </c>
      <c r="AC37" s="787">
        <v>217871</v>
      </c>
      <c r="AD37" s="787">
        <v>62047.450000000004</v>
      </c>
      <c r="AE37" s="787">
        <v>129596.23</v>
      </c>
      <c r="AF37" s="787">
        <v>61.9</v>
      </c>
      <c r="AG37" s="787">
        <v>11853.57</v>
      </c>
      <c r="AH37" s="787">
        <v>0</v>
      </c>
      <c r="AI37" s="787">
        <v>0</v>
      </c>
      <c r="AJ37" s="787">
        <v>33635.019999999997</v>
      </c>
      <c r="AK37" s="787">
        <v>339.37</v>
      </c>
      <c r="AL37" s="787">
        <v>3060.04</v>
      </c>
      <c r="AM37" s="787">
        <v>4105.6499999999996</v>
      </c>
      <c r="AN37" s="787">
        <v>37788.03</v>
      </c>
      <c r="AO37" s="787">
        <v>30209.88</v>
      </c>
      <c r="AP37" s="787">
        <v>14021.7</v>
      </c>
      <c r="AQ37" s="787">
        <v>122920.25</v>
      </c>
      <c r="AR37" s="787">
        <v>0</v>
      </c>
      <c r="AS37" s="787">
        <v>0</v>
      </c>
      <c r="AT37" s="787">
        <v>15977.78</v>
      </c>
      <c r="AU37" s="787">
        <v>0</v>
      </c>
      <c r="AV37" s="787">
        <v>0</v>
      </c>
      <c r="AW37" s="787">
        <v>0</v>
      </c>
      <c r="AX37" s="787">
        <v>0</v>
      </c>
      <c r="AY37" s="787">
        <v>0</v>
      </c>
      <c r="AZ37" s="787">
        <v>27227.510000000002</v>
      </c>
      <c r="BA37" s="787">
        <v>22854.67</v>
      </c>
      <c r="BB37" s="787">
        <v>0</v>
      </c>
      <c r="BC37" s="787">
        <v>61787.86</v>
      </c>
      <c r="BD37" s="787">
        <v>258986.56</v>
      </c>
      <c r="BE37" s="787">
        <v>11493.9</v>
      </c>
      <c r="BF37" s="787">
        <v>87508.15</v>
      </c>
      <c r="BG37" s="787">
        <v>0</v>
      </c>
      <c r="BH37" s="787">
        <v>0</v>
      </c>
      <c r="BI37" s="787">
        <v>0</v>
      </c>
      <c r="BJ37" s="787">
        <v>3213327.1199999992</v>
      </c>
      <c r="BK37" s="787">
        <v>-338161.9600000002</v>
      </c>
      <c r="BL37" s="787">
        <v>-92357.325799999759</v>
      </c>
      <c r="BM37" s="787">
        <v>-430519.28579999995</v>
      </c>
      <c r="BN37" s="787">
        <v>8725</v>
      </c>
      <c r="BO37" s="787">
        <v>0</v>
      </c>
      <c r="BP37" s="787">
        <v>0</v>
      </c>
      <c r="BQ37" s="787">
        <v>8725</v>
      </c>
      <c r="BR37" s="787">
        <v>0</v>
      </c>
      <c r="BS37" s="787">
        <v>0</v>
      </c>
      <c r="BT37" s="787">
        <v>0</v>
      </c>
      <c r="BU37" s="787">
        <v>0</v>
      </c>
      <c r="BV37" s="787">
        <v>0</v>
      </c>
      <c r="BW37" s="787">
        <v>0</v>
      </c>
      <c r="BX37" s="787">
        <v>12775</v>
      </c>
      <c r="BY37" s="787">
        <v>0</v>
      </c>
      <c r="BZ37" s="787">
        <v>12775</v>
      </c>
      <c r="CA37" s="787">
        <v>20443.610000000004</v>
      </c>
      <c r="CB37" s="787">
        <v>-4050</v>
      </c>
      <c r="CC37" s="787">
        <v>16393.610000000004</v>
      </c>
      <c r="CD37" s="787">
        <v>0</v>
      </c>
      <c r="CE37" s="787">
        <v>0</v>
      </c>
      <c r="CF37" s="787">
        <v>0</v>
      </c>
      <c r="CG37" s="787">
        <v>0</v>
      </c>
      <c r="CH37" s="787">
        <v>0</v>
      </c>
      <c r="CI37" s="787">
        <v>0</v>
      </c>
      <c r="CJ37" s="787">
        <v>0</v>
      </c>
      <c r="CK37" s="787">
        <v>0</v>
      </c>
      <c r="CL37" s="787">
        <v>0</v>
      </c>
      <c r="CM37" s="787">
        <v>0</v>
      </c>
      <c r="CN37" s="787">
        <v>-430519.28579999995</v>
      </c>
      <c r="CO37" s="787">
        <v>16393.610000000004</v>
      </c>
      <c r="CP37" s="787">
        <v>0</v>
      </c>
      <c r="CQ37" s="787">
        <v>0</v>
      </c>
      <c r="CR37" s="787">
        <v>-414125.67579999997</v>
      </c>
      <c r="CS37" s="787">
        <v>236994.47</v>
      </c>
      <c r="CT37" s="787">
        <v>45286.26</v>
      </c>
      <c r="CU37" s="787">
        <v>0</v>
      </c>
      <c r="CV37" s="787">
        <v>191708.21</v>
      </c>
      <c r="CW37" s="787">
        <v>0</v>
      </c>
      <c r="CX37" s="787">
        <v>7981.58</v>
      </c>
      <c r="CY37" s="787">
        <v>13082.06</v>
      </c>
      <c r="CZ37" s="787">
        <v>9194.69</v>
      </c>
      <c r="DA37" s="787">
        <v>0</v>
      </c>
      <c r="DB37" s="787">
        <v>221966.53999999998</v>
      </c>
      <c r="DC37" s="787">
        <v>0</v>
      </c>
      <c r="DD37" s="787">
        <v>0</v>
      </c>
      <c r="DE37" s="787">
        <v>0</v>
      </c>
      <c r="DF37" s="787">
        <v>0</v>
      </c>
      <c r="DG37" s="787"/>
      <c r="DH37" s="787"/>
      <c r="DI37" s="787"/>
      <c r="DJ37" s="787">
        <v>-338161.96</v>
      </c>
      <c r="DK37" s="787">
        <v>-338161.96</v>
      </c>
      <c r="DL37" s="787">
        <v>15367.28</v>
      </c>
      <c r="DM37" s="787">
        <v>37421.81</v>
      </c>
      <c r="DN37" s="787">
        <v>0</v>
      </c>
      <c r="DO37" s="787">
        <v>0</v>
      </c>
      <c r="DP37" s="787">
        <v>-219186.85</v>
      </c>
      <c r="DQ37" s="787">
        <v>0</v>
      </c>
      <c r="DR37" s="787">
        <v>0</v>
      </c>
      <c r="DS37" s="787">
        <v>0</v>
      </c>
      <c r="DT37" s="787">
        <v>-166397.76000000001</v>
      </c>
      <c r="DU37" s="787">
        <v>0</v>
      </c>
      <c r="DV37" s="787">
        <v>0</v>
      </c>
      <c r="DW37" s="787">
        <v>0</v>
      </c>
      <c r="DX37" s="787">
        <v>-131532.62</v>
      </c>
      <c r="DY37" s="787">
        <v>0</v>
      </c>
      <c r="DZ37" s="787">
        <v>0</v>
      </c>
      <c r="EA37" s="787">
        <v>0.12420000007841736</v>
      </c>
      <c r="EC37" s="788">
        <v>16393.610000000004</v>
      </c>
      <c r="EE37">
        <f>_xlfn.XLOOKUP(C37,'[1]Cfwd Analysis'!$C:$C,'[1]Cfwd Analysis'!$I:$I,0,0)</f>
        <v>-430519.28579999995</v>
      </c>
      <c r="EF37" s="788">
        <f t="shared" si="0"/>
        <v>0</v>
      </c>
    </row>
    <row r="38" spans="1:136" ht="15.6" hidden="1">
      <c r="A38" s="782" t="s">
        <v>1330</v>
      </c>
      <c r="B38" s="782" t="s">
        <v>594</v>
      </c>
      <c r="C38" s="783">
        <v>7051</v>
      </c>
      <c r="D38" s="784" t="s">
        <v>595</v>
      </c>
      <c r="E38" s="785" t="s">
        <v>521</v>
      </c>
      <c r="F38" s="786">
        <v>46094</v>
      </c>
      <c r="G38" s="785" t="s">
        <v>5</v>
      </c>
      <c r="H38" s="785" t="s">
        <v>607</v>
      </c>
      <c r="I38" s="787">
        <v>1222449.4776086956</v>
      </c>
      <c r="J38" s="787">
        <v>0</v>
      </c>
      <c r="K38" s="787">
        <v>1952055.350491578</v>
      </c>
      <c r="L38" s="787">
        <v>0</v>
      </c>
      <c r="M38" s="787">
        <v>115380</v>
      </c>
      <c r="N38" s="787">
        <v>24124.86</v>
      </c>
      <c r="O38" s="787">
        <v>1313.13</v>
      </c>
      <c r="P38" s="787">
        <v>0</v>
      </c>
      <c r="Q38" s="787">
        <v>29789.26</v>
      </c>
      <c r="R38" s="787">
        <v>3833.81</v>
      </c>
      <c r="S38" s="787">
        <v>0</v>
      </c>
      <c r="T38" s="787">
        <v>0</v>
      </c>
      <c r="U38" s="787">
        <v>96.11</v>
      </c>
      <c r="V38" s="787">
        <v>0</v>
      </c>
      <c r="W38" s="787">
        <v>0</v>
      </c>
      <c r="X38" s="787">
        <v>3349041.9981002728</v>
      </c>
      <c r="Y38" s="787">
        <v>758451.74</v>
      </c>
      <c r="Z38" s="787">
        <v>0</v>
      </c>
      <c r="AA38" s="787">
        <v>959058.59</v>
      </c>
      <c r="AB38" s="787">
        <v>156490.43</v>
      </c>
      <c r="AC38" s="787">
        <v>101024.11</v>
      </c>
      <c r="AD38" s="787">
        <v>0</v>
      </c>
      <c r="AE38" s="787">
        <v>35225.769999999997</v>
      </c>
      <c r="AF38" s="787">
        <v>10917.29</v>
      </c>
      <c r="AG38" s="787">
        <v>22731.93</v>
      </c>
      <c r="AH38" s="787">
        <v>0</v>
      </c>
      <c r="AI38" s="787">
        <v>0</v>
      </c>
      <c r="AJ38" s="787">
        <v>22471.86</v>
      </c>
      <c r="AK38" s="787">
        <v>4194.3999999999996</v>
      </c>
      <c r="AL38" s="787">
        <v>3422.55</v>
      </c>
      <c r="AM38" s="787">
        <v>2968.92</v>
      </c>
      <c r="AN38" s="787">
        <v>36181.800000000003</v>
      </c>
      <c r="AO38" s="787">
        <v>0</v>
      </c>
      <c r="AP38" s="787">
        <v>16139.78</v>
      </c>
      <c r="AQ38" s="787">
        <v>43848.2</v>
      </c>
      <c r="AR38" s="787">
        <v>5110</v>
      </c>
      <c r="AS38" s="787">
        <v>0</v>
      </c>
      <c r="AT38" s="787">
        <v>1602.3</v>
      </c>
      <c r="AU38" s="787">
        <v>14044.38</v>
      </c>
      <c r="AV38" s="787">
        <v>11817.79</v>
      </c>
      <c r="AW38" s="787">
        <v>5472.25</v>
      </c>
      <c r="AX38" s="787">
        <v>0</v>
      </c>
      <c r="AY38" s="787">
        <v>0</v>
      </c>
      <c r="AZ38" s="787">
        <v>20565.59</v>
      </c>
      <c r="BA38" s="787">
        <v>8881.67</v>
      </c>
      <c r="BB38" s="787">
        <v>0</v>
      </c>
      <c r="BC38" s="787">
        <v>91678.420000000013</v>
      </c>
      <c r="BD38" s="787">
        <v>155368.91999999998</v>
      </c>
      <c r="BE38" s="787">
        <v>506644.07</v>
      </c>
      <c r="BF38" s="787">
        <v>194326.13</v>
      </c>
      <c r="BG38" s="787">
        <v>0</v>
      </c>
      <c r="BH38" s="787">
        <v>0</v>
      </c>
      <c r="BI38" s="787">
        <v>10957.35</v>
      </c>
      <c r="BJ38" s="787">
        <v>3199596.2399999993</v>
      </c>
      <c r="BK38" s="787">
        <v>1103640.2800000003</v>
      </c>
      <c r="BL38" s="787">
        <v>149445.75810027355</v>
      </c>
      <c r="BM38" s="787">
        <v>1253086.0381002738</v>
      </c>
      <c r="BN38" s="787">
        <v>9771.25</v>
      </c>
      <c r="BO38" s="787">
        <v>0</v>
      </c>
      <c r="BP38" s="787">
        <v>10957.35</v>
      </c>
      <c r="BQ38" s="787">
        <v>20728.599999999999</v>
      </c>
      <c r="BR38" s="787">
        <v>0</v>
      </c>
      <c r="BS38" s="787">
        <v>5004.59</v>
      </c>
      <c r="BT38" s="787">
        <v>15970</v>
      </c>
      <c r="BU38" s="787">
        <v>0</v>
      </c>
      <c r="BV38" s="787">
        <v>0</v>
      </c>
      <c r="BW38" s="787">
        <v>1873.76</v>
      </c>
      <c r="BX38" s="787">
        <v>0</v>
      </c>
      <c r="BY38" s="787">
        <v>0</v>
      </c>
      <c r="BZ38" s="787">
        <v>22848.35</v>
      </c>
      <c r="CA38" s="787">
        <v>2120</v>
      </c>
      <c r="CB38" s="787">
        <v>-2119.75</v>
      </c>
      <c r="CC38" s="787">
        <v>0.25</v>
      </c>
      <c r="CD38" s="787">
        <v>0</v>
      </c>
      <c r="CE38" s="787">
        <v>0</v>
      </c>
      <c r="CF38" s="787">
        <v>0</v>
      </c>
      <c r="CG38" s="787">
        <v>0</v>
      </c>
      <c r="CH38" s="787">
        <v>0</v>
      </c>
      <c r="CI38" s="787">
        <v>0</v>
      </c>
      <c r="CJ38" s="787">
        <v>0</v>
      </c>
      <c r="CK38" s="787">
        <v>0</v>
      </c>
      <c r="CL38" s="787">
        <v>0</v>
      </c>
      <c r="CM38" s="787">
        <v>1253086.0381002738</v>
      </c>
      <c r="CN38" s="787">
        <v>0</v>
      </c>
      <c r="CO38" s="787">
        <v>0.25</v>
      </c>
      <c r="CP38" s="787">
        <v>0</v>
      </c>
      <c r="CQ38" s="787">
        <v>0</v>
      </c>
      <c r="CR38" s="787">
        <v>1253086.2881002738</v>
      </c>
      <c r="CS38" s="787">
        <v>25000</v>
      </c>
      <c r="CT38" s="787">
        <v>284948</v>
      </c>
      <c r="CU38" s="787">
        <v>87</v>
      </c>
      <c r="CV38" s="787">
        <v>-259861</v>
      </c>
      <c r="CW38" s="787">
        <v>0</v>
      </c>
      <c r="CX38" s="787">
        <v>10873</v>
      </c>
      <c r="CY38" s="787">
        <v>24881</v>
      </c>
      <c r="CZ38" s="787">
        <v>0</v>
      </c>
      <c r="DA38" s="787">
        <v>0</v>
      </c>
      <c r="DB38" s="787">
        <v>-224107</v>
      </c>
      <c r="DC38" s="787">
        <v>1567512</v>
      </c>
      <c r="DD38" s="787">
        <v>0</v>
      </c>
      <c r="DE38" s="787">
        <v>0</v>
      </c>
      <c r="DF38" s="787">
        <v>1567512</v>
      </c>
      <c r="DG38" s="787"/>
      <c r="DH38" s="787"/>
      <c r="DI38" s="787"/>
      <c r="DJ38" s="787">
        <v>0</v>
      </c>
      <c r="DK38" s="787">
        <v>1567512</v>
      </c>
      <c r="DL38" s="787">
        <v>21339.34</v>
      </c>
      <c r="DM38" s="787">
        <v>14792.87</v>
      </c>
      <c r="DN38" s="787">
        <v>14119.52</v>
      </c>
      <c r="DO38" s="787">
        <v>0</v>
      </c>
      <c r="DP38" s="787">
        <v>-80802.31</v>
      </c>
      <c r="DQ38" s="787">
        <v>-23974.85</v>
      </c>
      <c r="DR38" s="787">
        <v>-1765.15</v>
      </c>
      <c r="DS38" s="787">
        <v>0</v>
      </c>
      <c r="DT38" s="787">
        <v>-56290.58</v>
      </c>
      <c r="DU38" s="787">
        <v>0</v>
      </c>
      <c r="DV38" s="787">
        <v>0</v>
      </c>
      <c r="DW38" s="787">
        <v>0</v>
      </c>
      <c r="DX38" s="787">
        <v>0</v>
      </c>
      <c r="DY38" s="787">
        <v>0</v>
      </c>
      <c r="DZ38" s="787">
        <v>-34028.42</v>
      </c>
      <c r="EA38" s="787">
        <v>0.28810027381405234</v>
      </c>
      <c r="EE38">
        <f>_xlfn.XLOOKUP(C38,'[1]Cfwd Analysis'!$C:$C,'[1]Cfwd Analysis'!$I:$I,0,0)</f>
        <v>1253086.0381002738</v>
      </c>
      <c r="EF38" s="788">
        <f t="shared" si="0"/>
        <v>0</v>
      </c>
    </row>
    <row r="39" spans="1:136" ht="15.6" hidden="1">
      <c r="A39" s="782" t="s">
        <v>1331</v>
      </c>
      <c r="B39" s="782" t="s">
        <v>596</v>
      </c>
      <c r="C39" s="783">
        <v>2040</v>
      </c>
      <c r="D39" s="784" t="s">
        <v>597</v>
      </c>
      <c r="E39" s="785" t="s">
        <v>521</v>
      </c>
      <c r="F39" s="786">
        <v>46094</v>
      </c>
      <c r="G39" s="785" t="s">
        <v>5</v>
      </c>
      <c r="H39" s="785" t="s">
        <v>609</v>
      </c>
      <c r="I39" s="787">
        <v>2852990.0528233359</v>
      </c>
      <c r="J39" s="787">
        <v>0</v>
      </c>
      <c r="K39" s="787">
        <v>327502.68333333335</v>
      </c>
      <c r="L39" s="787">
        <v>0</v>
      </c>
      <c r="M39" s="787">
        <v>185115</v>
      </c>
      <c r="N39" s="787">
        <v>79253.289999999994</v>
      </c>
      <c r="O39" s="787">
        <v>0</v>
      </c>
      <c r="P39" s="787">
        <v>16367</v>
      </c>
      <c r="Q39" s="787">
        <v>38431.701484999998</v>
      </c>
      <c r="R39" s="787">
        <v>37927.1</v>
      </c>
      <c r="S39" s="787">
        <v>12211</v>
      </c>
      <c r="T39" s="787">
        <v>0</v>
      </c>
      <c r="U39" s="787">
        <v>13787.04</v>
      </c>
      <c r="V39" s="787">
        <v>45609.38</v>
      </c>
      <c r="W39" s="787">
        <v>0</v>
      </c>
      <c r="X39" s="787">
        <v>3609194.2476416696</v>
      </c>
      <c r="Y39" s="787">
        <v>1417293.7</v>
      </c>
      <c r="Z39" s="787">
        <v>0</v>
      </c>
      <c r="AA39" s="787">
        <v>503251.06</v>
      </c>
      <c r="AB39" s="787">
        <v>88814.47</v>
      </c>
      <c r="AC39" s="787">
        <v>183586.5</v>
      </c>
      <c r="AD39" s="787">
        <v>0</v>
      </c>
      <c r="AE39" s="787">
        <v>224527.13</v>
      </c>
      <c r="AF39" s="787">
        <v>460.86</v>
      </c>
      <c r="AG39" s="787">
        <v>9248.5300000000007</v>
      </c>
      <c r="AH39" s="787">
        <v>0</v>
      </c>
      <c r="AI39" s="787">
        <v>26460.880000000001</v>
      </c>
      <c r="AJ39" s="787">
        <v>38804.11</v>
      </c>
      <c r="AK39" s="787">
        <v>5703.93</v>
      </c>
      <c r="AL39" s="787">
        <v>8308.7999999999993</v>
      </c>
      <c r="AM39" s="787">
        <v>7944.06</v>
      </c>
      <c r="AN39" s="787">
        <v>33384.730000000003</v>
      </c>
      <c r="AO39" s="787">
        <v>48251.81</v>
      </c>
      <c r="AP39" s="787">
        <v>18505.79</v>
      </c>
      <c r="AQ39" s="787">
        <v>70804.53</v>
      </c>
      <c r="AR39" s="787">
        <v>0</v>
      </c>
      <c r="AS39" s="787">
        <v>0</v>
      </c>
      <c r="AT39" s="787">
        <v>1923.5</v>
      </c>
      <c r="AU39" s="787">
        <v>4794.8599999999997</v>
      </c>
      <c r="AV39" s="787">
        <v>0</v>
      </c>
      <c r="AW39" s="787">
        <v>1060.01</v>
      </c>
      <c r="AX39" s="787">
        <v>95</v>
      </c>
      <c r="AY39" s="787">
        <v>0</v>
      </c>
      <c r="AZ39" s="787">
        <v>7242.84</v>
      </c>
      <c r="BA39" s="787">
        <v>19067</v>
      </c>
      <c r="BB39" s="787">
        <v>10477.01</v>
      </c>
      <c r="BC39" s="787">
        <v>157125.53</v>
      </c>
      <c r="BD39" s="787">
        <v>118187.13</v>
      </c>
      <c r="BE39" s="787">
        <v>251578.55000000002</v>
      </c>
      <c r="BF39" s="787">
        <v>181962.01</v>
      </c>
      <c r="BG39" s="787">
        <v>0</v>
      </c>
      <c r="BH39" s="787">
        <v>0</v>
      </c>
      <c r="BI39" s="787">
        <v>0</v>
      </c>
      <c r="BJ39" s="787">
        <v>3438864.3299999982</v>
      </c>
      <c r="BK39" s="787">
        <v>296517.50999999978</v>
      </c>
      <c r="BL39" s="787">
        <v>170329.91764167137</v>
      </c>
      <c r="BM39" s="787">
        <v>466847.42764167115</v>
      </c>
      <c r="BN39" s="787">
        <v>9024.25</v>
      </c>
      <c r="BO39" s="787">
        <v>0</v>
      </c>
      <c r="BP39" s="787">
        <v>0</v>
      </c>
      <c r="BQ39" s="787">
        <v>9024.25</v>
      </c>
      <c r="BR39" s="787">
        <v>0</v>
      </c>
      <c r="BS39" s="787">
        <v>5395.74</v>
      </c>
      <c r="BT39" s="787">
        <v>0</v>
      </c>
      <c r="BU39" s="787">
        <v>0</v>
      </c>
      <c r="BV39" s="787">
        <v>0</v>
      </c>
      <c r="BW39" s="787">
        <v>0</v>
      </c>
      <c r="BX39" s="787">
        <v>0</v>
      </c>
      <c r="BY39" s="787">
        <v>0</v>
      </c>
      <c r="BZ39" s="787">
        <v>5395.74</v>
      </c>
      <c r="CA39" s="787">
        <v>0</v>
      </c>
      <c r="CB39" s="787">
        <v>3628.51</v>
      </c>
      <c r="CC39" s="787">
        <v>3628.51</v>
      </c>
      <c r="CD39" s="787">
        <v>0</v>
      </c>
      <c r="CE39" s="787">
        <v>0</v>
      </c>
      <c r="CF39" s="787">
        <v>0</v>
      </c>
      <c r="CG39" s="787">
        <v>0</v>
      </c>
      <c r="CH39" s="787">
        <v>0</v>
      </c>
      <c r="CI39" s="787">
        <v>0</v>
      </c>
      <c r="CJ39" s="787">
        <v>0</v>
      </c>
      <c r="CK39" s="787">
        <v>0</v>
      </c>
      <c r="CL39" s="787">
        <v>0</v>
      </c>
      <c r="CM39" s="787">
        <v>466847.42764167115</v>
      </c>
      <c r="CN39" s="787">
        <v>0</v>
      </c>
      <c r="CO39" s="787">
        <v>3628.51</v>
      </c>
      <c r="CP39" s="787">
        <v>0</v>
      </c>
      <c r="CQ39" s="787">
        <v>0</v>
      </c>
      <c r="CR39" s="787">
        <v>470475.93764167116</v>
      </c>
      <c r="CS39" s="787">
        <v>757533.4</v>
      </c>
      <c r="CT39" s="787">
        <v>11561.04</v>
      </c>
      <c r="CU39" s="787">
        <v>0</v>
      </c>
      <c r="CV39" s="787">
        <v>745972.36</v>
      </c>
      <c r="CW39" s="787">
        <v>0</v>
      </c>
      <c r="CX39" s="787">
        <v>8988.15</v>
      </c>
      <c r="CY39" s="787">
        <v>13988.19</v>
      </c>
      <c r="CZ39" s="787">
        <v>0</v>
      </c>
      <c r="DA39" s="787">
        <v>0</v>
      </c>
      <c r="DB39" s="787">
        <v>768948.7</v>
      </c>
      <c r="DC39" s="787">
        <v>0</v>
      </c>
      <c r="DD39" s="787">
        <v>0</v>
      </c>
      <c r="DE39" s="787">
        <v>0</v>
      </c>
      <c r="DF39" s="787">
        <v>0</v>
      </c>
      <c r="DG39" s="787"/>
      <c r="DH39" s="787"/>
      <c r="DI39" s="787"/>
      <c r="DJ39" s="787">
        <v>0</v>
      </c>
      <c r="DK39" s="787">
        <v>0</v>
      </c>
      <c r="DL39" s="787">
        <v>0</v>
      </c>
      <c r="DM39" s="787">
        <v>0</v>
      </c>
      <c r="DN39" s="787">
        <v>0</v>
      </c>
      <c r="DO39" s="787">
        <v>0</v>
      </c>
      <c r="DP39" s="787">
        <v>-212956.25</v>
      </c>
      <c r="DQ39" s="787">
        <v>-43568.82</v>
      </c>
      <c r="DR39" s="787">
        <v>0</v>
      </c>
      <c r="DS39" s="787">
        <v>0</v>
      </c>
      <c r="DT39" s="787">
        <v>-256525.07</v>
      </c>
      <c r="DU39" s="787">
        <v>0</v>
      </c>
      <c r="DV39" s="787">
        <v>0</v>
      </c>
      <c r="DW39" s="787">
        <v>0</v>
      </c>
      <c r="DX39" s="787">
        <v>0</v>
      </c>
      <c r="DY39" s="787">
        <v>0</v>
      </c>
      <c r="DZ39" s="787">
        <v>-41947.61</v>
      </c>
      <c r="EA39" s="787">
        <v>-8.235832880018279E-2</v>
      </c>
      <c r="EC39" s="788">
        <v>3628.51</v>
      </c>
      <c r="EE39">
        <f>_xlfn.XLOOKUP(C39,'[1]Cfwd Analysis'!$C:$C,'[1]Cfwd Analysis'!$I:$I,0,0)</f>
        <v>466847.42764167115</v>
      </c>
      <c r="EF39" s="788">
        <f t="shared" si="0"/>
        <v>0</v>
      </c>
    </row>
    <row r="40" spans="1:136" ht="15.6" hidden="1">
      <c r="A40" s="782" t="s">
        <v>1332</v>
      </c>
      <c r="B40" s="782" t="s">
        <v>598</v>
      </c>
      <c r="C40" s="783">
        <v>2251</v>
      </c>
      <c r="D40" s="784" t="s">
        <v>599</v>
      </c>
      <c r="E40" s="785" t="s">
        <v>521</v>
      </c>
      <c r="F40" s="786">
        <v>46094</v>
      </c>
      <c r="G40" s="785" t="s">
        <v>5</v>
      </c>
      <c r="H40" s="785" t="s">
        <v>611</v>
      </c>
      <c r="I40" s="787">
        <v>2301155.2026592796</v>
      </c>
      <c r="J40" s="787">
        <v>0</v>
      </c>
      <c r="K40" s="787">
        <v>134733.49213296399</v>
      </c>
      <c r="L40" s="787">
        <v>0</v>
      </c>
      <c r="M40" s="787">
        <v>126460</v>
      </c>
      <c r="N40" s="787">
        <v>103160</v>
      </c>
      <c r="O40" s="787">
        <v>0</v>
      </c>
      <c r="P40" s="787">
        <v>9094</v>
      </c>
      <c r="Q40" s="787">
        <v>22967</v>
      </c>
      <c r="R40" s="787">
        <v>45603</v>
      </c>
      <c r="S40" s="787">
        <v>0</v>
      </c>
      <c r="T40" s="787">
        <v>0</v>
      </c>
      <c r="U40" s="787">
        <v>156927</v>
      </c>
      <c r="V40" s="787">
        <v>0</v>
      </c>
      <c r="W40" s="787">
        <v>0</v>
      </c>
      <c r="X40" s="787">
        <v>2900099.6947922437</v>
      </c>
      <c r="Y40" s="787">
        <v>1321274.77</v>
      </c>
      <c r="Z40" s="787">
        <v>0</v>
      </c>
      <c r="AA40" s="787">
        <v>485493.35</v>
      </c>
      <c r="AB40" s="787">
        <v>0</v>
      </c>
      <c r="AC40" s="787">
        <v>147033.14000000001</v>
      </c>
      <c r="AD40" s="787">
        <v>103737.08</v>
      </c>
      <c r="AE40" s="787">
        <v>39481.300000000003</v>
      </c>
      <c r="AF40" s="787">
        <v>0</v>
      </c>
      <c r="AG40" s="787">
        <v>5607</v>
      </c>
      <c r="AH40" s="787">
        <v>0</v>
      </c>
      <c r="AI40" s="787">
        <v>0</v>
      </c>
      <c r="AJ40" s="787">
        <v>2380</v>
      </c>
      <c r="AK40" s="787">
        <v>0</v>
      </c>
      <c r="AL40" s="787">
        <v>0</v>
      </c>
      <c r="AM40" s="787">
        <v>12393</v>
      </c>
      <c r="AN40" s="787">
        <v>43812</v>
      </c>
      <c r="AO40" s="787">
        <v>17820.63</v>
      </c>
      <c r="AP40" s="787">
        <v>0</v>
      </c>
      <c r="AQ40" s="787">
        <v>92328</v>
      </c>
      <c r="AR40" s="787">
        <v>0</v>
      </c>
      <c r="AS40" s="787">
        <v>0</v>
      </c>
      <c r="AT40" s="787">
        <v>0</v>
      </c>
      <c r="AU40" s="787">
        <v>0</v>
      </c>
      <c r="AV40" s="787">
        <v>787</v>
      </c>
      <c r="AW40" s="787">
        <v>0</v>
      </c>
      <c r="AX40" s="787">
        <v>40</v>
      </c>
      <c r="AY40" s="787">
        <v>0</v>
      </c>
      <c r="AZ40" s="787">
        <v>17222</v>
      </c>
      <c r="BA40" s="787">
        <v>9471</v>
      </c>
      <c r="BB40" s="787">
        <v>0</v>
      </c>
      <c r="BC40" s="787">
        <v>59281.64</v>
      </c>
      <c r="BD40" s="787">
        <v>71515</v>
      </c>
      <c r="BE40" s="787">
        <v>103779.52</v>
      </c>
      <c r="BF40" s="787">
        <v>151947</v>
      </c>
      <c r="BG40" s="787">
        <v>170077</v>
      </c>
      <c r="BH40" s="787">
        <v>0</v>
      </c>
      <c r="BI40" s="787">
        <v>0</v>
      </c>
      <c r="BJ40" s="787">
        <v>2855480.4300000006</v>
      </c>
      <c r="BK40" s="787">
        <v>338588.01999999781</v>
      </c>
      <c r="BL40" s="787">
        <v>44619.264792243019</v>
      </c>
      <c r="BM40" s="787">
        <v>383207.28479224083</v>
      </c>
      <c r="BN40" s="787">
        <v>9006.25</v>
      </c>
      <c r="BO40" s="787">
        <v>0</v>
      </c>
      <c r="BP40" s="787">
        <v>0</v>
      </c>
      <c r="BQ40" s="787">
        <v>9006.25</v>
      </c>
      <c r="BR40" s="787">
        <v>0</v>
      </c>
      <c r="BS40" s="787">
        <v>6748</v>
      </c>
      <c r="BT40" s="787">
        <v>0</v>
      </c>
      <c r="BU40" s="787">
        <v>0</v>
      </c>
      <c r="BV40" s="787">
        <v>0</v>
      </c>
      <c r="BW40" s="787">
        <v>9038</v>
      </c>
      <c r="BX40" s="787">
        <v>0</v>
      </c>
      <c r="BY40" s="787">
        <v>0</v>
      </c>
      <c r="BZ40" s="787">
        <v>15786</v>
      </c>
      <c r="CA40" s="787">
        <v>17030.799999999996</v>
      </c>
      <c r="CB40" s="787">
        <v>-6779.75</v>
      </c>
      <c r="CC40" s="787">
        <v>10251.049999999996</v>
      </c>
      <c r="CD40" s="787">
        <v>0</v>
      </c>
      <c r="CE40" s="787">
        <v>0</v>
      </c>
      <c r="CF40" s="787">
        <v>0</v>
      </c>
      <c r="CG40" s="787">
        <v>0</v>
      </c>
      <c r="CH40" s="787">
        <v>0</v>
      </c>
      <c r="CI40" s="787">
        <v>0</v>
      </c>
      <c r="CJ40" s="787">
        <v>0</v>
      </c>
      <c r="CK40" s="787">
        <v>0</v>
      </c>
      <c r="CL40" s="787">
        <v>0</v>
      </c>
      <c r="CM40" s="787">
        <v>383207.28479224083</v>
      </c>
      <c r="CN40" s="787">
        <v>0</v>
      </c>
      <c r="CO40" s="787">
        <v>10251.049999999996</v>
      </c>
      <c r="CP40" s="787">
        <v>0</v>
      </c>
      <c r="CQ40" s="787">
        <v>0</v>
      </c>
      <c r="CR40" s="787">
        <v>393458.33479224081</v>
      </c>
      <c r="CS40" s="787">
        <v>531133</v>
      </c>
      <c r="CT40" s="787">
        <v>54019</v>
      </c>
      <c r="CU40" s="787">
        <v>0</v>
      </c>
      <c r="CV40" s="787">
        <v>477114</v>
      </c>
      <c r="CW40" s="787">
        <v>0</v>
      </c>
      <c r="CX40" s="787">
        <v>7450</v>
      </c>
      <c r="CY40" s="787">
        <v>-1214</v>
      </c>
      <c r="CZ40" s="787">
        <v>3673</v>
      </c>
      <c r="DA40" s="787">
        <v>0</v>
      </c>
      <c r="DB40" s="787">
        <v>487023</v>
      </c>
      <c r="DC40" s="787">
        <v>207418</v>
      </c>
      <c r="DD40" s="787">
        <v>0</v>
      </c>
      <c r="DE40" s="787">
        <v>0</v>
      </c>
      <c r="DF40" s="787">
        <v>207418</v>
      </c>
      <c r="DG40" s="787"/>
      <c r="DH40" s="787"/>
      <c r="DI40" s="787"/>
      <c r="DJ40" s="787">
        <v>0</v>
      </c>
      <c r="DK40" s="787">
        <v>207418</v>
      </c>
      <c r="DL40" s="787">
        <v>0</v>
      </c>
      <c r="DM40" s="787">
        <v>0</v>
      </c>
      <c r="DN40" s="787">
        <v>0</v>
      </c>
      <c r="DO40" s="787">
        <v>0</v>
      </c>
      <c r="DP40" s="787">
        <v>-234279.28</v>
      </c>
      <c r="DQ40" s="787">
        <v>-27820</v>
      </c>
      <c r="DR40" s="787">
        <v>0</v>
      </c>
      <c r="DS40" s="787">
        <v>0</v>
      </c>
      <c r="DT40" s="787">
        <v>-262099.28</v>
      </c>
      <c r="DU40" s="787">
        <v>0</v>
      </c>
      <c r="DV40" s="787">
        <v>0</v>
      </c>
      <c r="DW40" s="787">
        <v>-1612</v>
      </c>
      <c r="DX40" s="787">
        <v>0</v>
      </c>
      <c r="DY40" s="787">
        <v>0</v>
      </c>
      <c r="DZ40" s="787">
        <v>-37271</v>
      </c>
      <c r="EA40" s="787">
        <v>-0.38520775915822014</v>
      </c>
      <c r="EE40">
        <f>_xlfn.XLOOKUP(C40,'[1]Cfwd Analysis'!$C:$C,'[1]Cfwd Analysis'!$I:$I,0,0)</f>
        <v>383207.28479224083</v>
      </c>
      <c r="EF40" s="788">
        <f t="shared" si="0"/>
        <v>0</v>
      </c>
    </row>
    <row r="41" spans="1:136" ht="15.6" hidden="1">
      <c r="A41" s="782" t="s">
        <v>1333</v>
      </c>
      <c r="B41" s="782" t="s">
        <v>600</v>
      </c>
      <c r="C41" s="783">
        <v>3002</v>
      </c>
      <c r="D41" s="784" t="s">
        <v>601</v>
      </c>
      <c r="E41" s="785" t="s">
        <v>521</v>
      </c>
      <c r="F41" s="786">
        <v>46094</v>
      </c>
      <c r="G41" s="785" t="s">
        <v>5</v>
      </c>
      <c r="H41" s="785" t="s">
        <v>613</v>
      </c>
      <c r="I41" s="787">
        <v>1422881.8240609237</v>
      </c>
      <c r="J41" s="787">
        <v>0</v>
      </c>
      <c r="K41" s="787">
        <v>69373.003333333327</v>
      </c>
      <c r="L41" s="787">
        <v>0</v>
      </c>
      <c r="M41" s="787">
        <v>162105</v>
      </c>
      <c r="N41" s="787">
        <v>34312.639999999999</v>
      </c>
      <c r="O41" s="787">
        <v>0</v>
      </c>
      <c r="P41" s="787">
        <v>0</v>
      </c>
      <c r="Q41" s="787">
        <v>1218.17</v>
      </c>
      <c r="R41" s="787">
        <v>5461.59</v>
      </c>
      <c r="S41" s="787">
        <v>0</v>
      </c>
      <c r="T41" s="787">
        <v>0</v>
      </c>
      <c r="U41" s="787">
        <v>2167.08</v>
      </c>
      <c r="V41" s="787">
        <v>25727.93</v>
      </c>
      <c r="W41" s="787">
        <v>0</v>
      </c>
      <c r="X41" s="787">
        <v>1723247.237394257</v>
      </c>
      <c r="Y41" s="787">
        <v>568522.71</v>
      </c>
      <c r="Z41" s="787">
        <v>0</v>
      </c>
      <c r="AA41" s="787">
        <v>236153.9</v>
      </c>
      <c r="AB41" s="787">
        <v>41255.31</v>
      </c>
      <c r="AC41" s="787">
        <v>79890.37</v>
      </c>
      <c r="AD41" s="787">
        <v>0</v>
      </c>
      <c r="AE41" s="787">
        <v>40919.78</v>
      </c>
      <c r="AF41" s="787">
        <v>4923.08</v>
      </c>
      <c r="AG41" s="787">
        <v>3874.12</v>
      </c>
      <c r="AH41" s="787">
        <v>0</v>
      </c>
      <c r="AI41" s="787">
        <v>0</v>
      </c>
      <c r="AJ41" s="787">
        <v>13721.86</v>
      </c>
      <c r="AK41" s="787">
        <v>111.34</v>
      </c>
      <c r="AL41" s="787">
        <v>26485.37</v>
      </c>
      <c r="AM41" s="787">
        <v>3832.41</v>
      </c>
      <c r="AN41" s="787">
        <v>25736.59</v>
      </c>
      <c r="AO41" s="787">
        <v>20015.919999999998</v>
      </c>
      <c r="AP41" s="787">
        <v>15204.21</v>
      </c>
      <c r="AQ41" s="787">
        <v>132635.63</v>
      </c>
      <c r="AR41" s="787">
        <v>0</v>
      </c>
      <c r="AS41" s="787">
        <v>0</v>
      </c>
      <c r="AT41" s="787">
        <v>0</v>
      </c>
      <c r="AU41" s="787">
        <v>0</v>
      </c>
      <c r="AV41" s="787">
        <v>0</v>
      </c>
      <c r="AW41" s="787">
        <v>0</v>
      </c>
      <c r="AX41" s="787">
        <v>0</v>
      </c>
      <c r="AY41" s="787">
        <v>0</v>
      </c>
      <c r="AZ41" s="787">
        <v>52914.05</v>
      </c>
      <c r="BA41" s="787">
        <v>5139.75</v>
      </c>
      <c r="BB41" s="787">
        <v>2295</v>
      </c>
      <c r="BC41" s="787">
        <v>64603.63</v>
      </c>
      <c r="BD41" s="787">
        <v>106569.95</v>
      </c>
      <c r="BE41" s="787">
        <v>16176.92</v>
      </c>
      <c r="BF41" s="787">
        <v>135390.29</v>
      </c>
      <c r="BG41" s="787">
        <v>0</v>
      </c>
      <c r="BH41" s="787">
        <v>0</v>
      </c>
      <c r="BI41" s="787">
        <v>0</v>
      </c>
      <c r="BJ41" s="787">
        <v>1596372.1899999995</v>
      </c>
      <c r="BK41" s="787">
        <v>256325.70999999985</v>
      </c>
      <c r="BL41" s="787">
        <v>126875.0473942575</v>
      </c>
      <c r="BM41" s="787">
        <v>383200.75739425735</v>
      </c>
      <c r="BN41" s="787">
        <v>6440.8</v>
      </c>
      <c r="BO41" s="787">
        <v>0</v>
      </c>
      <c r="BP41" s="787">
        <v>0</v>
      </c>
      <c r="BQ41" s="787">
        <v>6440.8</v>
      </c>
      <c r="BR41" s="787">
        <v>0</v>
      </c>
      <c r="BS41" s="787">
        <v>13960</v>
      </c>
      <c r="BT41" s="787">
        <v>0</v>
      </c>
      <c r="BU41" s="787">
        <v>0</v>
      </c>
      <c r="BV41" s="787">
        <v>0</v>
      </c>
      <c r="BW41" s="787">
        <v>0</v>
      </c>
      <c r="BX41" s="787">
        <v>0</v>
      </c>
      <c r="BY41" s="787">
        <v>0</v>
      </c>
      <c r="BZ41" s="787">
        <v>13960</v>
      </c>
      <c r="CA41" s="787">
        <v>40180.06</v>
      </c>
      <c r="CB41" s="787">
        <v>-7519.2</v>
      </c>
      <c r="CC41" s="787">
        <v>32660.859999999997</v>
      </c>
      <c r="CD41" s="787">
        <v>0</v>
      </c>
      <c r="CE41" s="787">
        <v>0</v>
      </c>
      <c r="CF41" s="787">
        <v>0</v>
      </c>
      <c r="CG41" s="787">
        <v>0</v>
      </c>
      <c r="CH41" s="787">
        <v>0</v>
      </c>
      <c r="CI41" s="787">
        <v>0</v>
      </c>
      <c r="CJ41" s="787">
        <v>0</v>
      </c>
      <c r="CK41" s="787">
        <v>0</v>
      </c>
      <c r="CL41" s="787">
        <v>0</v>
      </c>
      <c r="CM41" s="787">
        <v>383200.75739425735</v>
      </c>
      <c r="CN41" s="787">
        <v>0</v>
      </c>
      <c r="CO41" s="787">
        <v>32660.859999999997</v>
      </c>
      <c r="CP41" s="787">
        <v>0</v>
      </c>
      <c r="CQ41" s="787">
        <v>0</v>
      </c>
      <c r="CR41" s="787">
        <v>415861.61739425734</v>
      </c>
      <c r="CS41" s="787">
        <v>525492.88</v>
      </c>
      <c r="CT41" s="787">
        <v>47805</v>
      </c>
      <c r="CU41" s="787">
        <v>0</v>
      </c>
      <c r="CV41" s="787">
        <v>477687.88</v>
      </c>
      <c r="CW41" s="787">
        <v>900</v>
      </c>
      <c r="CX41" s="787">
        <v>5645.54</v>
      </c>
      <c r="CY41" s="787">
        <v>222.33</v>
      </c>
      <c r="CZ41" s="787">
        <v>0</v>
      </c>
      <c r="DA41" s="787">
        <v>0</v>
      </c>
      <c r="DB41" s="787">
        <v>484455.75</v>
      </c>
      <c r="DC41" s="787">
        <v>0</v>
      </c>
      <c r="DD41" s="787">
        <v>0</v>
      </c>
      <c r="DE41" s="787">
        <v>0</v>
      </c>
      <c r="DF41" s="787">
        <v>0</v>
      </c>
      <c r="DG41" s="787"/>
      <c r="DH41" s="787"/>
      <c r="DI41" s="787"/>
      <c r="DJ41" s="787">
        <v>0</v>
      </c>
      <c r="DK41" s="787">
        <v>0</v>
      </c>
      <c r="DL41" s="787">
        <v>0</v>
      </c>
      <c r="DM41" s="787">
        <v>0</v>
      </c>
      <c r="DN41" s="787">
        <v>0</v>
      </c>
      <c r="DO41" s="787">
        <v>0</v>
      </c>
      <c r="DP41" s="787">
        <v>0</v>
      </c>
      <c r="DQ41" s="787">
        <v>-28653.67</v>
      </c>
      <c r="DR41" s="787">
        <v>0</v>
      </c>
      <c r="DS41" s="787">
        <v>0</v>
      </c>
      <c r="DT41" s="787">
        <v>-28653.67</v>
      </c>
      <c r="DU41" s="787">
        <v>0</v>
      </c>
      <c r="DV41" s="787">
        <v>0</v>
      </c>
      <c r="DW41" s="787">
        <v>-1693.6</v>
      </c>
      <c r="DX41" s="787">
        <v>0</v>
      </c>
      <c r="DY41" s="787">
        <v>0</v>
      </c>
      <c r="DZ41" s="787">
        <v>-38246.720000000001</v>
      </c>
      <c r="EA41" s="787">
        <v>-0.14260574267245829</v>
      </c>
      <c r="EC41" s="788">
        <v>32660.859999999997</v>
      </c>
      <c r="EE41">
        <f>_xlfn.XLOOKUP(C41,'[1]Cfwd Analysis'!$C:$C,'[1]Cfwd Analysis'!$I:$I,0,0)</f>
        <v>383200.75739425735</v>
      </c>
      <c r="EF41" s="788">
        <f t="shared" si="0"/>
        <v>0</v>
      </c>
    </row>
    <row r="42" spans="1:136" ht="15.6" hidden="1">
      <c r="A42" s="782" t="s">
        <v>1334</v>
      </c>
      <c r="B42" s="782" t="s">
        <v>602</v>
      </c>
      <c r="C42" s="783">
        <v>3319</v>
      </c>
      <c r="D42" s="784" t="s">
        <v>603</v>
      </c>
      <c r="E42" s="785" t="s">
        <v>521</v>
      </c>
      <c r="F42" s="786" t="s">
        <v>1315</v>
      </c>
      <c r="G42" s="785" t="s">
        <v>5</v>
      </c>
      <c r="H42" s="785" t="s">
        <v>615</v>
      </c>
      <c r="I42" s="787">
        <v>2330917.7009931747</v>
      </c>
      <c r="J42" s="787">
        <v>0</v>
      </c>
      <c r="K42" s="787">
        <v>81165.22</v>
      </c>
      <c r="L42" s="787">
        <v>0</v>
      </c>
      <c r="M42" s="787">
        <v>246945</v>
      </c>
      <c r="N42" s="787">
        <v>59658</v>
      </c>
      <c r="O42" s="787">
        <v>16754.27</v>
      </c>
      <c r="P42" s="787">
        <v>6140</v>
      </c>
      <c r="Q42" s="787">
        <v>107911.91</v>
      </c>
      <c r="R42" s="787">
        <v>27498.63</v>
      </c>
      <c r="S42" s="787">
        <v>0</v>
      </c>
      <c r="T42" s="787">
        <v>0</v>
      </c>
      <c r="U42" s="787">
        <v>37534.910000000003</v>
      </c>
      <c r="V42" s="787">
        <v>0</v>
      </c>
      <c r="W42" s="787">
        <v>0</v>
      </c>
      <c r="X42" s="787">
        <v>2914525.6409931751</v>
      </c>
      <c r="Y42" s="787">
        <v>1436552.3399999999</v>
      </c>
      <c r="Z42" s="787">
        <v>0</v>
      </c>
      <c r="AA42" s="787">
        <v>442306.54</v>
      </c>
      <c r="AB42" s="787">
        <v>40051.350000000006</v>
      </c>
      <c r="AC42" s="787">
        <v>104379.18</v>
      </c>
      <c r="AD42" s="787">
        <v>0</v>
      </c>
      <c r="AE42" s="787">
        <v>104987.34000000001</v>
      </c>
      <c r="AF42" s="787">
        <v>1636.14</v>
      </c>
      <c r="AG42" s="787">
        <v>4480</v>
      </c>
      <c r="AH42" s="787">
        <v>0</v>
      </c>
      <c r="AI42" s="787">
        <v>0</v>
      </c>
      <c r="AJ42" s="787">
        <v>11490.21</v>
      </c>
      <c r="AK42" s="787">
        <v>0</v>
      </c>
      <c r="AL42" s="787">
        <v>32336.39</v>
      </c>
      <c r="AM42" s="787">
        <v>17497.829999999998</v>
      </c>
      <c r="AN42" s="787">
        <v>29570.67</v>
      </c>
      <c r="AO42" s="787">
        <v>5273.47</v>
      </c>
      <c r="AP42" s="787">
        <v>11582.240000000002</v>
      </c>
      <c r="AQ42" s="787">
        <v>48394.39</v>
      </c>
      <c r="AR42" s="787">
        <v>2591.25</v>
      </c>
      <c r="AS42" s="787">
        <v>0</v>
      </c>
      <c r="AT42" s="787">
        <v>0</v>
      </c>
      <c r="AU42" s="787">
        <v>80</v>
      </c>
      <c r="AV42" s="787">
        <v>0</v>
      </c>
      <c r="AW42" s="787">
        <v>13955</v>
      </c>
      <c r="AX42" s="787">
        <v>0</v>
      </c>
      <c r="AY42" s="787">
        <v>0</v>
      </c>
      <c r="AZ42" s="787">
        <v>63672.79</v>
      </c>
      <c r="BA42" s="787">
        <v>16817.010000000002</v>
      </c>
      <c r="BB42" s="787">
        <v>0</v>
      </c>
      <c r="BC42" s="787">
        <v>146475.4</v>
      </c>
      <c r="BD42" s="787">
        <v>58941</v>
      </c>
      <c r="BE42" s="787">
        <v>8640.9599999999991</v>
      </c>
      <c r="BF42" s="787">
        <v>229953.682</v>
      </c>
      <c r="BG42" s="787">
        <v>0</v>
      </c>
      <c r="BH42" s="787">
        <v>0</v>
      </c>
      <c r="BI42" s="787">
        <v>0</v>
      </c>
      <c r="BJ42" s="787">
        <v>2831665.1820000005</v>
      </c>
      <c r="BK42" s="787">
        <v>-116256.72000000047</v>
      </c>
      <c r="BL42" s="787">
        <v>82860.458993174601</v>
      </c>
      <c r="BM42" s="787">
        <v>-33396.261006825865</v>
      </c>
      <c r="BN42" s="787">
        <v>0</v>
      </c>
      <c r="BO42" s="787">
        <v>0</v>
      </c>
      <c r="BP42" s="787">
        <v>0</v>
      </c>
      <c r="BQ42" s="787">
        <v>0</v>
      </c>
      <c r="BR42" s="787">
        <v>0</v>
      </c>
      <c r="BS42" s="787">
        <v>0</v>
      </c>
      <c r="BT42" s="787">
        <v>0</v>
      </c>
      <c r="BU42" s="787">
        <v>0</v>
      </c>
      <c r="BV42" s="787">
        <v>0</v>
      </c>
      <c r="BW42" s="787">
        <v>0</v>
      </c>
      <c r="BX42" s="787">
        <v>0</v>
      </c>
      <c r="BY42" s="787">
        <v>0</v>
      </c>
      <c r="BZ42" s="787">
        <v>0</v>
      </c>
      <c r="CA42" s="787">
        <v>0</v>
      </c>
      <c r="CB42" s="787">
        <v>0</v>
      </c>
      <c r="CC42" s="787">
        <v>0</v>
      </c>
      <c r="CD42" s="787">
        <v>0</v>
      </c>
      <c r="CE42" s="787">
        <v>0</v>
      </c>
      <c r="CF42" s="787">
        <v>0</v>
      </c>
      <c r="CG42" s="787">
        <v>0</v>
      </c>
      <c r="CH42" s="787">
        <v>0</v>
      </c>
      <c r="CI42" s="787">
        <v>0</v>
      </c>
      <c r="CJ42" s="787">
        <v>0</v>
      </c>
      <c r="CK42" s="787">
        <v>0</v>
      </c>
      <c r="CL42" s="787">
        <v>0</v>
      </c>
      <c r="CM42" s="787">
        <v>0</v>
      </c>
      <c r="CN42" s="787">
        <v>-33396.261006825865</v>
      </c>
      <c r="CO42" s="787">
        <v>0</v>
      </c>
      <c r="CP42" s="787">
        <v>0</v>
      </c>
      <c r="CQ42" s="787">
        <v>0</v>
      </c>
      <c r="CR42" s="787">
        <v>-33396.261006825865</v>
      </c>
      <c r="CS42" s="787">
        <v>254313.46</v>
      </c>
      <c r="CT42" s="787">
        <v>66659.53</v>
      </c>
      <c r="CU42" s="787">
        <v>781</v>
      </c>
      <c r="CV42" s="787">
        <v>188434.93</v>
      </c>
      <c r="CW42" s="787">
        <v>0</v>
      </c>
      <c r="CX42" s="787">
        <v>6960.48</v>
      </c>
      <c r="CY42" s="787">
        <v>7136.98</v>
      </c>
      <c r="CZ42" s="787">
        <v>0</v>
      </c>
      <c r="DA42" s="787">
        <v>0</v>
      </c>
      <c r="DB42" s="787">
        <v>202532.39</v>
      </c>
      <c r="DC42" s="787">
        <v>0</v>
      </c>
      <c r="DD42" s="787">
        <v>0</v>
      </c>
      <c r="DE42" s="787">
        <v>0</v>
      </c>
      <c r="DF42" s="787">
        <v>0</v>
      </c>
      <c r="DG42" s="787"/>
      <c r="DH42" s="787"/>
      <c r="DI42" s="787"/>
      <c r="DJ42" s="787">
        <v>-116256.72</v>
      </c>
      <c r="DK42" s="787">
        <v>-116256.72</v>
      </c>
      <c r="DL42" s="787">
        <v>78000</v>
      </c>
      <c r="DM42" s="787">
        <v>0</v>
      </c>
      <c r="DN42" s="787">
        <v>31673.040000000001</v>
      </c>
      <c r="DO42" s="787">
        <v>0</v>
      </c>
      <c r="DP42" s="787">
        <v>-193582.88</v>
      </c>
      <c r="DQ42" s="787">
        <v>-37312.089999999997</v>
      </c>
      <c r="DR42" s="787">
        <v>0</v>
      </c>
      <c r="DS42" s="787">
        <v>0</v>
      </c>
      <c r="DT42" s="787">
        <v>-121221.93</v>
      </c>
      <c r="DU42" s="787">
        <v>1550</v>
      </c>
      <c r="DV42" s="787">
        <v>0</v>
      </c>
      <c r="DW42" s="787">
        <v>0</v>
      </c>
      <c r="DX42" s="787">
        <v>0</v>
      </c>
      <c r="DY42" s="787">
        <v>0</v>
      </c>
      <c r="DZ42" s="787">
        <v>0</v>
      </c>
      <c r="EA42" s="787">
        <v>-1.0068258852697909E-3</v>
      </c>
      <c r="EE42">
        <f>_xlfn.XLOOKUP(C42,'[1]Cfwd Analysis'!$C:$C,'[1]Cfwd Analysis'!$I:$I,0,0)</f>
        <v>-33396.261006825865</v>
      </c>
      <c r="EF42" s="788">
        <f t="shared" si="0"/>
        <v>0</v>
      </c>
    </row>
    <row r="43" spans="1:136" ht="15.6" hidden="1">
      <c r="A43" s="782" t="s">
        <v>1335</v>
      </c>
      <c r="B43" s="782" t="s">
        <v>604</v>
      </c>
      <c r="C43" s="783">
        <v>1100</v>
      </c>
      <c r="D43" s="784" t="s">
        <v>605</v>
      </c>
      <c r="E43" s="785" t="s">
        <v>521</v>
      </c>
      <c r="F43" s="786">
        <v>0</v>
      </c>
      <c r="G43" s="785" t="s">
        <v>5</v>
      </c>
      <c r="H43" s="785" t="s">
        <v>617</v>
      </c>
      <c r="I43" s="787">
        <v>6890736.7699999996</v>
      </c>
      <c r="J43" s="787">
        <v>0</v>
      </c>
      <c r="K43" s="787">
        <v>7668427.5599999996</v>
      </c>
      <c r="L43" s="787">
        <v>0</v>
      </c>
      <c r="M43" s="787">
        <v>498100</v>
      </c>
      <c r="N43" s="787">
        <v>29546.58</v>
      </c>
      <c r="O43" s="787">
        <v>10000</v>
      </c>
      <c r="P43" s="787">
        <v>0</v>
      </c>
      <c r="Q43" s="787">
        <v>717353.22</v>
      </c>
      <c r="R43" s="787">
        <v>0</v>
      </c>
      <c r="S43" s="787">
        <v>0</v>
      </c>
      <c r="T43" s="787">
        <v>0</v>
      </c>
      <c r="U43" s="787">
        <v>0</v>
      </c>
      <c r="V43" s="787">
        <v>0</v>
      </c>
      <c r="W43" s="787">
        <v>0</v>
      </c>
      <c r="X43" s="787">
        <v>15814164.129999999</v>
      </c>
      <c r="Y43" s="787">
        <v>6184144.9699999997</v>
      </c>
      <c r="Z43" s="787">
        <v>0</v>
      </c>
      <c r="AA43" s="787">
        <v>1596609.41</v>
      </c>
      <c r="AB43" s="787">
        <v>425172.01</v>
      </c>
      <c r="AC43" s="787">
        <v>848269.44</v>
      </c>
      <c r="AD43" s="787">
        <v>0</v>
      </c>
      <c r="AE43" s="787">
        <v>348100.25</v>
      </c>
      <c r="AF43" s="787">
        <v>24205.82</v>
      </c>
      <c r="AG43" s="787">
        <v>58792.42</v>
      </c>
      <c r="AH43" s="787">
        <v>0</v>
      </c>
      <c r="AI43" s="787">
        <v>0</v>
      </c>
      <c r="AJ43" s="787">
        <v>953116.43</v>
      </c>
      <c r="AK43" s="787">
        <v>19987.439999999999</v>
      </c>
      <c r="AL43" s="787">
        <v>11901.39</v>
      </c>
      <c r="AM43" s="787">
        <v>15913.4</v>
      </c>
      <c r="AN43" s="787">
        <v>91063.1</v>
      </c>
      <c r="AO43" s="787">
        <v>15064.98</v>
      </c>
      <c r="AP43" s="787">
        <v>338144.82</v>
      </c>
      <c r="AQ43" s="787">
        <v>1783142.34</v>
      </c>
      <c r="AR43" s="787">
        <v>35412.75</v>
      </c>
      <c r="AS43" s="787">
        <v>0</v>
      </c>
      <c r="AT43" s="787">
        <v>99652.5</v>
      </c>
      <c r="AU43" s="787">
        <v>0</v>
      </c>
      <c r="AV43" s="787">
        <v>106183.52</v>
      </c>
      <c r="AW43" s="787">
        <v>0</v>
      </c>
      <c r="AX43" s="787">
        <v>6374.98</v>
      </c>
      <c r="AY43" s="787">
        <v>43177.46</v>
      </c>
      <c r="AZ43" s="787">
        <v>416077.03</v>
      </c>
      <c r="BA43" s="787">
        <v>22645.65</v>
      </c>
      <c r="BB43" s="787">
        <v>386516.54</v>
      </c>
      <c r="BC43" s="787">
        <v>222956.37</v>
      </c>
      <c r="BD43" s="787">
        <v>675128.18</v>
      </c>
      <c r="BE43" s="787">
        <v>114408</v>
      </c>
      <c r="BF43" s="787">
        <v>1603404.3</v>
      </c>
      <c r="BG43" s="787">
        <v>0</v>
      </c>
      <c r="BH43" s="787">
        <v>0</v>
      </c>
      <c r="BI43" s="787">
        <v>0</v>
      </c>
      <c r="BJ43" s="787">
        <v>16445565.5</v>
      </c>
      <c r="BK43" s="787">
        <v>1082977.4099999482</v>
      </c>
      <c r="BL43" s="787">
        <v>-631401.37000000104</v>
      </c>
      <c r="BM43" s="787">
        <v>451576.03999994718</v>
      </c>
      <c r="BN43" s="787">
        <v>22832.5</v>
      </c>
      <c r="BO43" s="787">
        <v>0</v>
      </c>
      <c r="BP43" s="787">
        <v>0</v>
      </c>
      <c r="BQ43" s="787">
        <v>22832.5</v>
      </c>
      <c r="BR43" s="787">
        <v>0</v>
      </c>
      <c r="BS43" s="787">
        <v>0</v>
      </c>
      <c r="BT43" s="787">
        <v>71726.67</v>
      </c>
      <c r="BU43" s="787">
        <v>0</v>
      </c>
      <c r="BV43" s="787">
        <v>0</v>
      </c>
      <c r="BW43" s="787">
        <v>0</v>
      </c>
      <c r="BX43" s="787">
        <v>0</v>
      </c>
      <c r="BY43" s="787">
        <v>0</v>
      </c>
      <c r="BZ43" s="787">
        <v>71726.67</v>
      </c>
      <c r="CA43" s="787">
        <v>141457.74</v>
      </c>
      <c r="CB43" s="787">
        <v>-48894.17</v>
      </c>
      <c r="CC43" s="787">
        <v>92563.569999999992</v>
      </c>
      <c r="CD43" s="787">
        <v>307669.19</v>
      </c>
      <c r="CE43" s="787">
        <v>0</v>
      </c>
      <c r="CF43" s="787">
        <v>307669.19</v>
      </c>
      <c r="CG43" s="787">
        <v>125009.68000000001</v>
      </c>
      <c r="CH43" s="787">
        <v>0</v>
      </c>
      <c r="CI43" s="787">
        <v>125009.68000000001</v>
      </c>
      <c r="CJ43" s="787">
        <v>0</v>
      </c>
      <c r="CK43" s="787">
        <v>182659.51</v>
      </c>
      <c r="CL43" s="787">
        <v>182659.51</v>
      </c>
      <c r="CM43" s="787">
        <v>451576.03999994718</v>
      </c>
      <c r="CN43" s="787">
        <v>0</v>
      </c>
      <c r="CO43" s="787">
        <v>92563.57</v>
      </c>
      <c r="CP43" s="787">
        <v>0</v>
      </c>
      <c r="CQ43" s="787">
        <v>182659.51</v>
      </c>
      <c r="CR43" s="787">
        <v>726799.11999994714</v>
      </c>
      <c r="CS43" s="787">
        <v>1671288</v>
      </c>
      <c r="CT43" s="787">
        <v>12765</v>
      </c>
      <c r="CU43" s="787">
        <v>0</v>
      </c>
      <c r="CV43" s="787">
        <v>1658523</v>
      </c>
      <c r="CW43" s="787">
        <v>0</v>
      </c>
      <c r="CX43" s="787">
        <v>107313.45</v>
      </c>
      <c r="CY43" s="787">
        <v>81625</v>
      </c>
      <c r="CZ43" s="787">
        <v>72686</v>
      </c>
      <c r="DA43" s="787">
        <v>0</v>
      </c>
      <c r="DB43" s="787">
        <v>1920147.45</v>
      </c>
      <c r="DC43" s="787">
        <v>0</v>
      </c>
      <c r="DD43" s="787">
        <v>0</v>
      </c>
      <c r="DE43" s="787">
        <v>0</v>
      </c>
      <c r="DF43" s="787">
        <v>0</v>
      </c>
      <c r="DG43" s="787"/>
      <c r="DH43" s="787"/>
      <c r="DI43" s="787"/>
      <c r="DJ43" s="787">
        <v>0</v>
      </c>
      <c r="DK43" s="787">
        <v>0</v>
      </c>
      <c r="DL43" s="787">
        <v>1650</v>
      </c>
      <c r="DM43" s="787">
        <v>0</v>
      </c>
      <c r="DN43" s="787">
        <v>0</v>
      </c>
      <c r="DO43" s="787">
        <v>0</v>
      </c>
      <c r="DP43" s="787">
        <v>-1034047.9</v>
      </c>
      <c r="DQ43" s="787">
        <v>0</v>
      </c>
      <c r="DR43" s="787">
        <v>0</v>
      </c>
      <c r="DS43" s="787">
        <v>0</v>
      </c>
      <c r="DT43" s="787">
        <v>-1032397.9</v>
      </c>
      <c r="DU43" s="787">
        <v>0</v>
      </c>
      <c r="DV43" s="787">
        <v>0</v>
      </c>
      <c r="DW43" s="787">
        <v>0</v>
      </c>
      <c r="DX43" s="787">
        <v>0</v>
      </c>
      <c r="DY43" s="787">
        <v>0</v>
      </c>
      <c r="DZ43" s="787">
        <v>-160950</v>
      </c>
      <c r="EA43" s="787">
        <v>-0.43000005278736353</v>
      </c>
      <c r="EE43">
        <f>_xlfn.XLOOKUP(C43,'[1]Cfwd Analysis'!$C:$C,'[1]Cfwd Analysis'!$I:$I,0,0)</f>
        <v>451576.03999994718</v>
      </c>
      <c r="EF43" s="788">
        <f t="shared" si="0"/>
        <v>0</v>
      </c>
    </row>
    <row r="44" spans="1:136" ht="15.6" hidden="1">
      <c r="A44" s="782" t="s">
        <v>1336</v>
      </c>
      <c r="B44" s="782" t="s">
        <v>607</v>
      </c>
      <c r="C44" s="783">
        <v>3432</v>
      </c>
      <c r="D44" s="784" t="s">
        <v>608</v>
      </c>
      <c r="E44" s="785" t="s">
        <v>521</v>
      </c>
      <c r="F44" s="786" t="s">
        <v>1305</v>
      </c>
      <c r="G44" s="785" t="s">
        <v>5</v>
      </c>
      <c r="H44" s="785" t="s">
        <v>619</v>
      </c>
      <c r="I44" s="787">
        <v>5982522.3815677557</v>
      </c>
      <c r="J44" s="787">
        <v>0</v>
      </c>
      <c r="K44" s="787">
        <v>372778.87666666665</v>
      </c>
      <c r="L44" s="787">
        <v>0</v>
      </c>
      <c r="M44" s="787">
        <v>678890</v>
      </c>
      <c r="N44" s="787">
        <v>100836.29</v>
      </c>
      <c r="O44" s="787">
        <v>0</v>
      </c>
      <c r="P44" s="787">
        <v>840</v>
      </c>
      <c r="Q44" s="787">
        <v>46186.207914999919</v>
      </c>
      <c r="R44" s="787">
        <v>19091.75</v>
      </c>
      <c r="S44" s="787">
        <v>0</v>
      </c>
      <c r="T44" s="787">
        <v>0</v>
      </c>
      <c r="U44" s="787">
        <v>7365.17</v>
      </c>
      <c r="V44" s="787">
        <v>25600</v>
      </c>
      <c r="W44" s="787">
        <v>0</v>
      </c>
      <c r="X44" s="787">
        <v>7234110.6761494223</v>
      </c>
      <c r="Y44" s="787">
        <v>2934593.85</v>
      </c>
      <c r="Z44" s="787">
        <v>0</v>
      </c>
      <c r="AA44" s="787">
        <v>1167174.6000000001</v>
      </c>
      <c r="AB44" s="787">
        <v>86366.95</v>
      </c>
      <c r="AC44" s="787">
        <v>377397.76000000001</v>
      </c>
      <c r="AD44" s="787">
        <v>0</v>
      </c>
      <c r="AE44" s="787">
        <v>195538.36</v>
      </c>
      <c r="AF44" s="787">
        <v>30236</v>
      </c>
      <c r="AG44" s="787">
        <v>12951.92</v>
      </c>
      <c r="AH44" s="787">
        <v>0</v>
      </c>
      <c r="AI44" s="787">
        <v>0</v>
      </c>
      <c r="AJ44" s="787">
        <v>52832.75</v>
      </c>
      <c r="AK44" s="787">
        <v>9890.65</v>
      </c>
      <c r="AL44" s="787">
        <v>85140.299999999988</v>
      </c>
      <c r="AM44" s="787">
        <v>26717.600000000002</v>
      </c>
      <c r="AN44" s="787">
        <v>138161.31</v>
      </c>
      <c r="AO44" s="787">
        <v>32329.800000000007</v>
      </c>
      <c r="AP44" s="787">
        <v>77826.960000000006</v>
      </c>
      <c r="AQ44" s="787">
        <v>173006.53999999998</v>
      </c>
      <c r="AR44" s="787">
        <v>131278.44</v>
      </c>
      <c r="AS44" s="787">
        <v>0</v>
      </c>
      <c r="AT44" s="787">
        <v>0</v>
      </c>
      <c r="AU44" s="787">
        <v>0</v>
      </c>
      <c r="AV44" s="787">
        <v>0</v>
      </c>
      <c r="AW44" s="787">
        <v>0</v>
      </c>
      <c r="AX44" s="787">
        <v>0</v>
      </c>
      <c r="AY44" s="787">
        <v>0</v>
      </c>
      <c r="AZ44" s="787">
        <v>69287.180000000008</v>
      </c>
      <c r="BA44" s="787">
        <v>22801.5</v>
      </c>
      <c r="BB44" s="787">
        <v>17370</v>
      </c>
      <c r="BC44" s="787">
        <v>318447.14</v>
      </c>
      <c r="BD44" s="787">
        <v>424437.73</v>
      </c>
      <c r="BE44" s="787">
        <v>38188.020000000004</v>
      </c>
      <c r="BF44" s="787">
        <v>65315.509999999995</v>
      </c>
      <c r="BG44" s="787">
        <v>565620</v>
      </c>
      <c r="BH44" s="787">
        <v>0</v>
      </c>
      <c r="BI44" s="787">
        <v>0</v>
      </c>
      <c r="BJ44" s="787">
        <v>7052910.8699999992</v>
      </c>
      <c r="BK44" s="787">
        <v>684142.88999999687</v>
      </c>
      <c r="BL44" s="787">
        <v>181199.80614942312</v>
      </c>
      <c r="BM44" s="787">
        <v>865342.69614941999</v>
      </c>
      <c r="BN44" s="787">
        <v>13688.5</v>
      </c>
      <c r="BO44" s="787">
        <v>0</v>
      </c>
      <c r="BP44" s="787">
        <v>0</v>
      </c>
      <c r="BQ44" s="787">
        <v>13688.5</v>
      </c>
      <c r="BR44" s="787">
        <v>0</v>
      </c>
      <c r="BS44" s="787">
        <v>0</v>
      </c>
      <c r="BT44" s="787">
        <v>0</v>
      </c>
      <c r="BU44" s="787">
        <v>0</v>
      </c>
      <c r="BV44" s="787">
        <v>0</v>
      </c>
      <c r="BW44" s="787">
        <v>0</v>
      </c>
      <c r="BX44" s="787">
        <v>0</v>
      </c>
      <c r="BY44" s="787">
        <v>0</v>
      </c>
      <c r="BZ44" s="787">
        <v>0</v>
      </c>
      <c r="CA44" s="787">
        <v>386.75</v>
      </c>
      <c r="CB44" s="787">
        <v>13688.5</v>
      </c>
      <c r="CC44" s="787">
        <v>14075.25</v>
      </c>
      <c r="CD44" s="787">
        <v>0</v>
      </c>
      <c r="CE44" s="787">
        <v>0</v>
      </c>
      <c r="CF44" s="787">
        <v>0</v>
      </c>
      <c r="CG44" s="787">
        <v>0</v>
      </c>
      <c r="CH44" s="787">
        <v>0</v>
      </c>
      <c r="CI44" s="787">
        <v>0</v>
      </c>
      <c r="CJ44" s="787">
        <v>0</v>
      </c>
      <c r="CK44" s="787">
        <v>0</v>
      </c>
      <c r="CL44" s="787">
        <v>0</v>
      </c>
      <c r="CM44" s="787">
        <v>865342.69614941999</v>
      </c>
      <c r="CN44" s="787">
        <v>0</v>
      </c>
      <c r="CO44" s="787">
        <v>14075.25</v>
      </c>
      <c r="CP44" s="787">
        <v>0</v>
      </c>
      <c r="CQ44" s="787">
        <v>0</v>
      </c>
      <c r="CR44" s="787">
        <v>879417.94614941999</v>
      </c>
      <c r="CS44" s="787">
        <v>1466206.43</v>
      </c>
      <c r="CT44" s="787">
        <v>4244.16</v>
      </c>
      <c r="CU44" s="787">
        <v>2775.99</v>
      </c>
      <c r="CV44" s="787">
        <v>1464738.26</v>
      </c>
      <c r="CW44" s="787">
        <v>0</v>
      </c>
      <c r="CX44" s="787">
        <v>22507.88</v>
      </c>
      <c r="CY44" s="787">
        <v>7845.78</v>
      </c>
      <c r="CZ44" s="787">
        <v>27222.22</v>
      </c>
      <c r="DA44" s="787">
        <v>0</v>
      </c>
      <c r="DB44" s="787">
        <v>1522314.14</v>
      </c>
      <c r="DC44" s="787">
        <v>0</v>
      </c>
      <c r="DD44" s="787">
        <v>0</v>
      </c>
      <c r="DE44" s="787">
        <v>0</v>
      </c>
      <c r="DF44" s="787">
        <v>0</v>
      </c>
      <c r="DG44" s="787"/>
      <c r="DH44" s="787"/>
      <c r="DI44" s="787"/>
      <c r="DJ44" s="787">
        <v>0</v>
      </c>
      <c r="DK44" s="787">
        <v>0</v>
      </c>
      <c r="DL44" s="787">
        <v>0</v>
      </c>
      <c r="DM44" s="787">
        <v>0</v>
      </c>
      <c r="DN44" s="787">
        <v>0</v>
      </c>
      <c r="DO44" s="787">
        <v>0</v>
      </c>
      <c r="DP44" s="787">
        <v>-470443.56</v>
      </c>
      <c r="DQ44" s="787">
        <v>-88020.75</v>
      </c>
      <c r="DR44" s="787">
        <v>0</v>
      </c>
      <c r="DS44" s="787">
        <v>0</v>
      </c>
      <c r="DT44" s="787">
        <v>-558464.31000000006</v>
      </c>
      <c r="DU44" s="787">
        <v>0</v>
      </c>
      <c r="DV44" s="787">
        <v>923.7</v>
      </c>
      <c r="DW44" s="787">
        <v>0</v>
      </c>
      <c r="DX44" s="787">
        <v>0</v>
      </c>
      <c r="DY44" s="787">
        <v>0</v>
      </c>
      <c r="DZ44" s="787">
        <v>-85355.66</v>
      </c>
      <c r="EA44" s="787">
        <v>7.6149420230649412E-2</v>
      </c>
      <c r="EE44">
        <f>_xlfn.XLOOKUP(C44,'[1]Cfwd Analysis'!$C:$C,'[1]Cfwd Analysis'!$I:$I,0,0)</f>
        <v>865342.69614941999</v>
      </c>
      <c r="EF44" s="788">
        <f t="shared" si="0"/>
        <v>0</v>
      </c>
    </row>
    <row r="45" spans="1:136" ht="15.6" hidden="1">
      <c r="A45" s="782" t="s">
        <v>1337</v>
      </c>
      <c r="B45" s="782" t="s">
        <v>609</v>
      </c>
      <c r="C45" s="783">
        <v>2289</v>
      </c>
      <c r="D45" s="784" t="s">
        <v>610</v>
      </c>
      <c r="E45" s="785" t="s">
        <v>521</v>
      </c>
      <c r="F45" s="786">
        <v>46094</v>
      </c>
      <c r="G45" s="785" t="s">
        <v>5</v>
      </c>
      <c r="H45" s="785" t="s">
        <v>621</v>
      </c>
      <c r="I45" s="787">
        <v>2319167.5228596106</v>
      </c>
      <c r="J45" s="787">
        <v>0</v>
      </c>
      <c r="K45" s="787">
        <v>131572.33333333331</v>
      </c>
      <c r="L45" s="787">
        <v>0</v>
      </c>
      <c r="M45" s="787">
        <v>200695</v>
      </c>
      <c r="N45" s="787">
        <v>78717</v>
      </c>
      <c r="O45" s="787">
        <v>2287.0500000000002</v>
      </c>
      <c r="P45" s="787">
        <v>10668.99</v>
      </c>
      <c r="Q45" s="787">
        <v>27319.811404999975</v>
      </c>
      <c r="R45" s="787">
        <v>0</v>
      </c>
      <c r="S45" s="787">
        <v>0.21000000135973096</v>
      </c>
      <c r="T45" s="787">
        <v>0</v>
      </c>
      <c r="U45" s="787">
        <v>122531.28</v>
      </c>
      <c r="V45" s="787">
        <v>2146.5300000000002</v>
      </c>
      <c r="W45" s="787">
        <v>0</v>
      </c>
      <c r="X45" s="787">
        <v>2895105.7275979449</v>
      </c>
      <c r="Y45" s="787">
        <v>1352955.79</v>
      </c>
      <c r="Z45" s="787">
        <v>0</v>
      </c>
      <c r="AA45" s="787">
        <v>332537.69</v>
      </c>
      <c r="AB45" s="787">
        <v>80101.509999999995</v>
      </c>
      <c r="AC45" s="787">
        <v>83113.55</v>
      </c>
      <c r="AD45" s="787">
        <v>0</v>
      </c>
      <c r="AE45" s="787">
        <v>135916.38</v>
      </c>
      <c r="AF45" s="787">
        <v>650.9</v>
      </c>
      <c r="AG45" s="787">
        <v>4070.62</v>
      </c>
      <c r="AH45" s="787">
        <v>0</v>
      </c>
      <c r="AI45" s="787">
        <v>0</v>
      </c>
      <c r="AJ45" s="787">
        <v>14703.93</v>
      </c>
      <c r="AK45" s="787">
        <v>5555.25</v>
      </c>
      <c r="AL45" s="787">
        <v>659.15</v>
      </c>
      <c r="AM45" s="787">
        <v>20278.84</v>
      </c>
      <c r="AN45" s="787">
        <v>44021.68</v>
      </c>
      <c r="AO45" s="787">
        <v>18982.8</v>
      </c>
      <c r="AP45" s="787">
        <v>11815.14</v>
      </c>
      <c r="AQ45" s="787">
        <v>89754.12999999999</v>
      </c>
      <c r="AR45" s="787">
        <v>0</v>
      </c>
      <c r="AS45" s="787">
        <v>0</v>
      </c>
      <c r="AT45" s="787">
        <v>8533.8799999999992</v>
      </c>
      <c r="AU45" s="787">
        <v>18236.62</v>
      </c>
      <c r="AV45" s="787">
        <v>0</v>
      </c>
      <c r="AW45" s="787">
        <v>0</v>
      </c>
      <c r="AX45" s="787">
        <v>0</v>
      </c>
      <c r="AY45" s="787">
        <v>0</v>
      </c>
      <c r="AZ45" s="787">
        <v>12171.02</v>
      </c>
      <c r="BA45" s="787">
        <v>9471</v>
      </c>
      <c r="BB45" s="787">
        <v>0</v>
      </c>
      <c r="BC45" s="787">
        <v>138584.78</v>
      </c>
      <c r="BD45" s="787">
        <v>281364.91000000003</v>
      </c>
      <c r="BE45" s="787">
        <v>45781.069999999992</v>
      </c>
      <c r="BF45" s="787">
        <v>266835.42000000004</v>
      </c>
      <c r="BG45" s="787">
        <v>0</v>
      </c>
      <c r="BH45" s="787">
        <v>-0.2999999993480742</v>
      </c>
      <c r="BI45" s="787">
        <v>0</v>
      </c>
      <c r="BJ45" s="787">
        <v>2976095.7600000002</v>
      </c>
      <c r="BK45" s="787">
        <v>17216.229999998824</v>
      </c>
      <c r="BL45" s="787">
        <v>-80990.032402055338</v>
      </c>
      <c r="BM45" s="787">
        <v>-63773.802402056514</v>
      </c>
      <c r="BN45" s="787">
        <v>8623.75</v>
      </c>
      <c r="BO45" s="787">
        <v>0</v>
      </c>
      <c r="BP45" s="787">
        <v>0</v>
      </c>
      <c r="BQ45" s="787">
        <v>8623.75</v>
      </c>
      <c r="BR45" s="787">
        <v>0</v>
      </c>
      <c r="BS45" s="787">
        <v>0</v>
      </c>
      <c r="BT45" s="787">
        <v>0</v>
      </c>
      <c r="BU45" s="787">
        <v>0</v>
      </c>
      <c r="BV45" s="787">
        <v>0</v>
      </c>
      <c r="BW45" s="787">
        <v>0</v>
      </c>
      <c r="BX45" s="787">
        <v>10081.82</v>
      </c>
      <c r="BY45" s="787">
        <v>198</v>
      </c>
      <c r="BZ45" s="787">
        <v>10279.82</v>
      </c>
      <c r="CA45" s="787">
        <v>7659.3500000000022</v>
      </c>
      <c r="CB45" s="787">
        <v>-1656.0699999999997</v>
      </c>
      <c r="CC45" s="787">
        <v>6003.2800000000025</v>
      </c>
      <c r="CD45" s="787">
        <v>0</v>
      </c>
      <c r="CE45" s="787">
        <v>0</v>
      </c>
      <c r="CF45" s="787">
        <v>0</v>
      </c>
      <c r="CG45" s="787">
        <v>0</v>
      </c>
      <c r="CH45" s="787">
        <v>0</v>
      </c>
      <c r="CI45" s="787">
        <v>0</v>
      </c>
      <c r="CJ45" s="787">
        <v>0</v>
      </c>
      <c r="CK45" s="787">
        <v>0</v>
      </c>
      <c r="CL45" s="787">
        <v>0</v>
      </c>
      <c r="CM45" s="787">
        <v>0</v>
      </c>
      <c r="CN45" s="787">
        <v>-63773.802402056514</v>
      </c>
      <c r="CO45" s="787">
        <v>6003.2800000000025</v>
      </c>
      <c r="CP45" s="787">
        <v>0</v>
      </c>
      <c r="CQ45" s="787">
        <v>0</v>
      </c>
      <c r="CR45" s="787">
        <v>-57770.522402056507</v>
      </c>
      <c r="CS45" s="787">
        <v>192708.77</v>
      </c>
      <c r="CT45" s="787">
        <v>0</v>
      </c>
      <c r="CU45" s="787">
        <v>0</v>
      </c>
      <c r="CV45" s="787">
        <v>192708.77</v>
      </c>
      <c r="CW45" s="787">
        <v>0</v>
      </c>
      <c r="CX45" s="787">
        <v>8903.08</v>
      </c>
      <c r="CY45" s="787">
        <v>2843.95</v>
      </c>
      <c r="CZ45" s="787">
        <v>0</v>
      </c>
      <c r="DA45" s="787">
        <v>-4028</v>
      </c>
      <c r="DB45" s="787">
        <v>200427.8</v>
      </c>
      <c r="DC45" s="787">
        <v>0</v>
      </c>
      <c r="DD45" s="787">
        <v>0</v>
      </c>
      <c r="DE45" s="787">
        <v>0</v>
      </c>
      <c r="DF45" s="787">
        <v>0</v>
      </c>
      <c r="DG45" s="787"/>
      <c r="DH45" s="787"/>
      <c r="DI45" s="787"/>
      <c r="DJ45" s="787">
        <v>0</v>
      </c>
      <c r="DK45" s="787">
        <v>0</v>
      </c>
      <c r="DL45" s="787">
        <v>5945.36</v>
      </c>
      <c r="DM45" s="787">
        <v>0</v>
      </c>
      <c r="DN45" s="787">
        <v>0</v>
      </c>
      <c r="DO45" s="787">
        <v>0</v>
      </c>
      <c r="DP45" s="787">
        <v>-230688.09</v>
      </c>
      <c r="DQ45" s="787">
        <v>0</v>
      </c>
      <c r="DR45" s="787">
        <v>0</v>
      </c>
      <c r="DS45" s="787">
        <v>0</v>
      </c>
      <c r="DT45" s="787">
        <v>-224742.73</v>
      </c>
      <c r="DU45" s="787">
        <v>0</v>
      </c>
      <c r="DV45" s="787">
        <v>0</v>
      </c>
      <c r="DW45" s="787">
        <v>0</v>
      </c>
      <c r="DX45" s="787">
        <v>0</v>
      </c>
      <c r="DY45" s="787">
        <v>0</v>
      </c>
      <c r="DZ45" s="787">
        <v>-33455.96</v>
      </c>
      <c r="EA45" s="787">
        <v>0.3675979435138288</v>
      </c>
      <c r="EE45">
        <f>_xlfn.XLOOKUP(C45,'[1]Cfwd Analysis'!$C:$C,'[1]Cfwd Analysis'!$I:$I,0,0)</f>
        <v>-63773.802402056514</v>
      </c>
      <c r="EF45" s="788">
        <f t="shared" si="0"/>
        <v>0</v>
      </c>
    </row>
    <row r="46" spans="1:136" ht="15.6" hidden="1">
      <c r="A46" s="782" t="s">
        <v>1338</v>
      </c>
      <c r="B46" s="782" t="s">
        <v>611</v>
      </c>
      <c r="C46" s="783">
        <v>2185</v>
      </c>
      <c r="D46" s="784" t="s">
        <v>612</v>
      </c>
      <c r="E46" s="785" t="s">
        <v>521</v>
      </c>
      <c r="F46" s="786">
        <v>46094</v>
      </c>
      <c r="G46" s="785" t="s">
        <v>5</v>
      </c>
      <c r="H46" s="785" t="s">
        <v>623</v>
      </c>
      <c r="I46" s="787">
        <v>2563939.89</v>
      </c>
      <c r="J46" s="787">
        <v>0</v>
      </c>
      <c r="K46" s="787">
        <v>150410.43</v>
      </c>
      <c r="L46" s="787">
        <v>0</v>
      </c>
      <c r="M46" s="787">
        <v>227565</v>
      </c>
      <c r="N46" s="787">
        <v>85397</v>
      </c>
      <c r="O46" s="787">
        <v>0</v>
      </c>
      <c r="P46" s="787">
        <v>22406.799999999999</v>
      </c>
      <c r="Q46" s="787">
        <v>79956.5</v>
      </c>
      <c r="R46" s="787">
        <v>9455.5400000000009</v>
      </c>
      <c r="S46" s="787">
        <v>0</v>
      </c>
      <c r="T46" s="787">
        <v>0</v>
      </c>
      <c r="U46" s="787">
        <v>17517.2</v>
      </c>
      <c r="V46" s="787">
        <v>242474.26</v>
      </c>
      <c r="W46" s="787">
        <v>0</v>
      </c>
      <c r="X46" s="787">
        <v>3399122.62</v>
      </c>
      <c r="Y46" s="787">
        <v>1292190.6400000001</v>
      </c>
      <c r="Z46" s="787">
        <v>0</v>
      </c>
      <c r="AA46" s="787">
        <v>489399.08</v>
      </c>
      <c r="AB46" s="787">
        <v>58664.71</v>
      </c>
      <c r="AC46" s="787">
        <v>135553.62</v>
      </c>
      <c r="AD46" s="787">
        <v>0</v>
      </c>
      <c r="AE46" s="787">
        <v>132959.54999999999</v>
      </c>
      <c r="AF46" s="787">
        <v>8580.73</v>
      </c>
      <c r="AG46" s="787">
        <v>1764</v>
      </c>
      <c r="AH46" s="787">
        <v>0</v>
      </c>
      <c r="AI46" s="787">
        <v>0</v>
      </c>
      <c r="AJ46" s="787">
        <v>16756.939999999999</v>
      </c>
      <c r="AK46" s="787">
        <v>0</v>
      </c>
      <c r="AL46" s="787">
        <v>158975.79999999999</v>
      </c>
      <c r="AM46" s="787">
        <v>13889.720000000001</v>
      </c>
      <c r="AN46" s="787">
        <v>90673.23000000001</v>
      </c>
      <c r="AO46" s="787">
        <v>23760.84</v>
      </c>
      <c r="AP46" s="787">
        <v>88260.67</v>
      </c>
      <c r="AQ46" s="787">
        <v>136161.54</v>
      </c>
      <c r="AR46" s="787">
        <v>0</v>
      </c>
      <c r="AS46" s="787">
        <v>0</v>
      </c>
      <c r="AT46" s="787">
        <v>-0.13000000000010914</v>
      </c>
      <c r="AU46" s="787">
        <v>0</v>
      </c>
      <c r="AV46" s="787">
        <v>0</v>
      </c>
      <c r="AW46" s="787">
        <v>0</v>
      </c>
      <c r="AX46" s="787">
        <v>0</v>
      </c>
      <c r="AY46" s="787">
        <v>0</v>
      </c>
      <c r="AZ46" s="787">
        <v>59485.1</v>
      </c>
      <c r="BA46" s="787">
        <v>10771</v>
      </c>
      <c r="BB46" s="787">
        <v>4865</v>
      </c>
      <c r="BC46" s="787">
        <v>236277.48</v>
      </c>
      <c r="BD46" s="787">
        <v>186928.15</v>
      </c>
      <c r="BE46" s="787">
        <v>27086.659999999996</v>
      </c>
      <c r="BF46" s="787">
        <v>172779.98</v>
      </c>
      <c r="BG46" s="787">
        <v>0</v>
      </c>
      <c r="BH46" s="787">
        <v>0</v>
      </c>
      <c r="BI46" s="787">
        <v>0</v>
      </c>
      <c r="BJ46" s="787">
        <v>3345784.31</v>
      </c>
      <c r="BK46" s="787">
        <v>111403.51999999865</v>
      </c>
      <c r="BL46" s="787">
        <v>53338.310000000056</v>
      </c>
      <c r="BM46" s="787">
        <v>164741.82999999871</v>
      </c>
      <c r="BN46" s="787">
        <v>9051.25</v>
      </c>
      <c r="BO46" s="787">
        <v>0</v>
      </c>
      <c r="BP46" s="787">
        <v>0</v>
      </c>
      <c r="BQ46" s="787">
        <v>9051.25</v>
      </c>
      <c r="BR46" s="787">
        <v>0</v>
      </c>
      <c r="BS46" s="787">
        <v>0</v>
      </c>
      <c r="BT46" s="787">
        <v>0</v>
      </c>
      <c r="BU46" s="787">
        <v>0</v>
      </c>
      <c r="BV46" s="787">
        <v>0</v>
      </c>
      <c r="BW46" s="787">
        <v>0</v>
      </c>
      <c r="BX46" s="787">
        <v>0</v>
      </c>
      <c r="BY46" s="787">
        <v>0</v>
      </c>
      <c r="BZ46" s="787">
        <v>0</v>
      </c>
      <c r="CA46" s="787">
        <v>0</v>
      </c>
      <c r="CB46" s="787">
        <v>9051.25</v>
      </c>
      <c r="CC46" s="787">
        <v>9051.25</v>
      </c>
      <c r="CD46" s="787">
        <v>0</v>
      </c>
      <c r="CE46" s="787">
        <v>0</v>
      </c>
      <c r="CF46" s="787">
        <v>0</v>
      </c>
      <c r="CG46" s="787">
        <v>0</v>
      </c>
      <c r="CH46" s="787">
        <v>0</v>
      </c>
      <c r="CI46" s="787">
        <v>0</v>
      </c>
      <c r="CJ46" s="787">
        <v>0</v>
      </c>
      <c r="CK46" s="787">
        <v>0</v>
      </c>
      <c r="CL46" s="787">
        <v>0</v>
      </c>
      <c r="CM46" s="787">
        <v>164741.82999999871</v>
      </c>
      <c r="CN46" s="787">
        <v>0</v>
      </c>
      <c r="CO46" s="787">
        <v>9051.25</v>
      </c>
      <c r="CP46" s="787">
        <v>0</v>
      </c>
      <c r="CQ46" s="787">
        <v>0</v>
      </c>
      <c r="CR46" s="787">
        <v>173793.07999999871</v>
      </c>
      <c r="CS46" s="787">
        <v>464656.69</v>
      </c>
      <c r="CT46" s="787">
        <v>34908.07</v>
      </c>
      <c r="CU46" s="787">
        <v>30826.03</v>
      </c>
      <c r="CV46" s="787">
        <v>460574.65</v>
      </c>
      <c r="CW46" s="787">
        <v>0</v>
      </c>
      <c r="CX46" s="787">
        <v>9489.81</v>
      </c>
      <c r="CY46" s="787">
        <v>24721.08</v>
      </c>
      <c r="CZ46" s="787">
        <v>0</v>
      </c>
      <c r="DA46" s="787">
        <v>0</v>
      </c>
      <c r="DB46" s="787">
        <v>494785.54000000004</v>
      </c>
      <c r="DC46" s="787">
        <v>0</v>
      </c>
      <c r="DD46" s="787">
        <v>0</v>
      </c>
      <c r="DE46" s="787">
        <v>0</v>
      </c>
      <c r="DF46" s="787">
        <v>0</v>
      </c>
      <c r="DG46" s="787"/>
      <c r="DH46" s="787"/>
      <c r="DI46" s="787"/>
      <c r="DJ46" s="787">
        <v>0</v>
      </c>
      <c r="DK46" s="787">
        <v>0</v>
      </c>
      <c r="DL46" s="787">
        <v>0</v>
      </c>
      <c r="DM46" s="787">
        <v>2818</v>
      </c>
      <c r="DN46" s="787">
        <v>0</v>
      </c>
      <c r="DO46" s="787">
        <v>0</v>
      </c>
      <c r="DP46" s="787">
        <v>-240743.43</v>
      </c>
      <c r="DQ46" s="787">
        <v>-48775.59</v>
      </c>
      <c r="DR46" s="787">
        <v>0</v>
      </c>
      <c r="DS46" s="787">
        <v>0</v>
      </c>
      <c r="DT46" s="787">
        <v>-286701.02</v>
      </c>
      <c r="DU46" s="787">
        <v>0</v>
      </c>
      <c r="DV46" s="787">
        <v>0</v>
      </c>
      <c r="DW46" s="787">
        <v>-6314.42</v>
      </c>
      <c r="DX46" s="787">
        <v>0</v>
      </c>
      <c r="DY46" s="787">
        <v>0</v>
      </c>
      <c r="DZ46" s="787">
        <v>-27976.76</v>
      </c>
      <c r="EA46" s="787">
        <v>-0.2600000013189856</v>
      </c>
      <c r="EE46">
        <f>_xlfn.XLOOKUP(C46,'[1]Cfwd Analysis'!$C:$C,'[1]Cfwd Analysis'!$I:$I,0,0)</f>
        <v>164741.82999999871</v>
      </c>
      <c r="EF46" s="788">
        <f t="shared" si="0"/>
        <v>0</v>
      </c>
    </row>
    <row r="47" spans="1:136" ht="15.6" hidden="1">
      <c r="A47" s="782" t="s">
        <v>1339</v>
      </c>
      <c r="B47" s="782" t="s">
        <v>613</v>
      </c>
      <c r="C47" s="783">
        <v>5416</v>
      </c>
      <c r="D47" s="784" t="s">
        <v>614</v>
      </c>
      <c r="E47" s="785" t="s">
        <v>521</v>
      </c>
      <c r="F47" s="786">
        <v>46094</v>
      </c>
      <c r="G47" s="785" t="s">
        <v>5</v>
      </c>
      <c r="H47" s="785" t="s">
        <v>625</v>
      </c>
      <c r="I47" s="787">
        <v>9432087.032450242</v>
      </c>
      <c r="J47" s="787">
        <v>363756.67333333334</v>
      </c>
      <c r="K47" s="787">
        <v>110619.99</v>
      </c>
      <c r="L47" s="787">
        <v>0</v>
      </c>
      <c r="M47" s="787">
        <v>686950</v>
      </c>
      <c r="N47" s="787">
        <v>15547.16</v>
      </c>
      <c r="O47" s="787">
        <v>47760</v>
      </c>
      <c r="P47" s="787">
        <v>36227.94</v>
      </c>
      <c r="Q47" s="787">
        <v>24702.16</v>
      </c>
      <c r="R47" s="787">
        <v>0</v>
      </c>
      <c r="S47" s="787">
        <v>27912</v>
      </c>
      <c r="T47" s="787">
        <v>42483.83</v>
      </c>
      <c r="U47" s="787">
        <v>0</v>
      </c>
      <c r="V47" s="787">
        <v>0</v>
      </c>
      <c r="W47" s="787">
        <v>0</v>
      </c>
      <c r="X47" s="787">
        <v>10788046.785783576</v>
      </c>
      <c r="Y47" s="787">
        <v>6138538.4800000004</v>
      </c>
      <c r="Z47" s="787">
        <v>0</v>
      </c>
      <c r="AA47" s="787">
        <v>1446375.31</v>
      </c>
      <c r="AB47" s="787">
        <v>322310.93</v>
      </c>
      <c r="AC47" s="787">
        <v>836426.54</v>
      </c>
      <c r="AD47" s="787">
        <v>0</v>
      </c>
      <c r="AE47" s="787">
        <v>0</v>
      </c>
      <c r="AF47" s="787">
        <v>51006.07</v>
      </c>
      <c r="AG47" s="787">
        <v>9942.94</v>
      </c>
      <c r="AH47" s="787">
        <v>0</v>
      </c>
      <c r="AI47" s="787">
        <v>65728.210000000006</v>
      </c>
      <c r="AJ47" s="787">
        <v>106896.77</v>
      </c>
      <c r="AK47" s="787">
        <v>7252.41</v>
      </c>
      <c r="AL47" s="787">
        <v>160486.46</v>
      </c>
      <c r="AM47" s="787">
        <v>36050.25</v>
      </c>
      <c r="AN47" s="787">
        <v>175413.59000000003</v>
      </c>
      <c r="AO47" s="787">
        <v>8691.8999999999978</v>
      </c>
      <c r="AP47" s="787">
        <v>50663.61</v>
      </c>
      <c r="AQ47" s="787">
        <v>168511.97</v>
      </c>
      <c r="AR47" s="787">
        <v>54070.16</v>
      </c>
      <c r="AS47" s="787">
        <v>0</v>
      </c>
      <c r="AT47" s="787">
        <v>61144.57</v>
      </c>
      <c r="AU47" s="787">
        <v>159960.46</v>
      </c>
      <c r="AV47" s="787">
        <v>0</v>
      </c>
      <c r="AW47" s="787">
        <v>0</v>
      </c>
      <c r="AX47" s="787">
        <v>68702</v>
      </c>
      <c r="AY47" s="787">
        <v>123292.14</v>
      </c>
      <c r="AZ47" s="787">
        <v>92273.3</v>
      </c>
      <c r="BA47" s="787">
        <v>37036.74</v>
      </c>
      <c r="BB47" s="787">
        <v>0</v>
      </c>
      <c r="BC47" s="787">
        <v>130930.28</v>
      </c>
      <c r="BD47" s="787">
        <v>159960.52000000002</v>
      </c>
      <c r="BE47" s="787">
        <v>23209.81</v>
      </c>
      <c r="BF47" s="787">
        <v>152433.5</v>
      </c>
      <c r="BG47" s="787">
        <v>0</v>
      </c>
      <c r="BH47" s="787">
        <v>0</v>
      </c>
      <c r="BI47" s="787">
        <v>119008.15</v>
      </c>
      <c r="BJ47" s="787">
        <v>10766317.070000006</v>
      </c>
      <c r="BK47" s="787">
        <v>491994.42000000691</v>
      </c>
      <c r="BL47" s="787">
        <v>21729.715783569962</v>
      </c>
      <c r="BM47" s="787">
        <v>513724.13578357687</v>
      </c>
      <c r="BN47" s="787">
        <v>25150</v>
      </c>
      <c r="BO47" s="787">
        <v>0</v>
      </c>
      <c r="BP47" s="787">
        <v>119008.15</v>
      </c>
      <c r="BQ47" s="787">
        <v>144158.15</v>
      </c>
      <c r="BR47" s="787">
        <v>0</v>
      </c>
      <c r="BS47" s="787">
        <v>0</v>
      </c>
      <c r="BT47" s="787">
        <v>16290.48</v>
      </c>
      <c r="BU47" s="787">
        <v>0</v>
      </c>
      <c r="BV47" s="787">
        <v>0</v>
      </c>
      <c r="BW47" s="787">
        <v>0</v>
      </c>
      <c r="BX47" s="787">
        <v>78483.83</v>
      </c>
      <c r="BY47" s="787">
        <v>24233.84</v>
      </c>
      <c r="BZ47" s="787">
        <v>119008.15</v>
      </c>
      <c r="CA47" s="787">
        <v>6558.1699999999983</v>
      </c>
      <c r="CB47" s="787">
        <v>25150</v>
      </c>
      <c r="CC47" s="787">
        <v>31708.17</v>
      </c>
      <c r="CD47" s="787">
        <v>0</v>
      </c>
      <c r="CE47" s="787">
        <v>0</v>
      </c>
      <c r="CF47" s="787">
        <v>0</v>
      </c>
      <c r="CG47" s="787">
        <v>0</v>
      </c>
      <c r="CH47" s="787">
        <v>0</v>
      </c>
      <c r="CI47" s="787">
        <v>0</v>
      </c>
      <c r="CJ47" s="787">
        <v>0</v>
      </c>
      <c r="CK47" s="787">
        <v>0</v>
      </c>
      <c r="CL47" s="787">
        <v>0</v>
      </c>
      <c r="CM47" s="787">
        <v>513724.13578357687</v>
      </c>
      <c r="CN47" s="787">
        <v>0</v>
      </c>
      <c r="CO47" s="787">
        <v>25150</v>
      </c>
      <c r="CP47" s="787">
        <v>6558.1699999999983</v>
      </c>
      <c r="CQ47" s="787">
        <v>0</v>
      </c>
      <c r="CR47" s="787">
        <v>545432.30578357691</v>
      </c>
      <c r="CS47" s="787">
        <v>25000</v>
      </c>
      <c r="CT47" s="787">
        <v>0</v>
      </c>
      <c r="CU47" s="787">
        <v>0</v>
      </c>
      <c r="CV47" s="787">
        <v>25000</v>
      </c>
      <c r="CW47" s="787">
        <v>0</v>
      </c>
      <c r="CX47" s="787">
        <v>34683.94</v>
      </c>
      <c r="CY47" s="787">
        <v>43551.66</v>
      </c>
      <c r="CZ47" s="787">
        <v>3080.86</v>
      </c>
      <c r="DA47" s="787">
        <v>0</v>
      </c>
      <c r="DB47" s="787">
        <v>106316.46</v>
      </c>
      <c r="DC47" s="787">
        <v>1793816.5</v>
      </c>
      <c r="DD47" s="787">
        <v>1081456.1100000001</v>
      </c>
      <c r="DE47" s="787">
        <v>8655</v>
      </c>
      <c r="DF47" s="787">
        <v>721015.3899999999</v>
      </c>
      <c r="DG47" s="787"/>
      <c r="DH47" s="787"/>
      <c r="DI47" s="787"/>
      <c r="DJ47" s="787">
        <v>0</v>
      </c>
      <c r="DK47" s="787">
        <v>721015.3899999999</v>
      </c>
      <c r="DL47" s="787">
        <v>0</v>
      </c>
      <c r="DM47" s="787">
        <v>0</v>
      </c>
      <c r="DN47" s="787">
        <v>91564.43</v>
      </c>
      <c r="DO47" s="787">
        <v>427623.52</v>
      </c>
      <c r="DP47" s="787">
        <v>-39589.82</v>
      </c>
      <c r="DQ47" s="787">
        <v>0</v>
      </c>
      <c r="DR47" s="787">
        <v>-80810</v>
      </c>
      <c r="DS47" s="787">
        <v>-678957.72</v>
      </c>
      <c r="DT47" s="787">
        <v>-280169.58999999997</v>
      </c>
      <c r="DU47" s="787">
        <v>0</v>
      </c>
      <c r="DV47" s="787">
        <v>0</v>
      </c>
      <c r="DW47" s="787">
        <v>-1730</v>
      </c>
      <c r="DX47" s="787">
        <v>0</v>
      </c>
      <c r="DY47" s="787">
        <v>0</v>
      </c>
      <c r="DZ47" s="787">
        <v>0</v>
      </c>
      <c r="EA47" s="787">
        <v>4.5783576904796064E-2</v>
      </c>
      <c r="EE47">
        <f>_xlfn.XLOOKUP(C47,'[1]Cfwd Analysis'!$C:$C,'[1]Cfwd Analysis'!$I:$I,0,0)</f>
        <v>513724.13578357687</v>
      </c>
      <c r="EF47" s="788">
        <f t="shared" si="0"/>
        <v>0</v>
      </c>
    </row>
    <row r="48" spans="1:136" ht="15.6" hidden="1">
      <c r="A48" s="782" t="s">
        <v>1340</v>
      </c>
      <c r="B48" s="782" t="s">
        <v>615</v>
      </c>
      <c r="C48" s="783">
        <v>2054</v>
      </c>
      <c r="D48" s="784" t="s">
        <v>616</v>
      </c>
      <c r="E48" s="785" t="s">
        <v>521</v>
      </c>
      <c r="F48" s="786">
        <v>46098</v>
      </c>
      <c r="G48" s="785" t="s">
        <v>5</v>
      </c>
      <c r="H48" s="785" t="s">
        <v>627</v>
      </c>
      <c r="I48" s="787">
        <v>2105045.2624652507</v>
      </c>
      <c r="J48" s="787">
        <v>0</v>
      </c>
      <c r="K48" s="787">
        <v>257237.40879963065</v>
      </c>
      <c r="L48" s="787">
        <v>0</v>
      </c>
      <c r="M48" s="787">
        <v>121200</v>
      </c>
      <c r="N48" s="787">
        <v>144010</v>
      </c>
      <c r="O48" s="787">
        <v>0</v>
      </c>
      <c r="P48" s="787">
        <v>0</v>
      </c>
      <c r="Q48" s="787">
        <v>0</v>
      </c>
      <c r="R48" s="787">
        <v>183498.77</v>
      </c>
      <c r="S48" s="787">
        <v>0</v>
      </c>
      <c r="T48" s="787">
        <v>0</v>
      </c>
      <c r="U48" s="787">
        <v>27622</v>
      </c>
      <c r="V48" s="787">
        <v>6005.8600000000006</v>
      </c>
      <c r="W48" s="787">
        <v>0</v>
      </c>
      <c r="X48" s="787">
        <v>2844619.3012648812</v>
      </c>
      <c r="Y48" s="787">
        <v>1190992.8099999998</v>
      </c>
      <c r="Z48" s="787">
        <v>0</v>
      </c>
      <c r="AA48" s="787">
        <v>386017.94</v>
      </c>
      <c r="AB48" s="787">
        <v>70588.789999999994</v>
      </c>
      <c r="AC48" s="787">
        <v>110199.97</v>
      </c>
      <c r="AD48" s="787">
        <v>180471.63</v>
      </c>
      <c r="AE48" s="787">
        <v>79992.209999999992</v>
      </c>
      <c r="AF48" s="787">
        <v>8297.2900000000009</v>
      </c>
      <c r="AG48" s="787">
        <v>6430.55</v>
      </c>
      <c r="AH48" s="787">
        <v>0</v>
      </c>
      <c r="AI48" s="787">
        <v>0</v>
      </c>
      <c r="AJ48" s="787">
        <v>21707.23</v>
      </c>
      <c r="AK48" s="787">
        <v>0</v>
      </c>
      <c r="AL48" s="787">
        <v>1928.39</v>
      </c>
      <c r="AM48" s="787">
        <v>11078.33</v>
      </c>
      <c r="AN48" s="787">
        <v>36330.5</v>
      </c>
      <c r="AO48" s="787">
        <v>14233.07</v>
      </c>
      <c r="AP48" s="787">
        <v>3303.26</v>
      </c>
      <c r="AQ48" s="787">
        <v>27608.2</v>
      </c>
      <c r="AR48" s="787">
        <v>2825</v>
      </c>
      <c r="AS48" s="787">
        <v>0</v>
      </c>
      <c r="AT48" s="787">
        <v>1846.73</v>
      </c>
      <c r="AU48" s="787">
        <v>19941.93</v>
      </c>
      <c r="AV48" s="787">
        <v>0</v>
      </c>
      <c r="AW48" s="787">
        <v>1733.95</v>
      </c>
      <c r="AX48" s="787">
        <v>0</v>
      </c>
      <c r="AY48" s="787">
        <v>0</v>
      </c>
      <c r="AZ48" s="787">
        <v>14069.5</v>
      </c>
      <c r="BA48" s="787">
        <v>9471</v>
      </c>
      <c r="BB48" s="787">
        <v>0</v>
      </c>
      <c r="BC48" s="787">
        <v>169533.79</v>
      </c>
      <c r="BD48" s="787">
        <v>183659.57</v>
      </c>
      <c r="BE48" s="787">
        <v>329721.02999999997</v>
      </c>
      <c r="BF48" s="787">
        <v>32795.18</v>
      </c>
      <c r="BG48" s="787">
        <v>0</v>
      </c>
      <c r="BH48" s="787">
        <v>0</v>
      </c>
      <c r="BI48" s="787">
        <v>0</v>
      </c>
      <c r="BJ48" s="787">
        <v>2914777.8499999996</v>
      </c>
      <c r="BK48" s="787">
        <v>136206.45000000054</v>
      </c>
      <c r="BL48" s="787">
        <v>-70158.548735118471</v>
      </c>
      <c r="BM48" s="787">
        <v>66047.901264882064</v>
      </c>
      <c r="BN48" s="787">
        <v>8369.5</v>
      </c>
      <c r="BO48" s="787">
        <v>0</v>
      </c>
      <c r="BP48" s="787">
        <v>0</v>
      </c>
      <c r="BQ48" s="787">
        <v>8369.5</v>
      </c>
      <c r="BR48" s="787">
        <v>0</v>
      </c>
      <c r="BS48" s="787">
        <v>0</v>
      </c>
      <c r="BT48" s="787">
        <v>6931</v>
      </c>
      <c r="BU48" s="787">
        <v>1040</v>
      </c>
      <c r="BV48" s="787">
        <v>0</v>
      </c>
      <c r="BW48" s="787">
        <v>0</v>
      </c>
      <c r="BX48" s="787">
        <v>7064</v>
      </c>
      <c r="BY48" s="787">
        <v>3402</v>
      </c>
      <c r="BZ48" s="787">
        <v>18437</v>
      </c>
      <c r="CA48" s="787">
        <v>42930.64</v>
      </c>
      <c r="CB48" s="787">
        <v>-10067.5</v>
      </c>
      <c r="CC48" s="787">
        <v>32863.14</v>
      </c>
      <c r="CD48" s="787">
        <v>0</v>
      </c>
      <c r="CE48" s="787">
        <v>0</v>
      </c>
      <c r="CF48" s="787">
        <v>0</v>
      </c>
      <c r="CG48" s="787">
        <v>0</v>
      </c>
      <c r="CH48" s="787">
        <v>0</v>
      </c>
      <c r="CI48" s="787">
        <v>0</v>
      </c>
      <c r="CJ48" s="787">
        <v>0</v>
      </c>
      <c r="CK48" s="787">
        <v>0</v>
      </c>
      <c r="CL48" s="787">
        <v>0</v>
      </c>
      <c r="CM48" s="787">
        <v>66047.901264882064</v>
      </c>
      <c r="CN48" s="787">
        <v>0</v>
      </c>
      <c r="CO48" s="787">
        <v>32863.14</v>
      </c>
      <c r="CP48" s="787">
        <v>0</v>
      </c>
      <c r="CQ48" s="787">
        <v>0</v>
      </c>
      <c r="CR48" s="787">
        <v>98911.041264882064</v>
      </c>
      <c r="CS48" s="787">
        <v>308888.57</v>
      </c>
      <c r="CT48" s="787">
        <v>1885</v>
      </c>
      <c r="CU48" s="787">
        <v>0</v>
      </c>
      <c r="CV48" s="787">
        <v>307003.57</v>
      </c>
      <c r="CW48" s="787">
        <v>0</v>
      </c>
      <c r="CX48" s="787">
        <v>9852.1299999999992</v>
      </c>
      <c r="CY48" s="787">
        <v>3231.23</v>
      </c>
      <c r="CZ48" s="787">
        <v>16541.439999999999</v>
      </c>
      <c r="DA48" s="787">
        <v>0</v>
      </c>
      <c r="DB48" s="787">
        <v>336628.37</v>
      </c>
      <c r="DC48" s="787">
        <v>0</v>
      </c>
      <c r="DD48" s="787">
        <v>1575</v>
      </c>
      <c r="DE48" s="787">
        <v>0</v>
      </c>
      <c r="DF48" s="787">
        <v>-1575</v>
      </c>
      <c r="DG48" s="787"/>
      <c r="DH48" s="787"/>
      <c r="DI48" s="787"/>
      <c r="DJ48" s="787">
        <v>0</v>
      </c>
      <c r="DK48" s="787">
        <v>-1575</v>
      </c>
      <c r="DL48" s="787">
        <v>0</v>
      </c>
      <c r="DM48" s="787">
        <v>0</v>
      </c>
      <c r="DN48" s="787">
        <v>0</v>
      </c>
      <c r="DO48" s="787">
        <v>0</v>
      </c>
      <c r="DP48" s="787">
        <v>-205351.02</v>
      </c>
      <c r="DQ48" s="787">
        <v>0</v>
      </c>
      <c r="DR48" s="787">
        <v>0</v>
      </c>
      <c r="DS48" s="787">
        <v>0</v>
      </c>
      <c r="DT48" s="787">
        <v>-205351.02</v>
      </c>
      <c r="DU48" s="787">
        <v>1315.12</v>
      </c>
      <c r="DV48" s="787">
        <v>0</v>
      </c>
      <c r="DW48" s="787">
        <v>0</v>
      </c>
      <c r="DX48" s="787">
        <v>0</v>
      </c>
      <c r="DY48" s="787">
        <v>0</v>
      </c>
      <c r="DZ48" s="787">
        <v>-32105.97</v>
      </c>
      <c r="EA48" s="787">
        <v>-0.45873511793615762</v>
      </c>
      <c r="EE48">
        <f>_xlfn.XLOOKUP(C48,'[1]Cfwd Analysis'!$C:$C,'[1]Cfwd Analysis'!$I:$I,0,0)</f>
        <v>66047.901264882064</v>
      </c>
      <c r="EF48" s="788">
        <f t="shared" si="0"/>
        <v>0</v>
      </c>
    </row>
    <row r="49" spans="1:136" ht="15.6" hidden="1">
      <c r="A49" s="782" t="s">
        <v>1341</v>
      </c>
      <c r="B49" s="782" t="s">
        <v>617</v>
      </c>
      <c r="C49" s="783">
        <v>2053</v>
      </c>
      <c r="D49" s="784" t="s">
        <v>618</v>
      </c>
      <c r="E49" s="785" t="s">
        <v>521</v>
      </c>
      <c r="F49" s="786">
        <v>46097</v>
      </c>
      <c r="G49" s="785" t="s">
        <v>5</v>
      </c>
      <c r="H49" s="785" t="s">
        <v>629</v>
      </c>
      <c r="I49" s="787">
        <v>2533490.841079962</v>
      </c>
      <c r="J49" s="787">
        <v>0</v>
      </c>
      <c r="K49" s="787">
        <v>185175.33666666667</v>
      </c>
      <c r="L49" s="787">
        <v>0</v>
      </c>
      <c r="M49" s="787">
        <v>222800</v>
      </c>
      <c r="N49" s="787">
        <v>21449</v>
      </c>
      <c r="O49" s="787">
        <v>0</v>
      </c>
      <c r="P49" s="787">
        <v>0</v>
      </c>
      <c r="Q49" s="787">
        <v>22361.75999999998</v>
      </c>
      <c r="R49" s="787">
        <v>87583.01</v>
      </c>
      <c r="S49" s="787">
        <v>0</v>
      </c>
      <c r="T49" s="787">
        <v>0</v>
      </c>
      <c r="U49" s="787">
        <v>214198.1</v>
      </c>
      <c r="V49" s="787">
        <v>2100</v>
      </c>
      <c r="W49" s="787">
        <v>0</v>
      </c>
      <c r="X49" s="787">
        <v>3289158.0477466281</v>
      </c>
      <c r="Y49" s="787">
        <v>1488699.56</v>
      </c>
      <c r="Z49" s="787">
        <v>0</v>
      </c>
      <c r="AA49" s="787">
        <v>525169.48</v>
      </c>
      <c r="AB49" s="787">
        <v>68671.61</v>
      </c>
      <c r="AC49" s="787">
        <v>193240.16999999998</v>
      </c>
      <c r="AD49" s="787">
        <v>0</v>
      </c>
      <c r="AE49" s="787">
        <v>159101.15</v>
      </c>
      <c r="AF49" s="787">
        <v>10449.77</v>
      </c>
      <c r="AG49" s="787">
        <v>12773.55</v>
      </c>
      <c r="AH49" s="787">
        <v>0</v>
      </c>
      <c r="AI49" s="787">
        <v>0</v>
      </c>
      <c r="AJ49" s="787">
        <v>11568.97</v>
      </c>
      <c r="AK49" s="787">
        <v>0</v>
      </c>
      <c r="AL49" s="787">
        <v>3252.01</v>
      </c>
      <c r="AM49" s="787">
        <v>9239.77</v>
      </c>
      <c r="AN49" s="787">
        <v>34139.050000000003</v>
      </c>
      <c r="AO49" s="787">
        <v>20481.73</v>
      </c>
      <c r="AP49" s="787">
        <v>5354.16</v>
      </c>
      <c r="AQ49" s="787">
        <v>113819.01</v>
      </c>
      <c r="AR49" s="787">
        <v>4317</v>
      </c>
      <c r="AS49" s="787">
        <v>0</v>
      </c>
      <c r="AT49" s="787">
        <v>13877.8</v>
      </c>
      <c r="AU49" s="787">
        <v>10467.880000000001</v>
      </c>
      <c r="AV49" s="787">
        <v>0</v>
      </c>
      <c r="AW49" s="787">
        <v>2315.38</v>
      </c>
      <c r="AX49" s="787">
        <v>0</v>
      </c>
      <c r="AY49" s="787">
        <v>0</v>
      </c>
      <c r="AZ49" s="787">
        <v>24217.71</v>
      </c>
      <c r="BA49" s="787">
        <v>13002.4</v>
      </c>
      <c r="BB49" s="787">
        <v>7059</v>
      </c>
      <c r="BC49" s="787">
        <v>182515.52</v>
      </c>
      <c r="BD49" s="787">
        <v>137720.04</v>
      </c>
      <c r="BE49" s="787">
        <v>237621.67</v>
      </c>
      <c r="BF49" s="787">
        <v>27974.809999999998</v>
      </c>
      <c r="BG49" s="787">
        <v>0</v>
      </c>
      <c r="BH49" s="787">
        <v>0</v>
      </c>
      <c r="BI49" s="787">
        <v>0</v>
      </c>
      <c r="BJ49" s="787">
        <v>3317049.1999999993</v>
      </c>
      <c r="BK49" s="787">
        <v>193096.06000000046</v>
      </c>
      <c r="BL49" s="787">
        <v>-27891.152253371198</v>
      </c>
      <c r="BM49" s="787">
        <v>165204.90774662927</v>
      </c>
      <c r="BN49" s="787">
        <v>9366.25</v>
      </c>
      <c r="BO49" s="787">
        <v>0</v>
      </c>
      <c r="BP49" s="787">
        <v>0</v>
      </c>
      <c r="BQ49" s="787">
        <v>9366.25</v>
      </c>
      <c r="BR49" s="787">
        <v>0</v>
      </c>
      <c r="BS49" s="787">
        <v>140</v>
      </c>
      <c r="BT49" s="787">
        <v>0</v>
      </c>
      <c r="BU49" s="787">
        <v>0</v>
      </c>
      <c r="BV49" s="787">
        <v>0</v>
      </c>
      <c r="BW49" s="787">
        <v>0</v>
      </c>
      <c r="BX49" s="787">
        <v>10140.290000000001</v>
      </c>
      <c r="BY49" s="787">
        <v>0</v>
      </c>
      <c r="BZ49" s="787">
        <v>10280.290000000001</v>
      </c>
      <c r="CA49" s="787">
        <v>35814.57</v>
      </c>
      <c r="CB49" s="787">
        <v>-914.04000000000087</v>
      </c>
      <c r="CC49" s="787">
        <v>34900.53</v>
      </c>
      <c r="CD49" s="787">
        <v>0</v>
      </c>
      <c r="CE49" s="787">
        <v>0</v>
      </c>
      <c r="CF49" s="787">
        <v>0</v>
      </c>
      <c r="CG49" s="787">
        <v>0</v>
      </c>
      <c r="CH49" s="787">
        <v>0</v>
      </c>
      <c r="CI49" s="787">
        <v>0</v>
      </c>
      <c r="CJ49" s="787">
        <v>0</v>
      </c>
      <c r="CK49" s="787">
        <v>0</v>
      </c>
      <c r="CL49" s="787">
        <v>0</v>
      </c>
      <c r="CM49" s="787">
        <v>165204.90774662927</v>
      </c>
      <c r="CN49" s="787">
        <v>0</v>
      </c>
      <c r="CO49" s="787">
        <v>34900.53</v>
      </c>
      <c r="CP49" s="787">
        <v>0</v>
      </c>
      <c r="CQ49" s="787">
        <v>0</v>
      </c>
      <c r="CR49" s="787">
        <v>200105.43774662926</v>
      </c>
      <c r="CS49" s="787">
        <v>5140</v>
      </c>
      <c r="CT49" s="787">
        <v>21426.63</v>
      </c>
      <c r="CU49" s="787">
        <v>0</v>
      </c>
      <c r="CV49" s="787">
        <v>-16286.630000000001</v>
      </c>
      <c r="CW49" s="787">
        <v>0</v>
      </c>
      <c r="CX49" s="787">
        <v>11093.45</v>
      </c>
      <c r="CY49" s="787">
        <v>8400.56</v>
      </c>
      <c r="CZ49" s="787">
        <v>0</v>
      </c>
      <c r="DA49" s="787">
        <v>0</v>
      </c>
      <c r="DB49" s="787">
        <v>3207.3799999999992</v>
      </c>
      <c r="DC49" s="787">
        <v>486300.5</v>
      </c>
      <c r="DD49" s="787">
        <v>0</v>
      </c>
      <c r="DE49" s="787">
        <v>0</v>
      </c>
      <c r="DF49" s="787">
        <v>486300.5</v>
      </c>
      <c r="DG49" s="787"/>
      <c r="DH49" s="787"/>
      <c r="DI49" s="787"/>
      <c r="DJ49" s="787">
        <v>0</v>
      </c>
      <c r="DK49" s="787">
        <v>486300.5</v>
      </c>
      <c r="DL49" s="787">
        <v>0</v>
      </c>
      <c r="DM49" s="787">
        <v>0</v>
      </c>
      <c r="DN49" s="787">
        <v>0</v>
      </c>
      <c r="DO49" s="787">
        <v>0</v>
      </c>
      <c r="DP49" s="787">
        <v>-251795.09</v>
      </c>
      <c r="DQ49" s="787">
        <v>0</v>
      </c>
      <c r="DR49" s="787">
        <v>0</v>
      </c>
      <c r="DS49" s="787">
        <v>0</v>
      </c>
      <c r="DT49" s="787">
        <v>-251795.09</v>
      </c>
      <c r="DU49" s="787">
        <v>8151.3</v>
      </c>
      <c r="DV49" s="787">
        <v>0</v>
      </c>
      <c r="DW49" s="787">
        <v>0</v>
      </c>
      <c r="DX49" s="787">
        <v>0</v>
      </c>
      <c r="DY49" s="787">
        <v>0</v>
      </c>
      <c r="DZ49" s="787">
        <v>-45758.85</v>
      </c>
      <c r="EA49" s="787">
        <v>0.19774662927375175</v>
      </c>
      <c r="EC49" s="788">
        <v>34900.53</v>
      </c>
      <c r="EE49">
        <f>_xlfn.XLOOKUP(C49,'[1]Cfwd Analysis'!$C:$C,'[1]Cfwd Analysis'!$I:$I,0,0)</f>
        <v>165204.90774662927</v>
      </c>
      <c r="EF49" s="788">
        <f t="shared" si="0"/>
        <v>0</v>
      </c>
    </row>
    <row r="50" spans="1:136" ht="15.6" hidden="1">
      <c r="A50" s="782" t="s">
        <v>1342</v>
      </c>
      <c r="B50" s="782" t="s">
        <v>864</v>
      </c>
      <c r="C50" s="783">
        <v>2464</v>
      </c>
      <c r="D50" s="784" t="s">
        <v>865</v>
      </c>
      <c r="E50" s="785" t="s">
        <v>521</v>
      </c>
      <c r="F50" s="786">
        <v>46094</v>
      </c>
      <c r="G50" s="785" t="s">
        <v>5</v>
      </c>
      <c r="H50" s="785" t="s">
        <v>896</v>
      </c>
      <c r="I50" s="787">
        <v>2123676.84</v>
      </c>
      <c r="J50" s="787">
        <v>0</v>
      </c>
      <c r="K50" s="787">
        <v>93940.53</v>
      </c>
      <c r="L50" s="787">
        <v>0</v>
      </c>
      <c r="M50" s="787">
        <v>55255</v>
      </c>
      <c r="N50" s="787">
        <v>87185</v>
      </c>
      <c r="O50" s="787">
        <v>257224</v>
      </c>
      <c r="P50" s="787">
        <v>46110</v>
      </c>
      <c r="Q50" s="787">
        <v>263000.25</v>
      </c>
      <c r="R50" s="787">
        <v>1006.2</v>
      </c>
      <c r="S50" s="787">
        <v>0</v>
      </c>
      <c r="T50" s="787">
        <v>0</v>
      </c>
      <c r="U50" s="787">
        <v>66972.399999999994</v>
      </c>
      <c r="V50" s="787">
        <v>36778</v>
      </c>
      <c r="W50" s="787">
        <v>0</v>
      </c>
      <c r="X50" s="787">
        <v>3031148.2199999997</v>
      </c>
      <c r="Y50" s="787">
        <v>1358723.74</v>
      </c>
      <c r="Z50" s="787">
        <v>0</v>
      </c>
      <c r="AA50" s="787">
        <v>324686.84000000003</v>
      </c>
      <c r="AB50" s="787">
        <v>47270.420000000006</v>
      </c>
      <c r="AC50" s="787">
        <v>120050.21</v>
      </c>
      <c r="AD50" s="787">
        <v>0</v>
      </c>
      <c r="AE50" s="787">
        <v>137076.35</v>
      </c>
      <c r="AF50" s="787">
        <v>151.27000000000001</v>
      </c>
      <c r="AG50" s="787">
        <v>949.4</v>
      </c>
      <c r="AH50" s="787">
        <v>0</v>
      </c>
      <c r="AI50" s="787">
        <v>0</v>
      </c>
      <c r="AJ50" s="787">
        <v>15840.62</v>
      </c>
      <c r="AK50" s="787">
        <v>5985</v>
      </c>
      <c r="AL50" s="787">
        <v>60413.04</v>
      </c>
      <c r="AM50" s="787">
        <v>6850.0066666666671</v>
      </c>
      <c r="AN50" s="787">
        <v>55173.17</v>
      </c>
      <c r="AO50" s="787">
        <v>32064.84</v>
      </c>
      <c r="AP50" s="787">
        <v>80423.75</v>
      </c>
      <c r="AQ50" s="787">
        <v>141900.23000000001</v>
      </c>
      <c r="AR50" s="787">
        <v>3522.97</v>
      </c>
      <c r="AS50" s="787">
        <v>0</v>
      </c>
      <c r="AT50" s="787">
        <v>13547.12</v>
      </c>
      <c r="AU50" s="787">
        <v>22554.17</v>
      </c>
      <c r="AV50" s="787">
        <v>0</v>
      </c>
      <c r="AW50" s="787">
        <v>657.53</v>
      </c>
      <c r="AX50" s="787">
        <v>10725</v>
      </c>
      <c r="AY50" s="787">
        <v>0</v>
      </c>
      <c r="AZ50" s="787">
        <v>2728.32</v>
      </c>
      <c r="BA50" s="787">
        <v>11097</v>
      </c>
      <c r="BB50" s="787">
        <v>53628.95</v>
      </c>
      <c r="BC50" s="787">
        <v>86793.133333333331</v>
      </c>
      <c r="BD50" s="787">
        <v>64027.07</v>
      </c>
      <c r="BE50" s="787">
        <v>47516.98</v>
      </c>
      <c r="BF50" s="787">
        <v>39869.65</v>
      </c>
      <c r="BG50" s="787">
        <v>0</v>
      </c>
      <c r="BH50" s="787">
        <v>0</v>
      </c>
      <c r="BI50" s="787">
        <v>0</v>
      </c>
      <c r="BJ50" s="787">
        <v>2744226.78</v>
      </c>
      <c r="BK50" s="787">
        <v>-374598.72999999963</v>
      </c>
      <c r="BL50" s="787">
        <v>286921.43999999994</v>
      </c>
      <c r="BM50" s="787">
        <v>-87677.289999999688</v>
      </c>
      <c r="BN50" s="787">
        <v>8691.25</v>
      </c>
      <c r="BO50" s="787">
        <v>20433</v>
      </c>
      <c r="BP50" s="787">
        <v>0</v>
      </c>
      <c r="BQ50" s="787">
        <v>29124.25</v>
      </c>
      <c r="BR50" s="787">
        <v>0</v>
      </c>
      <c r="BS50" s="787">
        <v>0</v>
      </c>
      <c r="BT50" s="787">
        <v>10250</v>
      </c>
      <c r="BU50" s="787">
        <v>0</v>
      </c>
      <c r="BV50" s="787">
        <v>0</v>
      </c>
      <c r="BW50" s="787">
        <v>0</v>
      </c>
      <c r="BX50" s="787">
        <v>20108</v>
      </c>
      <c r="BY50" s="787">
        <v>0</v>
      </c>
      <c r="BZ50" s="787">
        <v>30358</v>
      </c>
      <c r="CA50" s="787">
        <v>16820.559999999998</v>
      </c>
      <c r="CB50" s="787">
        <v>-1233.75</v>
      </c>
      <c r="CC50" s="787">
        <v>15586.809999999998</v>
      </c>
      <c r="CD50" s="787">
        <v>0</v>
      </c>
      <c r="CE50" s="787">
        <v>0</v>
      </c>
      <c r="CF50" s="787">
        <v>0</v>
      </c>
      <c r="CG50" s="787">
        <v>0</v>
      </c>
      <c r="CH50" s="787">
        <v>0</v>
      </c>
      <c r="CI50" s="787">
        <v>0</v>
      </c>
      <c r="CJ50" s="787">
        <v>0</v>
      </c>
      <c r="CK50" s="787">
        <v>0</v>
      </c>
      <c r="CL50" s="787">
        <v>0</v>
      </c>
      <c r="CM50" s="787">
        <v>0</v>
      </c>
      <c r="CN50" s="787">
        <v>-87677.289999999688</v>
      </c>
      <c r="CO50" s="787">
        <v>15262</v>
      </c>
      <c r="CP50" s="787">
        <v>324.80999999999767</v>
      </c>
      <c r="CQ50" s="787">
        <v>0</v>
      </c>
      <c r="CR50" s="787">
        <v>-72090.47999999969</v>
      </c>
      <c r="CS50" s="787">
        <v>111944.72</v>
      </c>
      <c r="CT50" s="787">
        <v>0</v>
      </c>
      <c r="CU50" s="787">
        <v>0</v>
      </c>
      <c r="CV50" s="787">
        <v>111944.72</v>
      </c>
      <c r="CW50" s="787">
        <v>0</v>
      </c>
      <c r="CX50" s="787">
        <v>15595.77</v>
      </c>
      <c r="CY50" s="787">
        <v>2327.33</v>
      </c>
      <c r="CZ50" s="787">
        <v>0</v>
      </c>
      <c r="DA50" s="787">
        <v>0</v>
      </c>
      <c r="DB50" s="787">
        <v>129867.82</v>
      </c>
      <c r="DC50" s="787">
        <v>0</v>
      </c>
      <c r="DD50" s="787">
        <v>0</v>
      </c>
      <c r="DE50" s="787">
        <v>0</v>
      </c>
      <c r="DF50" s="787">
        <v>0</v>
      </c>
      <c r="DG50" s="787"/>
      <c r="DH50" s="787"/>
      <c r="DI50" s="787"/>
      <c r="DJ50" s="787">
        <v>0</v>
      </c>
      <c r="DK50" s="787">
        <v>0</v>
      </c>
      <c r="DL50" s="787">
        <v>25796.69</v>
      </c>
      <c r="DM50" s="787">
        <v>0</v>
      </c>
      <c r="DN50" s="787">
        <v>23402.55</v>
      </c>
      <c r="DO50" s="787">
        <v>0</v>
      </c>
      <c r="DP50" s="787">
        <v>-213744.06</v>
      </c>
      <c r="DQ50" s="787">
        <v>-3500.64</v>
      </c>
      <c r="DR50" s="787">
        <v>0</v>
      </c>
      <c r="DS50" s="787">
        <v>0</v>
      </c>
      <c r="DT50" s="787">
        <v>-168045.46000000002</v>
      </c>
      <c r="DU50" s="787">
        <v>0</v>
      </c>
      <c r="DV50" s="787">
        <v>0</v>
      </c>
      <c r="DW50" s="787">
        <v>0</v>
      </c>
      <c r="DX50" s="787">
        <v>0</v>
      </c>
      <c r="DY50" s="787">
        <v>0</v>
      </c>
      <c r="DZ50" s="787">
        <v>-33913.29</v>
      </c>
      <c r="EA50" s="787">
        <v>0.45000000033178367</v>
      </c>
      <c r="EE50">
        <f>_xlfn.XLOOKUP(C50,'[1]Cfwd Analysis'!$C:$C,'[1]Cfwd Analysis'!$I:$I,0,0)</f>
        <v>-87677.289999999688</v>
      </c>
      <c r="EF50" s="788">
        <f t="shared" si="0"/>
        <v>0</v>
      </c>
    </row>
    <row r="51" spans="1:136" ht="15.6" hidden="1">
      <c r="A51" s="782" t="s">
        <v>1343</v>
      </c>
      <c r="B51" s="782" t="s">
        <v>619</v>
      </c>
      <c r="C51" s="783">
        <v>3320</v>
      </c>
      <c r="D51" s="784" t="s">
        <v>620</v>
      </c>
      <c r="E51" s="785" t="s">
        <v>521</v>
      </c>
      <c r="F51" s="786">
        <v>46092</v>
      </c>
      <c r="G51" s="785" t="s">
        <v>5</v>
      </c>
      <c r="H51" s="785" t="s">
        <v>631</v>
      </c>
      <c r="I51" s="787">
        <v>2495810.6010741638</v>
      </c>
      <c r="J51" s="787">
        <v>0</v>
      </c>
      <c r="K51" s="787">
        <v>139962.58433333333</v>
      </c>
      <c r="L51" s="787">
        <v>0</v>
      </c>
      <c r="M51" s="787">
        <v>346645</v>
      </c>
      <c r="N51" s="787">
        <v>62039</v>
      </c>
      <c r="O51" s="787">
        <v>0</v>
      </c>
      <c r="P51" s="787">
        <v>0</v>
      </c>
      <c r="Q51" s="787">
        <v>67909.728494999974</v>
      </c>
      <c r="R51" s="787">
        <v>0</v>
      </c>
      <c r="S51" s="787">
        <v>0</v>
      </c>
      <c r="T51" s="787">
        <v>0</v>
      </c>
      <c r="U51" s="787">
        <v>15092.71</v>
      </c>
      <c r="V51" s="787">
        <v>65311.519999999997</v>
      </c>
      <c r="W51" s="787">
        <v>0</v>
      </c>
      <c r="X51" s="787">
        <v>3192771.1439024969</v>
      </c>
      <c r="Y51" s="787">
        <v>1376344.51</v>
      </c>
      <c r="Z51" s="787">
        <v>0</v>
      </c>
      <c r="AA51" s="787">
        <v>531368.84</v>
      </c>
      <c r="AB51" s="787">
        <v>43413.55</v>
      </c>
      <c r="AC51" s="787">
        <v>137363.04</v>
      </c>
      <c r="AD51" s="787">
        <v>0</v>
      </c>
      <c r="AE51" s="787">
        <v>137354.21</v>
      </c>
      <c r="AF51" s="787">
        <v>3684.08</v>
      </c>
      <c r="AG51" s="787">
        <v>47930.31</v>
      </c>
      <c r="AH51" s="787">
        <v>0</v>
      </c>
      <c r="AI51" s="787">
        <v>0</v>
      </c>
      <c r="AJ51" s="787">
        <v>38158.25</v>
      </c>
      <c r="AK51" s="787">
        <v>0</v>
      </c>
      <c r="AL51" s="787">
        <v>44140.759999999995</v>
      </c>
      <c r="AM51" s="787">
        <v>1557.17</v>
      </c>
      <c r="AN51" s="787">
        <v>45636.65</v>
      </c>
      <c r="AO51" s="787">
        <v>3868.98</v>
      </c>
      <c r="AP51" s="787">
        <v>15880.890000000001</v>
      </c>
      <c r="AQ51" s="787">
        <v>39223.99</v>
      </c>
      <c r="AR51" s="787">
        <v>0</v>
      </c>
      <c r="AS51" s="787">
        <v>0</v>
      </c>
      <c r="AT51" s="787">
        <v>0</v>
      </c>
      <c r="AU51" s="787">
        <v>0</v>
      </c>
      <c r="AV51" s="787">
        <v>0</v>
      </c>
      <c r="AW51" s="787">
        <v>1121</v>
      </c>
      <c r="AX51" s="787">
        <v>889.81</v>
      </c>
      <c r="AY51" s="787">
        <v>0</v>
      </c>
      <c r="AZ51" s="787">
        <v>196820.47</v>
      </c>
      <c r="BA51" s="787">
        <v>23297.08</v>
      </c>
      <c r="BB51" s="787">
        <v>5161</v>
      </c>
      <c r="BC51" s="787">
        <v>181143.26</v>
      </c>
      <c r="BD51" s="787">
        <v>31063.33</v>
      </c>
      <c r="BE51" s="787">
        <v>11804.940000000002</v>
      </c>
      <c r="BF51" s="787">
        <v>451</v>
      </c>
      <c r="BG51" s="787">
        <v>74046.850000000006</v>
      </c>
      <c r="BH51" s="787">
        <v>0</v>
      </c>
      <c r="BI51" s="787">
        <v>14553</v>
      </c>
      <c r="BJ51" s="787">
        <v>3006276.9700000007</v>
      </c>
      <c r="BK51" s="787">
        <v>1162447.1699999988</v>
      </c>
      <c r="BL51" s="787">
        <v>186494.17390249623</v>
      </c>
      <c r="BM51" s="787">
        <v>1348941.343902495</v>
      </c>
      <c r="BN51" s="787">
        <v>17047.12</v>
      </c>
      <c r="BO51" s="787">
        <v>0</v>
      </c>
      <c r="BP51" s="787">
        <v>14553</v>
      </c>
      <c r="BQ51" s="787">
        <v>31600.12</v>
      </c>
      <c r="BR51" s="787">
        <v>0</v>
      </c>
      <c r="BS51" s="787">
        <v>0</v>
      </c>
      <c r="BT51" s="787">
        <v>0</v>
      </c>
      <c r="BU51" s="787">
        <v>0</v>
      </c>
      <c r="BV51" s="787">
        <v>0</v>
      </c>
      <c r="BW51" s="787">
        <v>0</v>
      </c>
      <c r="BX51" s="787">
        <v>31600</v>
      </c>
      <c r="BY51" s="787">
        <v>0</v>
      </c>
      <c r="BZ51" s="787">
        <v>31600</v>
      </c>
      <c r="CA51" s="787">
        <v>0</v>
      </c>
      <c r="CB51" s="787">
        <v>0.11999999999898137</v>
      </c>
      <c r="CC51" s="787">
        <v>0.11999999999898137</v>
      </c>
      <c r="CD51" s="787">
        <v>0</v>
      </c>
      <c r="CE51" s="787">
        <v>0</v>
      </c>
      <c r="CF51" s="787">
        <v>0</v>
      </c>
      <c r="CG51" s="787">
        <v>0</v>
      </c>
      <c r="CH51" s="787">
        <v>0</v>
      </c>
      <c r="CI51" s="787">
        <v>0</v>
      </c>
      <c r="CJ51" s="787">
        <v>0</v>
      </c>
      <c r="CK51" s="787">
        <v>0</v>
      </c>
      <c r="CL51" s="787">
        <v>0</v>
      </c>
      <c r="CM51" s="787">
        <v>1348941.343902495</v>
      </c>
      <c r="CN51" s="787">
        <v>0</v>
      </c>
      <c r="CO51" s="787">
        <v>0</v>
      </c>
      <c r="CP51" s="787">
        <v>0.11999999999898137</v>
      </c>
      <c r="CQ51" s="787">
        <v>0</v>
      </c>
      <c r="CR51" s="787">
        <v>1348941.4639024951</v>
      </c>
      <c r="CS51" s="787">
        <v>1639184.71</v>
      </c>
      <c r="CT51" s="787">
        <v>0</v>
      </c>
      <c r="CU51" s="787">
        <v>0</v>
      </c>
      <c r="CV51" s="787">
        <v>1639184.71</v>
      </c>
      <c r="CW51" s="787">
        <v>0</v>
      </c>
      <c r="CX51" s="787">
        <v>6013.9</v>
      </c>
      <c r="CY51" s="787">
        <v>8027.34</v>
      </c>
      <c r="CZ51" s="787">
        <v>0</v>
      </c>
      <c r="DA51" s="787">
        <v>0</v>
      </c>
      <c r="DB51" s="787">
        <v>1653225.95</v>
      </c>
      <c r="DC51" s="787">
        <v>0</v>
      </c>
      <c r="DD51" s="787">
        <v>0</v>
      </c>
      <c r="DE51" s="787">
        <v>0</v>
      </c>
      <c r="DF51" s="787">
        <v>0</v>
      </c>
      <c r="DG51" s="787"/>
      <c r="DH51" s="787"/>
      <c r="DI51" s="787"/>
      <c r="DJ51" s="787">
        <v>0</v>
      </c>
      <c r="DK51" s="787">
        <v>0</v>
      </c>
      <c r="DL51" s="787">
        <v>0</v>
      </c>
      <c r="DM51" s="787">
        <v>0</v>
      </c>
      <c r="DN51" s="787">
        <v>0</v>
      </c>
      <c r="DO51" s="787">
        <v>0</v>
      </c>
      <c r="DP51" s="787">
        <v>-220173.31</v>
      </c>
      <c r="DQ51" s="787">
        <v>-41566.11</v>
      </c>
      <c r="DR51" s="787">
        <v>0</v>
      </c>
      <c r="DS51" s="787">
        <v>0</v>
      </c>
      <c r="DT51" s="787">
        <v>-261739.41999999998</v>
      </c>
      <c r="DU51" s="787">
        <v>0</v>
      </c>
      <c r="DV51" s="787">
        <v>0</v>
      </c>
      <c r="DW51" s="787">
        <v>0</v>
      </c>
      <c r="DX51" s="787">
        <v>0</v>
      </c>
      <c r="DY51" s="787">
        <v>0</v>
      </c>
      <c r="DZ51" s="787">
        <v>-42545</v>
      </c>
      <c r="EA51" s="787">
        <v>-6.6097504924982786E-2</v>
      </c>
      <c r="EE51">
        <f>_xlfn.XLOOKUP(C51,'[1]Cfwd Analysis'!$C:$C,'[1]Cfwd Analysis'!$I:$I,0,0)</f>
        <v>1348941.343902495</v>
      </c>
      <c r="EF51" s="788">
        <f t="shared" si="0"/>
        <v>0</v>
      </c>
    </row>
    <row r="52" spans="1:136" ht="15.6" hidden="1">
      <c r="A52" s="782" t="s">
        <v>1344</v>
      </c>
      <c r="B52" s="782" t="s">
        <v>621</v>
      </c>
      <c r="C52" s="783">
        <v>2055</v>
      </c>
      <c r="D52" s="784" t="s">
        <v>622</v>
      </c>
      <c r="E52" s="785" t="s">
        <v>521</v>
      </c>
      <c r="F52" s="786">
        <v>46094</v>
      </c>
      <c r="G52" s="785" t="s">
        <v>5</v>
      </c>
      <c r="H52" s="785" t="s">
        <v>633</v>
      </c>
      <c r="I52" s="787">
        <v>2424025.5939831929</v>
      </c>
      <c r="J52" s="787">
        <v>0</v>
      </c>
      <c r="K52" s="787">
        <v>107751.82333333333</v>
      </c>
      <c r="L52" s="787">
        <v>0</v>
      </c>
      <c r="M52" s="787">
        <v>163570</v>
      </c>
      <c r="N52" s="787">
        <v>91392</v>
      </c>
      <c r="O52" s="787">
        <v>0</v>
      </c>
      <c r="P52" s="787">
        <v>1274</v>
      </c>
      <c r="Q52" s="787">
        <v>1957.75</v>
      </c>
      <c r="R52" s="787">
        <v>36607.800000000003</v>
      </c>
      <c r="S52" s="787">
        <v>0</v>
      </c>
      <c r="T52" s="787">
        <v>0</v>
      </c>
      <c r="U52" s="787">
        <v>56257.05</v>
      </c>
      <c r="V52" s="787">
        <v>180487.31</v>
      </c>
      <c r="W52" s="787">
        <v>0</v>
      </c>
      <c r="X52" s="787">
        <v>3063323.3273165259</v>
      </c>
      <c r="Y52" s="787">
        <v>1434432.5</v>
      </c>
      <c r="Z52" s="787">
        <v>655</v>
      </c>
      <c r="AA52" s="787">
        <v>334534.55</v>
      </c>
      <c r="AB52" s="787">
        <v>526.94000000000005</v>
      </c>
      <c r="AC52" s="787">
        <v>409043.44</v>
      </c>
      <c r="AD52" s="787">
        <v>0</v>
      </c>
      <c r="AE52" s="787">
        <v>260391.74</v>
      </c>
      <c r="AF52" s="787">
        <v>10958</v>
      </c>
      <c r="AG52" s="787">
        <v>13620.349999999999</v>
      </c>
      <c r="AH52" s="787">
        <v>0</v>
      </c>
      <c r="AI52" s="787">
        <v>0</v>
      </c>
      <c r="AJ52" s="787">
        <v>53607.42</v>
      </c>
      <c r="AK52" s="787">
        <v>0</v>
      </c>
      <c r="AL52" s="787">
        <v>40674.04</v>
      </c>
      <c r="AM52" s="787">
        <v>7596.41</v>
      </c>
      <c r="AN52" s="787">
        <v>29260.19</v>
      </c>
      <c r="AO52" s="787">
        <v>27824.829999999998</v>
      </c>
      <c r="AP52" s="787">
        <v>7232.3</v>
      </c>
      <c r="AQ52" s="787">
        <v>102162.25</v>
      </c>
      <c r="AR52" s="787">
        <v>0</v>
      </c>
      <c r="AS52" s="787">
        <v>0</v>
      </c>
      <c r="AT52" s="787">
        <v>34827.189999999995</v>
      </c>
      <c r="AU52" s="787">
        <v>0</v>
      </c>
      <c r="AV52" s="787">
        <v>0</v>
      </c>
      <c r="AW52" s="787">
        <v>0</v>
      </c>
      <c r="AX52" s="787">
        <v>29900.18</v>
      </c>
      <c r="AY52" s="787">
        <v>0</v>
      </c>
      <c r="AZ52" s="787">
        <v>1565.96</v>
      </c>
      <c r="BA52" s="787">
        <v>11880</v>
      </c>
      <c r="BB52" s="787">
        <v>4892</v>
      </c>
      <c r="BC52" s="787">
        <v>129037.71</v>
      </c>
      <c r="BD52" s="787">
        <v>40716.85</v>
      </c>
      <c r="BE52" s="787">
        <v>132287.13999999998</v>
      </c>
      <c r="BF52" s="787">
        <v>77759.34</v>
      </c>
      <c r="BG52" s="787">
        <v>0</v>
      </c>
      <c r="BH52" s="787">
        <v>0</v>
      </c>
      <c r="BI52" s="787">
        <v>0</v>
      </c>
      <c r="BJ52" s="787">
        <v>3195386.33</v>
      </c>
      <c r="BK52" s="787">
        <v>432763.3699999997</v>
      </c>
      <c r="BL52" s="787">
        <v>-132063.00268347422</v>
      </c>
      <c r="BM52" s="787">
        <v>300700.36731652549</v>
      </c>
      <c r="BN52" s="787">
        <v>8977.9</v>
      </c>
      <c r="BO52" s="787">
        <v>0</v>
      </c>
      <c r="BP52" s="787">
        <v>0</v>
      </c>
      <c r="BQ52" s="787">
        <v>8977.9</v>
      </c>
      <c r="BR52" s="787">
        <v>0</v>
      </c>
      <c r="BS52" s="787">
        <v>2015</v>
      </c>
      <c r="BT52" s="787">
        <v>0</v>
      </c>
      <c r="BU52" s="787">
        <v>0</v>
      </c>
      <c r="BV52" s="787">
        <v>0</v>
      </c>
      <c r="BW52" s="787">
        <v>1805.92</v>
      </c>
      <c r="BX52" s="787">
        <v>0</v>
      </c>
      <c r="BY52" s="787">
        <v>0</v>
      </c>
      <c r="BZ52" s="787">
        <v>3820.92</v>
      </c>
      <c r="CA52" s="787">
        <v>0</v>
      </c>
      <c r="CB52" s="787">
        <v>5156.9799999999996</v>
      </c>
      <c r="CC52" s="787">
        <v>5156.9799999999996</v>
      </c>
      <c r="CD52" s="787">
        <v>0</v>
      </c>
      <c r="CE52" s="787">
        <v>0</v>
      </c>
      <c r="CF52" s="787">
        <v>0</v>
      </c>
      <c r="CG52" s="787">
        <v>0</v>
      </c>
      <c r="CH52" s="787">
        <v>0</v>
      </c>
      <c r="CI52" s="787">
        <v>0</v>
      </c>
      <c r="CJ52" s="787">
        <v>0</v>
      </c>
      <c r="CK52" s="787">
        <v>0</v>
      </c>
      <c r="CL52" s="787">
        <v>0</v>
      </c>
      <c r="CM52" s="787">
        <v>300700.36731652549</v>
      </c>
      <c r="CN52" s="787">
        <v>0</v>
      </c>
      <c r="CO52" s="787">
        <v>5156.9799999999996</v>
      </c>
      <c r="CP52" s="787">
        <v>0</v>
      </c>
      <c r="CQ52" s="787">
        <v>0</v>
      </c>
      <c r="CR52" s="787">
        <v>305857.34731652547</v>
      </c>
      <c r="CS52" s="787">
        <v>245443.75</v>
      </c>
      <c r="CT52" s="787">
        <v>0</v>
      </c>
      <c r="CU52" s="787">
        <v>0</v>
      </c>
      <c r="CV52" s="787">
        <v>245443.75</v>
      </c>
      <c r="CW52" s="787">
        <v>1000</v>
      </c>
      <c r="CX52" s="787">
        <v>5828.63</v>
      </c>
      <c r="CY52" s="787">
        <v>2886.51</v>
      </c>
      <c r="CZ52" s="787">
        <v>0</v>
      </c>
      <c r="DA52" s="787">
        <v>0</v>
      </c>
      <c r="DB52" s="787">
        <v>255158.89</v>
      </c>
      <c r="DC52" s="787">
        <v>253894.31</v>
      </c>
      <c r="DD52" s="787">
        <v>0</v>
      </c>
      <c r="DE52" s="787">
        <v>0</v>
      </c>
      <c r="DF52" s="787">
        <v>253894.31</v>
      </c>
      <c r="DG52" s="787"/>
      <c r="DH52" s="787"/>
      <c r="DI52" s="787"/>
      <c r="DJ52" s="787">
        <v>0</v>
      </c>
      <c r="DK52" s="787">
        <v>253894.31</v>
      </c>
      <c r="DL52" s="787">
        <v>0</v>
      </c>
      <c r="DM52" s="787">
        <v>0</v>
      </c>
      <c r="DN52" s="787">
        <v>16813.400000000001</v>
      </c>
      <c r="DO52" s="787">
        <v>0</v>
      </c>
      <c r="DP52" s="787">
        <v>-16239.68</v>
      </c>
      <c r="DQ52" s="787">
        <v>-493</v>
      </c>
      <c r="DR52" s="787">
        <v>0</v>
      </c>
      <c r="DS52" s="787">
        <v>0</v>
      </c>
      <c r="DT52" s="787">
        <v>80.720000000001164</v>
      </c>
      <c r="DU52" s="787">
        <v>0</v>
      </c>
      <c r="DV52" s="787">
        <v>0</v>
      </c>
      <c r="DW52" s="787">
        <v>0</v>
      </c>
      <c r="DX52" s="787">
        <v>0</v>
      </c>
      <c r="DY52" s="787">
        <v>0</v>
      </c>
      <c r="DZ52" s="787">
        <v>-203276.52</v>
      </c>
      <c r="EA52" s="787">
        <v>-5.2683474554214627E-2</v>
      </c>
      <c r="EC52" s="788">
        <v>5156.9799999999996</v>
      </c>
      <c r="EE52">
        <f>_xlfn.XLOOKUP(C52,'[1]Cfwd Analysis'!$C:$C,'[1]Cfwd Analysis'!$I:$I,0,0)</f>
        <v>300700.36731652549</v>
      </c>
      <c r="EF52" s="788">
        <f t="shared" si="0"/>
        <v>0</v>
      </c>
    </row>
    <row r="53" spans="1:136" ht="15.6" hidden="1">
      <c r="A53" s="782" t="s">
        <v>1345</v>
      </c>
      <c r="B53" s="782" t="s">
        <v>884</v>
      </c>
      <c r="C53" s="783">
        <v>1802</v>
      </c>
      <c r="D53" s="784" t="s">
        <v>885</v>
      </c>
      <c r="E53" s="785" t="s">
        <v>521</v>
      </c>
      <c r="F53" s="786">
        <v>46101</v>
      </c>
      <c r="G53" s="785" t="s">
        <v>5</v>
      </c>
      <c r="H53" s="785" t="s">
        <v>898</v>
      </c>
      <c r="I53" s="787">
        <v>614899.02638829884</v>
      </c>
      <c r="J53" s="787">
        <v>0</v>
      </c>
      <c r="K53" s="787">
        <v>67095.097599261309</v>
      </c>
      <c r="L53" s="787">
        <v>0</v>
      </c>
      <c r="M53" s="787">
        <v>0</v>
      </c>
      <c r="N53" s="787">
        <v>0</v>
      </c>
      <c r="O53" s="787">
        <v>0</v>
      </c>
      <c r="P53" s="787">
        <v>0</v>
      </c>
      <c r="Q53" s="787">
        <v>4978.5755000000008</v>
      </c>
      <c r="R53" s="787">
        <v>0</v>
      </c>
      <c r="S53" s="787">
        <v>0</v>
      </c>
      <c r="T53" s="787">
        <v>0</v>
      </c>
      <c r="U53" s="787">
        <v>5274</v>
      </c>
      <c r="V53" s="787">
        <v>0</v>
      </c>
      <c r="W53" s="787">
        <v>0</v>
      </c>
      <c r="X53" s="787">
        <v>692246.6994875602</v>
      </c>
      <c r="Y53" s="787">
        <v>144800.10999999999</v>
      </c>
      <c r="Z53" s="787">
        <v>20448.29</v>
      </c>
      <c r="AA53" s="787">
        <v>271505.32</v>
      </c>
      <c r="AB53" s="787">
        <v>4049.13</v>
      </c>
      <c r="AC53" s="787">
        <v>34340.269999999997</v>
      </c>
      <c r="AD53" s="787">
        <v>0</v>
      </c>
      <c r="AE53" s="787">
        <v>7993.47</v>
      </c>
      <c r="AF53" s="787">
        <v>1782.25</v>
      </c>
      <c r="AG53" s="787">
        <v>200</v>
      </c>
      <c r="AH53" s="787">
        <v>0</v>
      </c>
      <c r="AI53" s="787">
        <v>0</v>
      </c>
      <c r="AJ53" s="787">
        <v>2671.89</v>
      </c>
      <c r="AK53" s="787">
        <v>0</v>
      </c>
      <c r="AL53" s="787">
        <v>3562.2200000000003</v>
      </c>
      <c r="AM53" s="787">
        <v>1118.98</v>
      </c>
      <c r="AN53" s="787">
        <v>7208.1</v>
      </c>
      <c r="AO53" s="787">
        <v>0</v>
      </c>
      <c r="AP53" s="787">
        <v>8952.2199999999993</v>
      </c>
      <c r="AQ53" s="787">
        <v>14006.51</v>
      </c>
      <c r="AR53" s="787">
        <v>33.340000000000003</v>
      </c>
      <c r="AS53" s="787">
        <v>0</v>
      </c>
      <c r="AT53" s="787">
        <v>3101.11</v>
      </c>
      <c r="AU53" s="787">
        <v>0</v>
      </c>
      <c r="AV53" s="787">
        <v>0</v>
      </c>
      <c r="AW53" s="787">
        <v>0</v>
      </c>
      <c r="AX53" s="787">
        <v>0</v>
      </c>
      <c r="AY53" s="787">
        <v>0</v>
      </c>
      <c r="AZ53" s="787">
        <v>5044.75</v>
      </c>
      <c r="BA53" s="787">
        <v>3291.75</v>
      </c>
      <c r="BB53" s="787">
        <v>0</v>
      </c>
      <c r="BC53" s="787">
        <v>6735.65</v>
      </c>
      <c r="BD53" s="787">
        <v>44900.02</v>
      </c>
      <c r="BE53" s="787">
        <v>2868.85</v>
      </c>
      <c r="BF53" s="787">
        <v>41365.160000000003</v>
      </c>
      <c r="BG53" s="787">
        <v>0</v>
      </c>
      <c r="BH53" s="787">
        <v>0</v>
      </c>
      <c r="BI53" s="787">
        <v>0</v>
      </c>
      <c r="BJ53" s="787">
        <v>629979.39</v>
      </c>
      <c r="BK53" s="787">
        <v>67293</v>
      </c>
      <c r="BL53" s="787">
        <v>62267.309487560182</v>
      </c>
      <c r="BM53" s="787">
        <v>129560.30948756018</v>
      </c>
      <c r="BN53" s="787">
        <v>4621</v>
      </c>
      <c r="BO53" s="787">
        <v>0</v>
      </c>
      <c r="BP53" s="787">
        <v>0</v>
      </c>
      <c r="BQ53" s="787">
        <v>4621</v>
      </c>
      <c r="BR53" s="787">
        <v>0</v>
      </c>
      <c r="BS53" s="787">
        <v>0</v>
      </c>
      <c r="BT53" s="787">
        <v>0</v>
      </c>
      <c r="BU53" s="787">
        <v>0</v>
      </c>
      <c r="BV53" s="787">
        <v>0</v>
      </c>
      <c r="BW53" s="787">
        <v>19087</v>
      </c>
      <c r="BX53" s="787">
        <v>0</v>
      </c>
      <c r="BY53" s="787">
        <v>0</v>
      </c>
      <c r="BZ53" s="787">
        <v>19087</v>
      </c>
      <c r="CA53" s="787">
        <v>20330</v>
      </c>
      <c r="CB53" s="787">
        <v>-14466</v>
      </c>
      <c r="CC53" s="787">
        <v>5864</v>
      </c>
      <c r="CD53" s="787">
        <v>0</v>
      </c>
      <c r="CE53" s="787">
        <v>0</v>
      </c>
      <c r="CF53" s="787">
        <v>0</v>
      </c>
      <c r="CG53" s="787">
        <v>0</v>
      </c>
      <c r="CH53" s="787">
        <v>0</v>
      </c>
      <c r="CI53" s="787">
        <v>0</v>
      </c>
      <c r="CJ53" s="787">
        <v>0</v>
      </c>
      <c r="CK53" s="787">
        <v>0</v>
      </c>
      <c r="CL53" s="787">
        <v>0</v>
      </c>
      <c r="CM53" s="787">
        <v>129560.30948756018</v>
      </c>
      <c r="CN53" s="787">
        <v>0</v>
      </c>
      <c r="CO53" s="787">
        <v>5864</v>
      </c>
      <c r="CP53" s="787">
        <v>0</v>
      </c>
      <c r="CQ53" s="787">
        <v>0</v>
      </c>
      <c r="CR53" s="787">
        <v>135424.30948756018</v>
      </c>
      <c r="CS53" s="787">
        <v>196299.14</v>
      </c>
      <c r="CT53" s="787">
        <v>0</v>
      </c>
      <c r="CU53" s="787">
        <v>0</v>
      </c>
      <c r="CV53" s="787">
        <v>196299.14</v>
      </c>
      <c r="CW53" s="787">
        <v>514.16999999999996</v>
      </c>
      <c r="CX53" s="787">
        <v>3458.69</v>
      </c>
      <c r="CY53" s="787">
        <v>1826.11</v>
      </c>
      <c r="CZ53" s="787">
        <v>0</v>
      </c>
      <c r="DA53" s="787">
        <v>0</v>
      </c>
      <c r="DB53" s="787">
        <v>202098.11000000002</v>
      </c>
      <c r="DC53" s="787">
        <v>0</v>
      </c>
      <c r="DD53" s="787">
        <v>0</v>
      </c>
      <c r="DE53" s="787">
        <v>0</v>
      </c>
      <c r="DF53" s="787">
        <v>0</v>
      </c>
      <c r="DG53" s="787"/>
      <c r="DH53" s="787"/>
      <c r="DI53" s="787"/>
      <c r="DJ53" s="787">
        <v>0</v>
      </c>
      <c r="DK53" s="787">
        <v>0</v>
      </c>
      <c r="DL53" s="787">
        <v>0</v>
      </c>
      <c r="DM53" s="787">
        <v>0</v>
      </c>
      <c r="DN53" s="787">
        <v>0</v>
      </c>
      <c r="DO53" s="787">
        <v>0</v>
      </c>
      <c r="DP53" s="787">
        <v>-5641.28</v>
      </c>
      <c r="DQ53" s="787">
        <v>-15050.77</v>
      </c>
      <c r="DR53" s="787">
        <v>0</v>
      </c>
      <c r="DS53" s="787">
        <v>0</v>
      </c>
      <c r="DT53" s="787">
        <v>-20692.05</v>
      </c>
      <c r="DU53" s="787">
        <v>554.66999999999996</v>
      </c>
      <c r="DV53" s="787">
        <v>0</v>
      </c>
      <c r="DW53" s="787">
        <v>0</v>
      </c>
      <c r="DX53" s="787">
        <v>0</v>
      </c>
      <c r="DY53" s="787">
        <v>0</v>
      </c>
      <c r="DZ53" s="787">
        <v>-46536.9</v>
      </c>
      <c r="EA53" s="787">
        <v>0.47948756016558036</v>
      </c>
      <c r="EE53">
        <f>_xlfn.XLOOKUP(C53,'[1]Cfwd Analysis'!$C:$C,'[1]Cfwd Analysis'!$I:$I,0,0)</f>
        <v>129560.30948756018</v>
      </c>
      <c r="EF53" s="788">
        <f t="shared" si="0"/>
        <v>0</v>
      </c>
    </row>
    <row r="54" spans="1:136" ht="15.6" hidden="1">
      <c r="A54" s="782" t="s">
        <v>1346</v>
      </c>
      <c r="B54" s="782" t="s">
        <v>623</v>
      </c>
      <c r="C54" s="783">
        <v>2454</v>
      </c>
      <c r="D54" s="784" t="s">
        <v>624</v>
      </c>
      <c r="E54" s="785" t="s">
        <v>521</v>
      </c>
      <c r="F54" s="786">
        <v>0</v>
      </c>
      <c r="G54" s="785" t="s">
        <v>5</v>
      </c>
      <c r="H54" s="785" t="s">
        <v>635</v>
      </c>
      <c r="I54" s="787">
        <v>2605231.813322728</v>
      </c>
      <c r="J54" s="787">
        <v>0</v>
      </c>
      <c r="K54" s="787">
        <v>136253.66666666666</v>
      </c>
      <c r="L54" s="787">
        <v>0</v>
      </c>
      <c r="M54" s="787">
        <v>361055</v>
      </c>
      <c r="N54" s="787">
        <v>53698.93</v>
      </c>
      <c r="O54" s="787">
        <v>0</v>
      </c>
      <c r="P54" s="787">
        <v>0</v>
      </c>
      <c r="Q54" s="787">
        <v>22576.021000000008</v>
      </c>
      <c r="R54" s="787">
        <v>7671.93</v>
      </c>
      <c r="S54" s="787">
        <v>0</v>
      </c>
      <c r="T54" s="787">
        <v>0</v>
      </c>
      <c r="U54" s="787">
        <v>10300.459999999999</v>
      </c>
      <c r="V54" s="787">
        <v>34116.120000000003</v>
      </c>
      <c r="W54" s="787">
        <v>0</v>
      </c>
      <c r="X54" s="787">
        <v>3230903.9409893951</v>
      </c>
      <c r="Y54" s="787">
        <v>1449552.71</v>
      </c>
      <c r="Z54" s="787">
        <v>0</v>
      </c>
      <c r="AA54" s="787">
        <v>611022.03</v>
      </c>
      <c r="AB54" s="787">
        <v>3940.51</v>
      </c>
      <c r="AC54" s="787">
        <v>166923.43000000002</v>
      </c>
      <c r="AD54" s="787">
        <v>0</v>
      </c>
      <c r="AE54" s="787">
        <v>53932.33</v>
      </c>
      <c r="AF54" s="787">
        <v>7338</v>
      </c>
      <c r="AG54" s="787">
        <v>6762.78</v>
      </c>
      <c r="AH54" s="787">
        <v>0</v>
      </c>
      <c r="AI54" s="787">
        <v>0</v>
      </c>
      <c r="AJ54" s="787">
        <v>149448.19</v>
      </c>
      <c r="AK54" s="787">
        <v>0</v>
      </c>
      <c r="AL54" s="787">
        <v>68243.28</v>
      </c>
      <c r="AM54" s="787">
        <v>6332.54</v>
      </c>
      <c r="AN54" s="787">
        <v>26142.57</v>
      </c>
      <c r="AO54" s="787">
        <v>30475.779999999995</v>
      </c>
      <c r="AP54" s="787">
        <v>20244.37</v>
      </c>
      <c r="AQ54" s="787">
        <v>126906.28</v>
      </c>
      <c r="AR54" s="787">
        <v>0</v>
      </c>
      <c r="AS54" s="787">
        <v>0</v>
      </c>
      <c r="AT54" s="787">
        <v>0</v>
      </c>
      <c r="AU54" s="787">
        <v>0</v>
      </c>
      <c r="AV54" s="787">
        <v>31.78</v>
      </c>
      <c r="AW54" s="787">
        <v>0</v>
      </c>
      <c r="AX54" s="787">
        <v>0</v>
      </c>
      <c r="AY54" s="787">
        <v>0</v>
      </c>
      <c r="AZ54" s="787">
        <v>49983.81</v>
      </c>
      <c r="BA54" s="787">
        <v>10590.25</v>
      </c>
      <c r="BB54" s="787">
        <v>5396</v>
      </c>
      <c r="BC54" s="787">
        <v>136710.34</v>
      </c>
      <c r="BD54" s="787">
        <v>101905.09</v>
      </c>
      <c r="BE54" s="787">
        <v>23861.53</v>
      </c>
      <c r="BF54" s="787">
        <v>170729.34</v>
      </c>
      <c r="BG54" s="787">
        <v>0</v>
      </c>
      <c r="BH54" s="787">
        <v>0</v>
      </c>
      <c r="BI54" s="787">
        <v>0</v>
      </c>
      <c r="BJ54" s="787">
        <v>3226472.9399999985</v>
      </c>
      <c r="BK54" s="787">
        <v>483826.00000000029</v>
      </c>
      <c r="BL54" s="787">
        <v>4431.0009893965907</v>
      </c>
      <c r="BM54" s="787">
        <v>488257.00098939688</v>
      </c>
      <c r="BN54" s="787">
        <v>8524.75</v>
      </c>
      <c r="BO54" s="787">
        <v>0</v>
      </c>
      <c r="BP54" s="787">
        <v>0</v>
      </c>
      <c r="BQ54" s="787">
        <v>8524.75</v>
      </c>
      <c r="BR54" s="787">
        <v>0</v>
      </c>
      <c r="BS54" s="787">
        <v>0</v>
      </c>
      <c r="BT54" s="787">
        <v>0</v>
      </c>
      <c r="BU54" s="787">
        <v>0</v>
      </c>
      <c r="BV54" s="787">
        <v>0</v>
      </c>
      <c r="BW54" s="787">
        <v>0</v>
      </c>
      <c r="BX54" s="787">
        <v>0</v>
      </c>
      <c r="BY54" s="787">
        <v>0</v>
      </c>
      <c r="BZ54" s="787">
        <v>0</v>
      </c>
      <c r="CA54" s="787">
        <v>16647.25</v>
      </c>
      <c r="CB54" s="787">
        <v>8524.75</v>
      </c>
      <c r="CC54" s="787">
        <v>25172</v>
      </c>
      <c r="CD54" s="787">
        <v>0</v>
      </c>
      <c r="CE54" s="787">
        <v>0</v>
      </c>
      <c r="CF54" s="787">
        <v>0</v>
      </c>
      <c r="CG54" s="787">
        <v>0</v>
      </c>
      <c r="CH54" s="787">
        <v>0</v>
      </c>
      <c r="CI54" s="787">
        <v>0</v>
      </c>
      <c r="CJ54" s="787">
        <v>0</v>
      </c>
      <c r="CK54" s="787">
        <v>0</v>
      </c>
      <c r="CL54" s="787">
        <v>0</v>
      </c>
      <c r="CM54" s="787">
        <v>488257.00098939688</v>
      </c>
      <c r="CN54" s="787">
        <v>0</v>
      </c>
      <c r="CO54" s="787">
        <v>25172</v>
      </c>
      <c r="CP54" s="787">
        <v>0</v>
      </c>
      <c r="CQ54" s="787">
        <v>0</v>
      </c>
      <c r="CR54" s="787">
        <v>513429.00098939688</v>
      </c>
      <c r="CS54" s="787">
        <v>770732.72</v>
      </c>
      <c r="CT54" s="787">
        <v>55425.71</v>
      </c>
      <c r="CU54" s="787">
        <v>2588.11</v>
      </c>
      <c r="CV54" s="787">
        <v>717895.12</v>
      </c>
      <c r="CW54" s="787">
        <v>0</v>
      </c>
      <c r="CX54" s="787">
        <v>10436.709999999999</v>
      </c>
      <c r="CY54" s="787">
        <v>6093.37</v>
      </c>
      <c r="CZ54" s="787">
        <v>37601.75</v>
      </c>
      <c r="DA54" s="787">
        <v>0</v>
      </c>
      <c r="DB54" s="787">
        <v>772026.95</v>
      </c>
      <c r="DC54" s="787">
        <v>0</v>
      </c>
      <c r="DD54" s="787">
        <v>0</v>
      </c>
      <c r="DE54" s="787">
        <v>0</v>
      </c>
      <c r="DF54" s="787">
        <v>0</v>
      </c>
      <c r="DG54" s="787"/>
      <c r="DH54" s="787"/>
      <c r="DI54" s="787"/>
      <c r="DJ54" s="787">
        <v>0</v>
      </c>
      <c r="DK54" s="787">
        <v>0</v>
      </c>
      <c r="DL54" s="787">
        <v>0</v>
      </c>
      <c r="DM54" s="787">
        <v>0</v>
      </c>
      <c r="DN54" s="787">
        <v>0</v>
      </c>
      <c r="DO54" s="787">
        <v>0</v>
      </c>
      <c r="DP54" s="787">
        <v>-221168.03</v>
      </c>
      <c r="DQ54" s="787">
        <v>-36693.629999999997</v>
      </c>
      <c r="DR54" s="787">
        <v>0</v>
      </c>
      <c r="DS54" s="787">
        <v>0</v>
      </c>
      <c r="DT54" s="787">
        <v>-257861.66</v>
      </c>
      <c r="DU54" s="787">
        <v>0</v>
      </c>
      <c r="DV54" s="787">
        <v>0</v>
      </c>
      <c r="DW54" s="787">
        <v>0</v>
      </c>
      <c r="DX54" s="787">
        <v>-2183.5300000000002</v>
      </c>
      <c r="DY54" s="787">
        <v>1446.93</v>
      </c>
      <c r="DZ54" s="787">
        <v>0</v>
      </c>
      <c r="EA54" s="787">
        <v>0.31098939693765715</v>
      </c>
      <c r="EE54">
        <f>_xlfn.XLOOKUP(C54,'[1]Cfwd Analysis'!$C:$C,'[1]Cfwd Analysis'!$I:$I,0,0)</f>
        <v>488257.00098939688</v>
      </c>
      <c r="EF54" s="788">
        <f t="shared" si="0"/>
        <v>0</v>
      </c>
    </row>
    <row r="55" spans="1:136" ht="15.6" hidden="1">
      <c r="A55" s="782" t="s">
        <v>1347</v>
      </c>
      <c r="B55" s="782" t="s">
        <v>625</v>
      </c>
      <c r="C55" s="783">
        <v>3321</v>
      </c>
      <c r="D55" s="784" t="s">
        <v>626</v>
      </c>
      <c r="E55" s="785" t="s">
        <v>521</v>
      </c>
      <c r="F55" s="786">
        <v>46094</v>
      </c>
      <c r="G55" s="785" t="s">
        <v>5</v>
      </c>
      <c r="H55" s="785" t="s">
        <v>637</v>
      </c>
      <c r="I55" s="787">
        <v>2105802.5958213266</v>
      </c>
      <c r="J55" s="787">
        <v>0</v>
      </c>
      <c r="K55" s="787">
        <v>143445.22222222222</v>
      </c>
      <c r="L55" s="787">
        <v>0</v>
      </c>
      <c r="M55" s="787">
        <v>238970</v>
      </c>
      <c r="N55" s="787">
        <v>54667.93</v>
      </c>
      <c r="O55" s="787">
        <v>0</v>
      </c>
      <c r="P55" s="787">
        <v>0</v>
      </c>
      <c r="Q55" s="787">
        <v>33650.601330999983</v>
      </c>
      <c r="R55" s="787">
        <v>321.70999999999998</v>
      </c>
      <c r="S55" s="787">
        <v>0</v>
      </c>
      <c r="T55" s="787">
        <v>0</v>
      </c>
      <c r="U55" s="787">
        <v>5463.29</v>
      </c>
      <c r="V55" s="787">
        <v>23077.05</v>
      </c>
      <c r="W55" s="787">
        <v>0</v>
      </c>
      <c r="X55" s="787">
        <v>2605398.3993745483</v>
      </c>
      <c r="Y55" s="787">
        <v>1138944.6100000001</v>
      </c>
      <c r="Z55" s="787">
        <v>0</v>
      </c>
      <c r="AA55" s="787">
        <v>436182.95</v>
      </c>
      <c r="AB55" s="787">
        <v>64336.480000000003</v>
      </c>
      <c r="AC55" s="787">
        <v>105800.18</v>
      </c>
      <c r="AD55" s="787">
        <v>0</v>
      </c>
      <c r="AE55" s="787">
        <v>28605.39</v>
      </c>
      <c r="AF55" s="787">
        <v>0</v>
      </c>
      <c r="AG55" s="787">
        <v>10125.1</v>
      </c>
      <c r="AH55" s="787">
        <v>0</v>
      </c>
      <c r="AI55" s="787">
        <v>0</v>
      </c>
      <c r="AJ55" s="787">
        <v>33250.36</v>
      </c>
      <c r="AK55" s="787">
        <v>10814.5</v>
      </c>
      <c r="AL55" s="787">
        <v>9299.2800000000007</v>
      </c>
      <c r="AM55" s="787">
        <v>5445.18</v>
      </c>
      <c r="AN55" s="787">
        <v>29409.9</v>
      </c>
      <c r="AO55" s="787">
        <v>4128.9699999999993</v>
      </c>
      <c r="AP55" s="787">
        <v>31582.68</v>
      </c>
      <c r="AQ55" s="787">
        <v>114879.59</v>
      </c>
      <c r="AR55" s="787">
        <v>17029.71</v>
      </c>
      <c r="AS55" s="787">
        <v>9205</v>
      </c>
      <c r="AT55" s="787">
        <v>3687.8</v>
      </c>
      <c r="AU55" s="787">
        <v>9613.44</v>
      </c>
      <c r="AV55" s="787">
        <v>9354</v>
      </c>
      <c r="AW55" s="787">
        <v>2743.9</v>
      </c>
      <c r="AX55" s="787">
        <v>28117.9</v>
      </c>
      <c r="AY55" s="787">
        <v>0</v>
      </c>
      <c r="AZ55" s="787">
        <v>6036.82</v>
      </c>
      <c r="BA55" s="787">
        <v>15759.52</v>
      </c>
      <c r="BB55" s="787">
        <v>4622.5</v>
      </c>
      <c r="BC55" s="787">
        <v>174103.15</v>
      </c>
      <c r="BD55" s="787">
        <v>176809.45</v>
      </c>
      <c r="BE55" s="787">
        <v>52903.42</v>
      </c>
      <c r="BF55" s="787">
        <v>22964.769999999997</v>
      </c>
      <c r="BG55" s="787">
        <v>0</v>
      </c>
      <c r="BH55" s="787">
        <v>0</v>
      </c>
      <c r="BI55" s="787">
        <v>0</v>
      </c>
      <c r="BJ55" s="787">
        <v>2555756.5499999998</v>
      </c>
      <c r="BK55" s="787">
        <v>347111.54599999939</v>
      </c>
      <c r="BL55" s="787">
        <v>49641.849374548532</v>
      </c>
      <c r="BM55" s="787">
        <v>396753.39537454792</v>
      </c>
      <c r="BN55" s="787">
        <v>10256</v>
      </c>
      <c r="BO55" s="787">
        <v>0</v>
      </c>
      <c r="BP55" s="787">
        <v>0</v>
      </c>
      <c r="BQ55" s="787">
        <v>10256</v>
      </c>
      <c r="BR55" s="787">
        <v>0</v>
      </c>
      <c r="BS55" s="787">
        <v>0</v>
      </c>
      <c r="BT55" s="787">
        <v>0</v>
      </c>
      <c r="BU55" s="787">
        <v>0</v>
      </c>
      <c r="BV55" s="787">
        <v>0</v>
      </c>
      <c r="BW55" s="787">
        <v>0</v>
      </c>
      <c r="BX55" s="787">
        <v>0</v>
      </c>
      <c r="BY55" s="787">
        <v>0</v>
      </c>
      <c r="BZ55" s="787">
        <v>0</v>
      </c>
      <c r="CA55" s="787">
        <v>0</v>
      </c>
      <c r="CB55" s="787">
        <v>10256</v>
      </c>
      <c r="CC55" s="787">
        <v>10256</v>
      </c>
      <c r="CD55" s="787">
        <v>0</v>
      </c>
      <c r="CE55" s="787">
        <v>0</v>
      </c>
      <c r="CF55" s="787">
        <v>0</v>
      </c>
      <c r="CG55" s="787">
        <v>0</v>
      </c>
      <c r="CH55" s="787">
        <v>0</v>
      </c>
      <c r="CI55" s="787">
        <v>0</v>
      </c>
      <c r="CJ55" s="787">
        <v>0</v>
      </c>
      <c r="CK55" s="787">
        <v>0</v>
      </c>
      <c r="CL55" s="787">
        <v>0</v>
      </c>
      <c r="CM55" s="787">
        <v>396753.39537454792</v>
      </c>
      <c r="CN55" s="787">
        <v>0</v>
      </c>
      <c r="CO55" s="787">
        <v>10256</v>
      </c>
      <c r="CP55" s="787">
        <v>0</v>
      </c>
      <c r="CQ55" s="787">
        <v>0</v>
      </c>
      <c r="CR55" s="787">
        <v>407009.39537454792</v>
      </c>
      <c r="CS55" s="787">
        <v>647140.32999999996</v>
      </c>
      <c r="CT55" s="787">
        <v>154120.91</v>
      </c>
      <c r="CU55" s="787">
        <v>0</v>
      </c>
      <c r="CV55" s="787">
        <v>493019.41999999993</v>
      </c>
      <c r="CW55" s="787">
        <v>0</v>
      </c>
      <c r="CX55" s="787">
        <v>8457.7900000000009</v>
      </c>
      <c r="CY55" s="787">
        <v>2231.71</v>
      </c>
      <c r="CZ55" s="787">
        <v>0</v>
      </c>
      <c r="DA55" s="787">
        <v>0</v>
      </c>
      <c r="DB55" s="787">
        <v>503708.91999999993</v>
      </c>
      <c r="DC55" s="787">
        <v>0</v>
      </c>
      <c r="DD55" s="787">
        <v>0</v>
      </c>
      <c r="DE55" s="787">
        <v>0</v>
      </c>
      <c r="DF55" s="787">
        <v>0</v>
      </c>
      <c r="DG55" s="787"/>
      <c r="DH55" s="787"/>
      <c r="DI55" s="787"/>
      <c r="DJ55" s="787">
        <v>0</v>
      </c>
      <c r="DK55" s="787">
        <v>0</v>
      </c>
      <c r="DL55" s="787">
        <v>0</v>
      </c>
      <c r="DM55" s="787">
        <v>0</v>
      </c>
      <c r="DN55" s="787">
        <v>0</v>
      </c>
      <c r="DO55" s="787">
        <v>0</v>
      </c>
      <c r="DP55" s="787">
        <v>-26592.15</v>
      </c>
      <c r="DQ55" s="787">
        <v>-47016.9</v>
      </c>
      <c r="DR55" s="787">
        <v>0</v>
      </c>
      <c r="DS55" s="787">
        <v>0</v>
      </c>
      <c r="DT55" s="787">
        <v>-73609.05</v>
      </c>
      <c r="DU55" s="787">
        <v>0</v>
      </c>
      <c r="DV55" s="787">
        <v>0</v>
      </c>
      <c r="DW55" s="787">
        <v>0</v>
      </c>
      <c r="DX55" s="787">
        <v>0</v>
      </c>
      <c r="DY55" s="787">
        <v>0</v>
      </c>
      <c r="DZ55" s="787">
        <v>-23090.46</v>
      </c>
      <c r="EA55" s="787">
        <v>-1.4625451993197203E-2</v>
      </c>
      <c r="EE55">
        <f>_xlfn.XLOOKUP(C55,'[1]Cfwd Analysis'!$C:$C,'[1]Cfwd Analysis'!$I:$I,0,0)</f>
        <v>396753.39537454792</v>
      </c>
      <c r="EF55" s="788">
        <f t="shared" si="0"/>
        <v>0</v>
      </c>
    </row>
    <row r="56" spans="1:136" ht="15.6" hidden="1">
      <c r="A56" s="782" t="s">
        <v>1348</v>
      </c>
      <c r="B56" s="782" t="s">
        <v>627</v>
      </c>
      <c r="C56" s="783">
        <v>1026</v>
      </c>
      <c r="D56" s="784" t="s">
        <v>628</v>
      </c>
      <c r="E56" s="785" t="s">
        <v>521</v>
      </c>
      <c r="F56" s="786">
        <v>46094</v>
      </c>
      <c r="G56" s="785" t="s">
        <v>5</v>
      </c>
      <c r="H56" s="785" t="s">
        <v>639</v>
      </c>
      <c r="I56" s="787">
        <v>757040.66370620346</v>
      </c>
      <c r="J56" s="787">
        <v>0</v>
      </c>
      <c r="K56" s="787">
        <v>42340.93</v>
      </c>
      <c r="L56" s="787">
        <v>0</v>
      </c>
      <c r="M56" s="787">
        <v>0</v>
      </c>
      <c r="N56" s="787">
        <v>0</v>
      </c>
      <c r="O56" s="787">
        <v>21500</v>
      </c>
      <c r="P56" s="787">
        <v>19271.29</v>
      </c>
      <c r="Q56" s="787">
        <v>56137.979999999996</v>
      </c>
      <c r="R56" s="787">
        <v>0</v>
      </c>
      <c r="S56" s="787">
        <v>0</v>
      </c>
      <c r="T56" s="787">
        <v>0</v>
      </c>
      <c r="U56" s="787">
        <v>11764.52</v>
      </c>
      <c r="V56" s="787">
        <v>0</v>
      </c>
      <c r="W56" s="787">
        <v>0</v>
      </c>
      <c r="X56" s="787">
        <v>908055.38370620355</v>
      </c>
      <c r="Y56" s="787">
        <v>252658.77000000002</v>
      </c>
      <c r="Z56" s="787">
        <v>0</v>
      </c>
      <c r="AA56" s="787">
        <v>287253.89999999997</v>
      </c>
      <c r="AB56" s="787">
        <v>24943.13</v>
      </c>
      <c r="AC56" s="787">
        <v>73648.87000000001</v>
      </c>
      <c r="AD56" s="787">
        <v>0</v>
      </c>
      <c r="AE56" s="787">
        <v>31813.18</v>
      </c>
      <c r="AF56" s="787">
        <v>1191.0999999999999</v>
      </c>
      <c r="AG56" s="787">
        <v>0</v>
      </c>
      <c r="AH56" s="787">
        <v>0</v>
      </c>
      <c r="AI56" s="787">
        <v>0</v>
      </c>
      <c r="AJ56" s="787">
        <v>7365</v>
      </c>
      <c r="AK56" s="787">
        <v>0</v>
      </c>
      <c r="AL56" s="787">
        <v>2954.6</v>
      </c>
      <c r="AM56" s="787">
        <v>4961.5</v>
      </c>
      <c r="AN56" s="787">
        <v>12697.98</v>
      </c>
      <c r="AO56" s="787">
        <v>0</v>
      </c>
      <c r="AP56" s="787">
        <v>58598.13</v>
      </c>
      <c r="AQ56" s="787">
        <v>11060.14</v>
      </c>
      <c r="AR56" s="787">
        <v>0</v>
      </c>
      <c r="AS56" s="787">
        <v>0</v>
      </c>
      <c r="AT56" s="787">
        <v>0</v>
      </c>
      <c r="AU56" s="787">
        <v>0</v>
      </c>
      <c r="AV56" s="787">
        <v>0</v>
      </c>
      <c r="AW56" s="787">
        <v>0</v>
      </c>
      <c r="AX56" s="787">
        <v>0</v>
      </c>
      <c r="AY56" s="787">
        <v>0</v>
      </c>
      <c r="AZ56" s="787">
        <v>13970.94</v>
      </c>
      <c r="BA56" s="787">
        <v>3291.75</v>
      </c>
      <c r="BB56" s="787">
        <v>0</v>
      </c>
      <c r="BC56" s="787">
        <v>12669.12</v>
      </c>
      <c r="BD56" s="787">
        <v>50344.13</v>
      </c>
      <c r="BE56" s="787">
        <v>0</v>
      </c>
      <c r="BF56" s="787">
        <v>51309.24</v>
      </c>
      <c r="BG56" s="787">
        <v>0</v>
      </c>
      <c r="BH56" s="787">
        <v>0</v>
      </c>
      <c r="BI56" s="787">
        <v>0</v>
      </c>
      <c r="BJ56" s="787">
        <v>900731.47999999986</v>
      </c>
      <c r="BK56" s="787">
        <v>354864</v>
      </c>
      <c r="BL56" s="787">
        <v>7323.9037062036805</v>
      </c>
      <c r="BM56" s="787">
        <v>362187.90370620368</v>
      </c>
      <c r="BN56" s="787">
        <v>4891</v>
      </c>
      <c r="BO56" s="787">
        <v>0</v>
      </c>
      <c r="BP56" s="787">
        <v>0</v>
      </c>
      <c r="BQ56" s="787">
        <v>4891</v>
      </c>
      <c r="BR56" s="787">
        <v>0</v>
      </c>
      <c r="BS56" s="787">
        <v>0</v>
      </c>
      <c r="BT56" s="787">
        <v>0</v>
      </c>
      <c r="BU56" s="787">
        <v>0</v>
      </c>
      <c r="BV56" s="787">
        <v>0</v>
      </c>
      <c r="BW56" s="787">
        <v>0</v>
      </c>
      <c r="BX56" s="787">
        <v>0</v>
      </c>
      <c r="BY56" s="787">
        <v>0</v>
      </c>
      <c r="BZ56" s="787">
        <v>0</v>
      </c>
      <c r="CA56" s="787">
        <v>17313</v>
      </c>
      <c r="CB56" s="787">
        <v>4891</v>
      </c>
      <c r="CC56" s="787">
        <v>22204</v>
      </c>
      <c r="CD56" s="787">
        <v>0</v>
      </c>
      <c r="CE56" s="787">
        <v>0</v>
      </c>
      <c r="CF56" s="787">
        <v>0</v>
      </c>
      <c r="CG56" s="787">
        <v>0</v>
      </c>
      <c r="CH56" s="787">
        <v>0</v>
      </c>
      <c r="CI56" s="787">
        <v>0</v>
      </c>
      <c r="CJ56" s="787">
        <v>0</v>
      </c>
      <c r="CK56" s="787">
        <v>0</v>
      </c>
      <c r="CL56" s="787">
        <v>0</v>
      </c>
      <c r="CM56" s="787">
        <v>362187.90370620368</v>
      </c>
      <c r="CN56" s="787">
        <v>0</v>
      </c>
      <c r="CO56" s="787">
        <v>22204</v>
      </c>
      <c r="CP56" s="787">
        <v>0</v>
      </c>
      <c r="CQ56" s="787">
        <v>0</v>
      </c>
      <c r="CR56" s="787">
        <v>384391.90370620368</v>
      </c>
      <c r="CS56" s="787">
        <v>169915.18</v>
      </c>
      <c r="CT56" s="787">
        <v>9884.69</v>
      </c>
      <c r="CU56" s="787">
        <v>450.21</v>
      </c>
      <c r="CV56" s="787">
        <v>160480.69999999998</v>
      </c>
      <c r="CW56" s="787">
        <v>8529.9</v>
      </c>
      <c r="CX56" s="787">
        <v>3840.42</v>
      </c>
      <c r="CY56" s="787">
        <v>1540.09</v>
      </c>
      <c r="CZ56" s="787">
        <v>19.079999999999472</v>
      </c>
      <c r="DA56" s="787">
        <v>0</v>
      </c>
      <c r="DB56" s="787">
        <v>174410.18999999997</v>
      </c>
      <c r="DC56" s="787">
        <v>302480.02</v>
      </c>
      <c r="DD56" s="787">
        <v>0</v>
      </c>
      <c r="DE56" s="787">
        <v>0</v>
      </c>
      <c r="DF56" s="787">
        <v>302480.02</v>
      </c>
      <c r="DG56" s="787"/>
      <c r="DH56" s="787"/>
      <c r="DI56" s="787"/>
      <c r="DJ56" s="787">
        <v>0</v>
      </c>
      <c r="DK56" s="787">
        <v>302480.02</v>
      </c>
      <c r="DL56" s="787">
        <v>53656.26</v>
      </c>
      <c r="DM56" s="787">
        <v>0</v>
      </c>
      <c r="DN56" s="787">
        <v>0</v>
      </c>
      <c r="DO56" s="787">
        <v>0</v>
      </c>
      <c r="DP56" s="787">
        <v>-145328.21</v>
      </c>
      <c r="DQ56" s="787">
        <v>0</v>
      </c>
      <c r="DR56" s="787">
        <v>0</v>
      </c>
      <c r="DS56" s="787">
        <v>0</v>
      </c>
      <c r="DT56" s="787">
        <v>-91671.949999999983</v>
      </c>
      <c r="DU56" s="787">
        <v>0</v>
      </c>
      <c r="DV56" s="787">
        <v>726.88</v>
      </c>
      <c r="DW56" s="787">
        <v>0</v>
      </c>
      <c r="DX56" s="787">
        <v>0</v>
      </c>
      <c r="DY56" s="787">
        <v>0</v>
      </c>
      <c r="DZ56" s="787">
        <v>-1553.37</v>
      </c>
      <c r="EA56" s="787">
        <v>0.13370620366185904</v>
      </c>
      <c r="EE56">
        <f>_xlfn.XLOOKUP(C56,'[1]Cfwd Analysis'!$C:$C,'[1]Cfwd Analysis'!$I:$I,0,0)</f>
        <v>362187.90370620368</v>
      </c>
      <c r="EF56" s="788">
        <f t="shared" si="0"/>
        <v>0</v>
      </c>
    </row>
    <row r="57" spans="1:136" ht="15.6" hidden="1">
      <c r="A57" s="782" t="s">
        <v>1349</v>
      </c>
      <c r="B57" s="782" t="s">
        <v>629</v>
      </c>
      <c r="C57" s="783">
        <v>2294</v>
      </c>
      <c r="D57" s="784" t="s">
        <v>630</v>
      </c>
      <c r="E57" s="785" t="s">
        <v>521</v>
      </c>
      <c r="F57" s="786">
        <v>46081</v>
      </c>
      <c r="G57" s="785" t="s">
        <v>5</v>
      </c>
      <c r="H57" s="785" t="s">
        <v>641</v>
      </c>
      <c r="I57" s="787">
        <v>2555691.9688000004</v>
      </c>
      <c r="J57" s="787">
        <v>0</v>
      </c>
      <c r="K57" s="787">
        <v>266982.2433333334</v>
      </c>
      <c r="L57" s="787">
        <v>0</v>
      </c>
      <c r="M57" s="787">
        <v>300670</v>
      </c>
      <c r="N57" s="787">
        <v>69745</v>
      </c>
      <c r="O57" s="787">
        <v>3300</v>
      </c>
      <c r="P57" s="787">
        <v>0</v>
      </c>
      <c r="Q57" s="787">
        <v>1038</v>
      </c>
      <c r="R57" s="787">
        <v>16066.23</v>
      </c>
      <c r="S57" s="787">
        <v>0</v>
      </c>
      <c r="T57" s="787">
        <v>0</v>
      </c>
      <c r="U57" s="787">
        <v>11002.76</v>
      </c>
      <c r="V57" s="787">
        <v>13985</v>
      </c>
      <c r="W57" s="787">
        <v>0</v>
      </c>
      <c r="X57" s="787">
        <v>3238481.2021333338</v>
      </c>
      <c r="Y57" s="787">
        <v>1165197</v>
      </c>
      <c r="Z57" s="787">
        <v>0</v>
      </c>
      <c r="AA57" s="787">
        <v>390775.94</v>
      </c>
      <c r="AB57" s="787">
        <v>131985.9</v>
      </c>
      <c r="AC57" s="787">
        <v>147700.04999999999</v>
      </c>
      <c r="AD57" s="787">
        <v>0</v>
      </c>
      <c r="AE57" s="787">
        <v>64508</v>
      </c>
      <c r="AF57" s="787">
        <v>11092</v>
      </c>
      <c r="AG57" s="787">
        <v>6094</v>
      </c>
      <c r="AH57" s="787">
        <v>0</v>
      </c>
      <c r="AI57" s="787">
        <v>0</v>
      </c>
      <c r="AJ57" s="787">
        <v>42230</v>
      </c>
      <c r="AK57" s="787">
        <v>1712</v>
      </c>
      <c r="AL57" s="787">
        <v>5033</v>
      </c>
      <c r="AM57" s="787">
        <v>7046</v>
      </c>
      <c r="AN57" s="787">
        <v>51865.707000000002</v>
      </c>
      <c r="AO57" s="787">
        <v>28089.830000000005</v>
      </c>
      <c r="AP57" s="787">
        <v>69302</v>
      </c>
      <c r="AQ57" s="787">
        <v>71761.5</v>
      </c>
      <c r="AR57" s="787">
        <v>14697</v>
      </c>
      <c r="AS57" s="787">
        <v>0</v>
      </c>
      <c r="AT57" s="787">
        <v>4226</v>
      </c>
      <c r="AU57" s="787">
        <v>35861</v>
      </c>
      <c r="AV57" s="787">
        <v>9622</v>
      </c>
      <c r="AW57" s="787">
        <v>0</v>
      </c>
      <c r="AX57" s="787">
        <v>16439</v>
      </c>
      <c r="AY57" s="787">
        <v>0</v>
      </c>
      <c r="AZ57" s="787">
        <v>28734</v>
      </c>
      <c r="BA57" s="787">
        <v>11114</v>
      </c>
      <c r="BB57" s="787">
        <v>2992</v>
      </c>
      <c r="BC57" s="787">
        <v>149221.69</v>
      </c>
      <c r="BD57" s="787">
        <v>26123.13</v>
      </c>
      <c r="BE57" s="787">
        <v>539770.4</v>
      </c>
      <c r="BF57" s="787">
        <v>23716.179999999935</v>
      </c>
      <c r="BG57" s="787">
        <v>0</v>
      </c>
      <c r="BH57" s="787">
        <v>0</v>
      </c>
      <c r="BI57" s="787">
        <v>346530.82</v>
      </c>
      <c r="BJ57" s="787">
        <v>3403440.1469999994</v>
      </c>
      <c r="BK57" s="787">
        <v>624851.93000000017</v>
      </c>
      <c r="BL57" s="787">
        <v>-164958.94486666564</v>
      </c>
      <c r="BM57" s="787">
        <v>459892.98513333453</v>
      </c>
      <c r="BN57" s="787">
        <v>8680</v>
      </c>
      <c r="BO57" s="787">
        <v>0</v>
      </c>
      <c r="BP57" s="787">
        <v>346530.82</v>
      </c>
      <c r="BQ57" s="787">
        <v>355210.82</v>
      </c>
      <c r="BR57" s="787">
        <v>0</v>
      </c>
      <c r="BS57" s="787">
        <v>346531</v>
      </c>
      <c r="BT57" s="787">
        <v>7085</v>
      </c>
      <c r="BU57" s="787">
        <v>0</v>
      </c>
      <c r="BV57" s="787">
        <v>0</v>
      </c>
      <c r="BW57" s="787">
        <v>0</v>
      </c>
      <c r="BX57" s="787">
        <v>5515</v>
      </c>
      <c r="BY57" s="787">
        <v>0</v>
      </c>
      <c r="BZ57" s="787">
        <v>359131</v>
      </c>
      <c r="CA57" s="787">
        <v>13519</v>
      </c>
      <c r="CB57" s="787">
        <v>-3920.179999999993</v>
      </c>
      <c r="CC57" s="787">
        <v>9598.820000000007</v>
      </c>
      <c r="CD57" s="787">
        <v>0</v>
      </c>
      <c r="CE57" s="787">
        <v>0</v>
      </c>
      <c r="CF57" s="787">
        <v>0</v>
      </c>
      <c r="CG57" s="787">
        <v>0</v>
      </c>
      <c r="CH57" s="787">
        <v>0</v>
      </c>
      <c r="CI57" s="787">
        <v>0</v>
      </c>
      <c r="CJ57" s="787">
        <v>0</v>
      </c>
      <c r="CK57" s="787">
        <v>0</v>
      </c>
      <c r="CL57" s="787">
        <v>0</v>
      </c>
      <c r="CM57" s="787">
        <v>459892.98513333453</v>
      </c>
      <c r="CN57" s="787">
        <v>0</v>
      </c>
      <c r="CO57" s="787">
        <v>9598.820000000007</v>
      </c>
      <c r="CP57" s="787">
        <v>0</v>
      </c>
      <c r="CQ57" s="787">
        <v>0</v>
      </c>
      <c r="CR57" s="787">
        <v>469491.80513333454</v>
      </c>
      <c r="CS57" s="787">
        <v>583241.12</v>
      </c>
      <c r="CT57" s="787">
        <v>118518.05</v>
      </c>
      <c r="CU57" s="787">
        <v>660</v>
      </c>
      <c r="CV57" s="787">
        <v>465383.07</v>
      </c>
      <c r="CW57" s="787">
        <v>500</v>
      </c>
      <c r="CX57" s="787">
        <v>26462.6</v>
      </c>
      <c r="CY57" s="787">
        <v>4508.7700000000004</v>
      </c>
      <c r="CZ57" s="787">
        <v>6943.08</v>
      </c>
      <c r="DA57" s="787">
        <v>-1312.4500000000007</v>
      </c>
      <c r="DB57" s="787">
        <v>502485.07</v>
      </c>
      <c r="DC57" s="787">
        <v>0</v>
      </c>
      <c r="DD57" s="787">
        <v>0</v>
      </c>
      <c r="DE57" s="787">
        <v>279527</v>
      </c>
      <c r="DF57" s="787">
        <v>279527</v>
      </c>
      <c r="DG57" s="787"/>
      <c r="DH57" s="787"/>
      <c r="DI57" s="787"/>
      <c r="DJ57" s="787">
        <v>0</v>
      </c>
      <c r="DK57" s="787">
        <v>279527</v>
      </c>
      <c r="DL57" s="787">
        <v>2052.31</v>
      </c>
      <c r="DM57" s="787">
        <v>3300</v>
      </c>
      <c r="DN57" s="787">
        <v>0</v>
      </c>
      <c r="DO57" s="787">
        <v>0</v>
      </c>
      <c r="DP57" s="787">
        <v>-243753.14</v>
      </c>
      <c r="DQ57" s="787">
        <v>-39081.69</v>
      </c>
      <c r="DR57" s="787">
        <v>0</v>
      </c>
      <c r="DS57" s="787">
        <v>0</v>
      </c>
      <c r="DT57" s="787">
        <v>-277482.52</v>
      </c>
      <c r="DU57" s="787">
        <v>0</v>
      </c>
      <c r="DV57" s="787">
        <v>0</v>
      </c>
      <c r="DW57" s="787">
        <v>0</v>
      </c>
      <c r="DX57" s="787">
        <v>0</v>
      </c>
      <c r="DY57" s="787">
        <v>0</v>
      </c>
      <c r="DZ57" s="787">
        <v>-35038</v>
      </c>
      <c r="EA57" s="787">
        <v>0.25513333454728127</v>
      </c>
      <c r="EC57" s="788">
        <v>9598.820000000007</v>
      </c>
      <c r="EE57">
        <f>_xlfn.XLOOKUP(C57,'[1]Cfwd Analysis'!$C:$C,'[1]Cfwd Analysis'!$I:$I,0,0)</f>
        <v>459892.98513333453</v>
      </c>
      <c r="EF57" s="788">
        <f t="shared" si="0"/>
        <v>0</v>
      </c>
    </row>
    <row r="58" spans="1:136" ht="15.6" hidden="1">
      <c r="A58" s="782" t="s">
        <v>1350</v>
      </c>
      <c r="B58" s="782" t="s">
        <v>631</v>
      </c>
      <c r="C58" s="783">
        <v>2486</v>
      </c>
      <c r="D58" s="784" t="s">
        <v>632</v>
      </c>
      <c r="E58" s="785" t="s">
        <v>521</v>
      </c>
      <c r="F58" s="786" t="s">
        <v>1351</v>
      </c>
      <c r="G58" s="785" t="s">
        <v>5</v>
      </c>
      <c r="H58" s="785" t="s">
        <v>644</v>
      </c>
      <c r="I58" s="787">
        <v>1432248.8343405048</v>
      </c>
      <c r="J58" s="787">
        <v>0</v>
      </c>
      <c r="K58" s="787">
        <v>150819.59333333332</v>
      </c>
      <c r="L58" s="787">
        <v>0</v>
      </c>
      <c r="M58" s="787">
        <v>199675</v>
      </c>
      <c r="N58" s="787">
        <v>36116</v>
      </c>
      <c r="O58" s="787">
        <v>0</v>
      </c>
      <c r="P58" s="787">
        <v>0</v>
      </c>
      <c r="Q58" s="787">
        <v>4418.33</v>
      </c>
      <c r="R58" s="787">
        <v>4790.7</v>
      </c>
      <c r="S58" s="787">
        <v>0</v>
      </c>
      <c r="T58" s="787">
        <v>0</v>
      </c>
      <c r="U58" s="787">
        <v>1101.5999999999999</v>
      </c>
      <c r="V58" s="787">
        <v>3354.2</v>
      </c>
      <c r="W58" s="787">
        <v>0</v>
      </c>
      <c r="X58" s="787">
        <v>1832524.2576738382</v>
      </c>
      <c r="Y58" s="787">
        <v>753992.31</v>
      </c>
      <c r="Z58" s="787">
        <v>0</v>
      </c>
      <c r="AA58" s="787">
        <v>438429.56</v>
      </c>
      <c r="AB58" s="787">
        <v>82258.06</v>
      </c>
      <c r="AC58" s="787">
        <v>109779.4</v>
      </c>
      <c r="AD58" s="787">
        <v>88957.13</v>
      </c>
      <c r="AE58" s="787">
        <v>56639.76</v>
      </c>
      <c r="AF58" s="787">
        <v>4083.4</v>
      </c>
      <c r="AG58" s="787">
        <v>1852.9</v>
      </c>
      <c r="AH58" s="787">
        <v>0</v>
      </c>
      <c r="AI58" s="787">
        <v>0</v>
      </c>
      <c r="AJ58" s="787">
        <v>17200.43</v>
      </c>
      <c r="AK58" s="787">
        <v>4111.97</v>
      </c>
      <c r="AL58" s="787">
        <v>3800.66</v>
      </c>
      <c r="AM58" s="787">
        <v>7455.65</v>
      </c>
      <c r="AN58" s="787">
        <v>31674.83</v>
      </c>
      <c r="AO58" s="787">
        <v>14979.660000000002</v>
      </c>
      <c r="AP58" s="787">
        <v>9724.1</v>
      </c>
      <c r="AQ58" s="787">
        <v>57628.39</v>
      </c>
      <c r="AR58" s="787">
        <v>0</v>
      </c>
      <c r="AS58" s="787">
        <v>0</v>
      </c>
      <c r="AT58" s="787">
        <v>0</v>
      </c>
      <c r="AU58" s="787">
        <v>0</v>
      </c>
      <c r="AV58" s="787">
        <v>0</v>
      </c>
      <c r="AW58" s="787">
        <v>0</v>
      </c>
      <c r="AX58" s="787">
        <v>0</v>
      </c>
      <c r="AY58" s="787">
        <v>0</v>
      </c>
      <c r="AZ58" s="787">
        <v>9360.0499999999993</v>
      </c>
      <c r="BA58" s="787">
        <v>5049</v>
      </c>
      <c r="BB58" s="787">
        <v>4356</v>
      </c>
      <c r="BC58" s="787">
        <v>33446.61</v>
      </c>
      <c r="BD58" s="787">
        <v>90666.65</v>
      </c>
      <c r="BE58" s="787">
        <v>7097.68</v>
      </c>
      <c r="BF58" s="787">
        <v>77033.899999999994</v>
      </c>
      <c r="BG58" s="787">
        <v>0</v>
      </c>
      <c r="BH58" s="787">
        <v>0</v>
      </c>
      <c r="BI58" s="787">
        <v>0</v>
      </c>
      <c r="BJ58" s="787">
        <v>1909578.0999999994</v>
      </c>
      <c r="BK58" s="787">
        <v>279307.1100000001</v>
      </c>
      <c r="BL58" s="787">
        <v>-77053.842326161219</v>
      </c>
      <c r="BM58" s="787">
        <v>202253.26767383888</v>
      </c>
      <c r="BN58" s="787">
        <v>6337.75</v>
      </c>
      <c r="BO58" s="787">
        <v>0</v>
      </c>
      <c r="BP58" s="787">
        <v>0</v>
      </c>
      <c r="BQ58" s="787">
        <v>6337.75</v>
      </c>
      <c r="BR58" s="787">
        <v>0</v>
      </c>
      <c r="BS58" s="787">
        <v>0</v>
      </c>
      <c r="BT58" s="787">
        <v>0</v>
      </c>
      <c r="BU58" s="787">
        <v>0</v>
      </c>
      <c r="BV58" s="787">
        <v>0</v>
      </c>
      <c r="BW58" s="787">
        <v>0</v>
      </c>
      <c r="BX58" s="787">
        <v>0</v>
      </c>
      <c r="BY58" s="787">
        <v>0</v>
      </c>
      <c r="BZ58" s="787">
        <v>0</v>
      </c>
      <c r="CA58" s="787">
        <v>4965.2000000000007</v>
      </c>
      <c r="CB58" s="787">
        <v>6337.75</v>
      </c>
      <c r="CC58" s="787">
        <v>11302.95</v>
      </c>
      <c r="CD58" s="787">
        <v>0</v>
      </c>
      <c r="CE58" s="787">
        <v>0</v>
      </c>
      <c r="CF58" s="787">
        <v>0</v>
      </c>
      <c r="CG58" s="787">
        <v>0</v>
      </c>
      <c r="CH58" s="787">
        <v>0</v>
      </c>
      <c r="CI58" s="787">
        <v>0</v>
      </c>
      <c r="CJ58" s="787">
        <v>0</v>
      </c>
      <c r="CK58" s="787">
        <v>0</v>
      </c>
      <c r="CL58" s="787">
        <v>0</v>
      </c>
      <c r="CM58" s="787">
        <v>202253.26767383888</v>
      </c>
      <c r="CN58" s="787">
        <v>0</v>
      </c>
      <c r="CO58" s="787">
        <v>11302.95</v>
      </c>
      <c r="CP58" s="787">
        <v>0</v>
      </c>
      <c r="CQ58" s="787">
        <v>0</v>
      </c>
      <c r="CR58" s="787">
        <v>213556.2176738389</v>
      </c>
      <c r="CS58" s="787">
        <v>369331.24</v>
      </c>
      <c r="CT58" s="787">
        <v>0</v>
      </c>
      <c r="CU58" s="787">
        <v>0</v>
      </c>
      <c r="CV58" s="787">
        <v>369331.24</v>
      </c>
      <c r="CW58" s="787">
        <v>0</v>
      </c>
      <c r="CX58" s="787">
        <v>4130.83</v>
      </c>
      <c r="CY58" s="787">
        <v>4417.46</v>
      </c>
      <c r="CZ58" s="787">
        <v>3725.04</v>
      </c>
      <c r="DA58" s="787">
        <v>0</v>
      </c>
      <c r="DB58" s="787">
        <v>381604.57</v>
      </c>
      <c r="DC58" s="787">
        <v>0</v>
      </c>
      <c r="DD58" s="787">
        <v>0</v>
      </c>
      <c r="DE58" s="787">
        <v>0</v>
      </c>
      <c r="DF58" s="787">
        <v>0</v>
      </c>
      <c r="DG58" s="787"/>
      <c r="DH58" s="787"/>
      <c r="DI58" s="787"/>
      <c r="DJ58" s="787">
        <v>0</v>
      </c>
      <c r="DK58" s="787">
        <v>0</v>
      </c>
      <c r="DL58" s="787">
        <v>0</v>
      </c>
      <c r="DM58" s="787">
        <v>0</v>
      </c>
      <c r="DN58" s="787">
        <v>0</v>
      </c>
      <c r="DO58" s="787">
        <v>0</v>
      </c>
      <c r="DP58" s="787">
        <v>-11075</v>
      </c>
      <c r="DQ58" s="787">
        <v>0</v>
      </c>
      <c r="DR58" s="787">
        <v>0</v>
      </c>
      <c r="DS58" s="787">
        <v>0</v>
      </c>
      <c r="DT58" s="787">
        <v>-11075</v>
      </c>
      <c r="DU58" s="787">
        <v>0</v>
      </c>
      <c r="DV58" s="787">
        <v>0</v>
      </c>
      <c r="DW58" s="787">
        <v>0</v>
      </c>
      <c r="DX58" s="787">
        <v>0</v>
      </c>
      <c r="DY58" s="787">
        <v>0</v>
      </c>
      <c r="DZ58" s="787">
        <v>-156973.33000000002</v>
      </c>
      <c r="EA58" s="787">
        <v>-2.232616109540686E-2</v>
      </c>
      <c r="EC58" s="788">
        <v>11302.95</v>
      </c>
      <c r="EE58">
        <f>_xlfn.XLOOKUP(C58,'[1]Cfwd Analysis'!$C:$C,'[1]Cfwd Analysis'!$I:$I,0,0)</f>
        <v>202253.26767383888</v>
      </c>
      <c r="EF58" s="788">
        <f t="shared" si="0"/>
        <v>0</v>
      </c>
    </row>
    <row r="59" spans="1:136" ht="15.6" hidden="1">
      <c r="A59" s="782" t="s">
        <v>1352</v>
      </c>
      <c r="B59" s="782" t="s">
        <v>633</v>
      </c>
      <c r="C59" s="783">
        <v>3435</v>
      </c>
      <c r="D59" s="784" t="s">
        <v>634</v>
      </c>
      <c r="E59" s="785" t="s">
        <v>521</v>
      </c>
      <c r="F59" s="786">
        <v>46094</v>
      </c>
      <c r="G59" s="785" t="s">
        <v>5</v>
      </c>
      <c r="H59" s="785" t="s">
        <v>646</v>
      </c>
      <c r="I59" s="787">
        <v>2141445.9699999997</v>
      </c>
      <c r="J59" s="787">
        <v>0</v>
      </c>
      <c r="K59" s="787">
        <v>275046.84666666668</v>
      </c>
      <c r="L59" s="787">
        <v>0</v>
      </c>
      <c r="M59" s="787">
        <v>58510</v>
      </c>
      <c r="N59" s="787">
        <v>103313.93</v>
      </c>
      <c r="O59" s="787">
        <v>21479</v>
      </c>
      <c r="P59" s="787">
        <v>85336.12</v>
      </c>
      <c r="Q59" s="787">
        <v>239481.20616000003</v>
      </c>
      <c r="R59" s="787">
        <v>16864</v>
      </c>
      <c r="S59" s="787">
        <v>0</v>
      </c>
      <c r="T59" s="787">
        <v>0</v>
      </c>
      <c r="U59" s="787">
        <v>30473</v>
      </c>
      <c r="V59" s="787">
        <v>0</v>
      </c>
      <c r="W59" s="787">
        <v>0</v>
      </c>
      <c r="X59" s="787">
        <v>2971950.0728266668</v>
      </c>
      <c r="Y59" s="787">
        <v>1401290</v>
      </c>
      <c r="Z59" s="787">
        <v>0</v>
      </c>
      <c r="AA59" s="787">
        <v>417840</v>
      </c>
      <c r="AB59" s="787">
        <v>103892</v>
      </c>
      <c r="AC59" s="787">
        <v>149858</v>
      </c>
      <c r="AD59" s="787">
        <v>0</v>
      </c>
      <c r="AE59" s="787">
        <v>77810</v>
      </c>
      <c r="AF59" s="787">
        <v>1223</v>
      </c>
      <c r="AG59" s="787">
        <v>3274</v>
      </c>
      <c r="AH59" s="787">
        <v>0</v>
      </c>
      <c r="AI59" s="787">
        <v>0</v>
      </c>
      <c r="AJ59" s="787">
        <v>6429</v>
      </c>
      <c r="AK59" s="787">
        <v>3721</v>
      </c>
      <c r="AL59" s="787">
        <v>7127</v>
      </c>
      <c r="AM59" s="787">
        <v>14514.46</v>
      </c>
      <c r="AN59" s="787">
        <v>45386</v>
      </c>
      <c r="AO59" s="787">
        <v>5193.97</v>
      </c>
      <c r="AP59" s="787">
        <v>42862.38</v>
      </c>
      <c r="AQ59" s="787">
        <v>77829.08</v>
      </c>
      <c r="AR59" s="787">
        <v>4170</v>
      </c>
      <c r="AS59" s="787">
        <v>0</v>
      </c>
      <c r="AT59" s="787">
        <v>1470</v>
      </c>
      <c r="AU59" s="787">
        <v>21645</v>
      </c>
      <c r="AV59" s="787">
        <v>0</v>
      </c>
      <c r="AW59" s="787">
        <v>0</v>
      </c>
      <c r="AX59" s="787">
        <v>0</v>
      </c>
      <c r="AY59" s="787">
        <v>0</v>
      </c>
      <c r="AZ59" s="787">
        <v>28804.14</v>
      </c>
      <c r="BA59" s="787">
        <v>12121</v>
      </c>
      <c r="BB59" s="787">
        <v>0</v>
      </c>
      <c r="BC59" s="787">
        <v>265493.51</v>
      </c>
      <c r="BD59" s="787">
        <v>21686</v>
      </c>
      <c r="BE59" s="787">
        <v>116258.59999999999</v>
      </c>
      <c r="BF59" s="787">
        <v>106941</v>
      </c>
      <c r="BG59" s="787">
        <v>0</v>
      </c>
      <c r="BH59" s="787">
        <v>0</v>
      </c>
      <c r="BI59" s="787">
        <v>0</v>
      </c>
      <c r="BJ59" s="787">
        <v>2936839.14</v>
      </c>
      <c r="BK59" s="787">
        <v>158198.56000000029</v>
      </c>
      <c r="BL59" s="787">
        <v>35110.932826666627</v>
      </c>
      <c r="BM59" s="787">
        <v>193309.49282666692</v>
      </c>
      <c r="BN59" s="787">
        <v>8758.75</v>
      </c>
      <c r="BO59" s="787">
        <v>0</v>
      </c>
      <c r="BP59" s="787">
        <v>0</v>
      </c>
      <c r="BQ59" s="787">
        <v>8758.75</v>
      </c>
      <c r="BR59" s="787">
        <v>0</v>
      </c>
      <c r="BS59" s="787">
        <v>11951</v>
      </c>
      <c r="BT59" s="787">
        <v>0</v>
      </c>
      <c r="BU59" s="787">
        <v>0</v>
      </c>
      <c r="BV59" s="787">
        <v>0</v>
      </c>
      <c r="BW59" s="787">
        <v>785</v>
      </c>
      <c r="BX59" s="787">
        <v>1888</v>
      </c>
      <c r="BY59" s="787">
        <v>0</v>
      </c>
      <c r="BZ59" s="787">
        <v>14624</v>
      </c>
      <c r="CA59" s="787">
        <v>11219.919999999995</v>
      </c>
      <c r="CB59" s="787">
        <v>-5865.25</v>
      </c>
      <c r="CC59" s="787">
        <v>5354.6699999999946</v>
      </c>
      <c r="CD59" s="787">
        <v>0</v>
      </c>
      <c r="CE59" s="787">
        <v>0</v>
      </c>
      <c r="CF59" s="787">
        <v>0</v>
      </c>
      <c r="CG59" s="787">
        <v>0</v>
      </c>
      <c r="CH59" s="787">
        <v>0</v>
      </c>
      <c r="CI59" s="787">
        <v>0</v>
      </c>
      <c r="CJ59" s="787">
        <v>0</v>
      </c>
      <c r="CK59" s="787">
        <v>0</v>
      </c>
      <c r="CL59" s="787">
        <v>0</v>
      </c>
      <c r="CM59" s="787">
        <v>193309.49282666692</v>
      </c>
      <c r="CN59" s="787">
        <v>0</v>
      </c>
      <c r="CO59" s="787">
        <v>5354.6699999999946</v>
      </c>
      <c r="CP59" s="787">
        <v>0</v>
      </c>
      <c r="CQ59" s="787">
        <v>0</v>
      </c>
      <c r="CR59" s="787">
        <v>198664.1628266669</v>
      </c>
      <c r="CS59" s="787">
        <v>499821</v>
      </c>
      <c r="CT59" s="787">
        <v>0</v>
      </c>
      <c r="CU59" s="787">
        <v>0</v>
      </c>
      <c r="CV59" s="787">
        <v>499821</v>
      </c>
      <c r="CW59" s="787">
        <v>0</v>
      </c>
      <c r="CX59" s="787">
        <v>4492</v>
      </c>
      <c r="CY59" s="787">
        <v>5742</v>
      </c>
      <c r="CZ59" s="787">
        <v>0</v>
      </c>
      <c r="DA59" s="787">
        <v>0</v>
      </c>
      <c r="DB59" s="787">
        <v>510055</v>
      </c>
      <c r="DC59" s="787">
        <v>0</v>
      </c>
      <c r="DD59" s="787">
        <v>0</v>
      </c>
      <c r="DE59" s="787">
        <v>0</v>
      </c>
      <c r="DF59" s="787">
        <v>0</v>
      </c>
      <c r="DG59" s="787"/>
      <c r="DH59" s="787"/>
      <c r="DI59" s="787"/>
      <c r="DJ59" s="787">
        <v>0</v>
      </c>
      <c r="DK59" s="787">
        <v>0</v>
      </c>
      <c r="DL59" s="787">
        <v>20077.12</v>
      </c>
      <c r="DM59" s="787">
        <v>14450</v>
      </c>
      <c r="DN59" s="787">
        <v>0</v>
      </c>
      <c r="DO59" s="787">
        <v>0</v>
      </c>
      <c r="DP59" s="787">
        <v>-233966.84</v>
      </c>
      <c r="DQ59" s="787">
        <v>-36171.51</v>
      </c>
      <c r="DR59" s="787">
        <v>0</v>
      </c>
      <c r="DS59" s="787">
        <v>0</v>
      </c>
      <c r="DT59" s="787">
        <v>-235611.23</v>
      </c>
      <c r="DU59" s="787">
        <v>28206</v>
      </c>
      <c r="DV59" s="787">
        <v>14450</v>
      </c>
      <c r="DW59" s="787">
        <v>-195</v>
      </c>
      <c r="DX59" s="787">
        <v>-118241</v>
      </c>
      <c r="DY59" s="787">
        <v>0</v>
      </c>
      <c r="DZ59" s="787">
        <v>0</v>
      </c>
      <c r="EA59" s="787">
        <v>0.39282666688086465</v>
      </c>
      <c r="EC59" s="788">
        <v>5354.6699999999946</v>
      </c>
      <c r="EE59">
        <f>_xlfn.XLOOKUP(C59,'[1]Cfwd Analysis'!$C:$C,'[1]Cfwd Analysis'!$I:$I,0,0)</f>
        <v>193309.49282666692</v>
      </c>
      <c r="EF59" s="788">
        <f t="shared" si="0"/>
        <v>0</v>
      </c>
    </row>
    <row r="60" spans="1:136" ht="15.6" hidden="1">
      <c r="A60" s="782" t="s">
        <v>1353</v>
      </c>
      <c r="B60" s="782" t="s">
        <v>635</v>
      </c>
      <c r="C60" s="783">
        <v>7050</v>
      </c>
      <c r="D60" s="784" t="s">
        <v>636</v>
      </c>
      <c r="E60" s="785" t="s">
        <v>521</v>
      </c>
      <c r="F60" s="786">
        <v>46094</v>
      </c>
      <c r="G60" s="785" t="s">
        <v>5</v>
      </c>
      <c r="H60" s="785" t="s">
        <v>648</v>
      </c>
      <c r="I60" s="787">
        <v>1222491.4182608698</v>
      </c>
      <c r="J60" s="787">
        <v>33256.899632097804</v>
      </c>
      <c r="K60" s="787">
        <v>2096695.9007428228</v>
      </c>
      <c r="L60" s="787">
        <v>0</v>
      </c>
      <c r="M60" s="787">
        <v>54825</v>
      </c>
      <c r="N60" s="787">
        <v>0</v>
      </c>
      <c r="O60" s="787">
        <v>0</v>
      </c>
      <c r="P60" s="787">
        <v>0</v>
      </c>
      <c r="Q60" s="787">
        <v>55140.34</v>
      </c>
      <c r="R60" s="787">
        <v>11660.89</v>
      </c>
      <c r="S60" s="787">
        <v>0</v>
      </c>
      <c r="T60" s="787">
        <v>0</v>
      </c>
      <c r="U60" s="787">
        <v>445</v>
      </c>
      <c r="V60" s="787">
        <v>0</v>
      </c>
      <c r="W60" s="787">
        <v>0</v>
      </c>
      <c r="X60" s="787">
        <v>3474515.4486357905</v>
      </c>
      <c r="Y60" s="787">
        <v>1268363.06</v>
      </c>
      <c r="Z60" s="787">
        <v>0</v>
      </c>
      <c r="AA60" s="787">
        <v>1215480.6200000001</v>
      </c>
      <c r="AB60" s="787">
        <v>0</v>
      </c>
      <c r="AC60" s="787">
        <v>211854.13</v>
      </c>
      <c r="AD60" s="787">
        <v>0</v>
      </c>
      <c r="AE60" s="787">
        <v>23777.69</v>
      </c>
      <c r="AF60" s="787">
        <v>10106.86</v>
      </c>
      <c r="AG60" s="787">
        <v>11265.37</v>
      </c>
      <c r="AH60" s="787">
        <v>0</v>
      </c>
      <c r="AI60" s="787">
        <v>0</v>
      </c>
      <c r="AJ60" s="787">
        <v>61878.61</v>
      </c>
      <c r="AK60" s="787">
        <v>2074.42</v>
      </c>
      <c r="AL60" s="787">
        <v>49249.46</v>
      </c>
      <c r="AM60" s="787">
        <v>2445.06</v>
      </c>
      <c r="AN60" s="787">
        <v>26101.45</v>
      </c>
      <c r="AO60" s="787">
        <v>0</v>
      </c>
      <c r="AP60" s="787">
        <v>22406.74</v>
      </c>
      <c r="AQ60" s="787">
        <v>62064.14</v>
      </c>
      <c r="AR60" s="787">
        <v>552</v>
      </c>
      <c r="AS60" s="787">
        <v>0</v>
      </c>
      <c r="AT60" s="787">
        <v>0</v>
      </c>
      <c r="AU60" s="787">
        <v>0</v>
      </c>
      <c r="AV60" s="787">
        <v>27652.66</v>
      </c>
      <c r="AW60" s="787">
        <v>3062.54</v>
      </c>
      <c r="AX60" s="787">
        <v>0</v>
      </c>
      <c r="AY60" s="787">
        <v>0</v>
      </c>
      <c r="AZ60" s="787">
        <v>14781.1</v>
      </c>
      <c r="BA60" s="787">
        <v>3291.75</v>
      </c>
      <c r="BB60" s="787">
        <v>0</v>
      </c>
      <c r="BC60" s="787">
        <v>84245.53</v>
      </c>
      <c r="BD60" s="787">
        <v>292551.31</v>
      </c>
      <c r="BE60" s="787">
        <v>21260.010000000002</v>
      </c>
      <c r="BF60" s="787">
        <v>181534.03</v>
      </c>
      <c r="BG60" s="787">
        <v>0</v>
      </c>
      <c r="BH60" s="787">
        <v>0</v>
      </c>
      <c r="BI60" s="787">
        <v>0</v>
      </c>
      <c r="BJ60" s="787">
        <v>3595998.54</v>
      </c>
      <c r="BK60" s="787">
        <v>900749.02000001026</v>
      </c>
      <c r="BL60" s="787">
        <v>-121483.09136420954</v>
      </c>
      <c r="BM60" s="787">
        <v>779265.92863580072</v>
      </c>
      <c r="BN60" s="787">
        <v>9568.75</v>
      </c>
      <c r="BO60" s="787">
        <v>0</v>
      </c>
      <c r="BP60" s="787">
        <v>0</v>
      </c>
      <c r="BQ60" s="787">
        <v>9568.75</v>
      </c>
      <c r="BR60" s="787">
        <v>0</v>
      </c>
      <c r="BS60" s="787">
        <v>15055.21</v>
      </c>
      <c r="BT60" s="787">
        <v>0</v>
      </c>
      <c r="BU60" s="787">
        <v>0</v>
      </c>
      <c r="BV60" s="787">
        <v>0</v>
      </c>
      <c r="BW60" s="787">
        <v>0</v>
      </c>
      <c r="BX60" s="787">
        <v>0</v>
      </c>
      <c r="BY60" s="787">
        <v>0</v>
      </c>
      <c r="BZ60" s="787">
        <v>15055.21</v>
      </c>
      <c r="CA60" s="787">
        <v>14690.21</v>
      </c>
      <c r="CB60" s="787">
        <v>-5486.4599999999991</v>
      </c>
      <c r="CC60" s="787">
        <v>9203.75</v>
      </c>
      <c r="CD60" s="787">
        <v>0</v>
      </c>
      <c r="CE60" s="787">
        <v>0</v>
      </c>
      <c r="CF60" s="787">
        <v>0</v>
      </c>
      <c r="CG60" s="787">
        <v>0</v>
      </c>
      <c r="CH60" s="787">
        <v>0</v>
      </c>
      <c r="CI60" s="787">
        <v>0</v>
      </c>
      <c r="CJ60" s="787">
        <v>0</v>
      </c>
      <c r="CK60" s="787">
        <v>0</v>
      </c>
      <c r="CL60" s="787">
        <v>0</v>
      </c>
      <c r="CM60" s="787">
        <v>779265.92863580072</v>
      </c>
      <c r="CN60" s="787">
        <v>0</v>
      </c>
      <c r="CO60" s="787">
        <v>9203.75</v>
      </c>
      <c r="CP60" s="787">
        <v>0</v>
      </c>
      <c r="CQ60" s="787">
        <v>0</v>
      </c>
      <c r="CR60" s="787">
        <v>788469.67863580072</v>
      </c>
      <c r="CS60" s="787">
        <v>766012.99</v>
      </c>
      <c r="CT60" s="787">
        <v>49327.87</v>
      </c>
      <c r="CU60" s="787">
        <v>0</v>
      </c>
      <c r="CV60" s="787">
        <v>716685.12</v>
      </c>
      <c r="CW60" s="787">
        <v>0</v>
      </c>
      <c r="CX60" s="787">
        <v>14580.66</v>
      </c>
      <c r="CY60" s="787">
        <v>7508.74</v>
      </c>
      <c r="CZ60" s="787">
        <v>0</v>
      </c>
      <c r="DA60" s="787">
        <v>0</v>
      </c>
      <c r="DB60" s="787">
        <v>738774.52</v>
      </c>
      <c r="DC60" s="787">
        <v>301904.33</v>
      </c>
      <c r="DD60" s="787">
        <v>0</v>
      </c>
      <c r="DE60" s="787">
        <v>0</v>
      </c>
      <c r="DF60" s="787">
        <v>301904.33</v>
      </c>
      <c r="DG60" s="787"/>
      <c r="DH60" s="787"/>
      <c r="DI60" s="787"/>
      <c r="DJ60" s="787">
        <v>0</v>
      </c>
      <c r="DK60" s="787">
        <v>301904.33</v>
      </c>
      <c r="DL60" s="787">
        <v>1050</v>
      </c>
      <c r="DM60" s="787">
        <v>0</v>
      </c>
      <c r="DN60" s="787">
        <v>0</v>
      </c>
      <c r="DO60" s="787">
        <v>0</v>
      </c>
      <c r="DP60" s="787">
        <v>-27225.79</v>
      </c>
      <c r="DQ60" s="787">
        <v>-879.2</v>
      </c>
      <c r="DR60" s="787">
        <v>0</v>
      </c>
      <c r="DS60" s="787">
        <v>0</v>
      </c>
      <c r="DT60" s="787">
        <v>-27054.99</v>
      </c>
      <c r="DU60" s="787">
        <v>0</v>
      </c>
      <c r="DV60" s="787">
        <v>0</v>
      </c>
      <c r="DW60" s="787">
        <v>0</v>
      </c>
      <c r="DX60" s="787">
        <v>0</v>
      </c>
      <c r="DY60" s="787">
        <v>0</v>
      </c>
      <c r="DZ60" s="787">
        <v>-225154.34</v>
      </c>
      <c r="EA60" s="787">
        <v>0.15863580058794469</v>
      </c>
      <c r="EE60">
        <f>_xlfn.XLOOKUP(C60,'[1]Cfwd Analysis'!$C:$C,'[1]Cfwd Analysis'!$I:$I,0,0)</f>
        <v>779265.92863580072</v>
      </c>
      <c r="EF60" s="788">
        <f t="shared" si="0"/>
        <v>0</v>
      </c>
    </row>
    <row r="61" spans="1:136" ht="15.6" hidden="1">
      <c r="A61" s="782" t="s">
        <v>1354</v>
      </c>
      <c r="B61" s="782" t="s">
        <v>637</v>
      </c>
      <c r="C61" s="783">
        <v>1006</v>
      </c>
      <c r="D61" s="784" t="s">
        <v>638</v>
      </c>
      <c r="E61" s="785" t="s">
        <v>521</v>
      </c>
      <c r="F61" s="786">
        <v>46093</v>
      </c>
      <c r="G61" s="785" t="s">
        <v>5</v>
      </c>
      <c r="H61" s="785" t="s">
        <v>650</v>
      </c>
      <c r="I61" s="787">
        <v>593676.96537724161</v>
      </c>
      <c r="J61" s="787">
        <v>0</v>
      </c>
      <c r="K61" s="787">
        <v>117487.27052631578</v>
      </c>
      <c r="L61" s="787">
        <v>0</v>
      </c>
      <c r="M61" s="787">
        <v>0</v>
      </c>
      <c r="N61" s="787">
        <v>52750</v>
      </c>
      <c r="O61" s="787">
        <v>0</v>
      </c>
      <c r="P61" s="787">
        <v>0</v>
      </c>
      <c r="Q61" s="787">
        <v>38324.553995000002</v>
      </c>
      <c r="R61" s="787">
        <v>0</v>
      </c>
      <c r="S61" s="787">
        <v>0</v>
      </c>
      <c r="T61" s="787">
        <v>0</v>
      </c>
      <c r="U61" s="787">
        <v>0</v>
      </c>
      <c r="V61" s="787">
        <v>0</v>
      </c>
      <c r="W61" s="787">
        <v>0</v>
      </c>
      <c r="X61" s="787">
        <v>802238.78989855736</v>
      </c>
      <c r="Y61" s="787">
        <v>282263.58</v>
      </c>
      <c r="Z61" s="787">
        <v>24692</v>
      </c>
      <c r="AA61" s="787">
        <v>260303.1</v>
      </c>
      <c r="AB61" s="787">
        <v>45599.32</v>
      </c>
      <c r="AC61" s="787">
        <v>28517.41</v>
      </c>
      <c r="AD61" s="787">
        <v>0</v>
      </c>
      <c r="AE61" s="787">
        <v>25120.86</v>
      </c>
      <c r="AF61" s="787">
        <v>4624.96</v>
      </c>
      <c r="AG61" s="787">
        <v>3962.53</v>
      </c>
      <c r="AH61" s="787">
        <v>0</v>
      </c>
      <c r="AI61" s="787">
        <v>0</v>
      </c>
      <c r="AJ61" s="787">
        <v>11890.890000000001</v>
      </c>
      <c r="AK61" s="787">
        <v>0</v>
      </c>
      <c r="AL61" s="787">
        <v>1395.63</v>
      </c>
      <c r="AM61" s="787">
        <v>1661.82</v>
      </c>
      <c r="AN61" s="787">
        <v>8286.2000000000007</v>
      </c>
      <c r="AO61" s="787">
        <v>0</v>
      </c>
      <c r="AP61" s="787">
        <v>6148</v>
      </c>
      <c r="AQ61" s="787">
        <v>15430.56</v>
      </c>
      <c r="AR61" s="787">
        <v>0</v>
      </c>
      <c r="AS61" s="787">
        <v>0</v>
      </c>
      <c r="AT61" s="787">
        <v>0</v>
      </c>
      <c r="AU61" s="787">
        <v>0</v>
      </c>
      <c r="AV61" s="787">
        <v>1277.83</v>
      </c>
      <c r="AW61" s="787">
        <v>84.67</v>
      </c>
      <c r="AX61" s="787">
        <v>0</v>
      </c>
      <c r="AY61" s="787">
        <v>0</v>
      </c>
      <c r="AZ61" s="787">
        <v>9662.23</v>
      </c>
      <c r="BA61" s="787">
        <v>3291.75</v>
      </c>
      <c r="BB61" s="787">
        <v>0</v>
      </c>
      <c r="BC61" s="787">
        <v>70.42</v>
      </c>
      <c r="BD61" s="787">
        <v>0</v>
      </c>
      <c r="BE61" s="787">
        <v>55221.26</v>
      </c>
      <c r="BF61" s="787">
        <v>49889.52</v>
      </c>
      <c r="BG61" s="787">
        <v>0</v>
      </c>
      <c r="BH61" s="787">
        <v>0</v>
      </c>
      <c r="BI61" s="787">
        <v>0</v>
      </c>
      <c r="BJ61" s="787">
        <v>839394.54</v>
      </c>
      <c r="BK61" s="787">
        <v>155120.17000000016</v>
      </c>
      <c r="BL61" s="787">
        <v>-37155.750101442682</v>
      </c>
      <c r="BM61" s="787">
        <v>117964.41989855748</v>
      </c>
      <c r="BN61" s="787">
        <v>4708.75</v>
      </c>
      <c r="BO61" s="787">
        <v>0</v>
      </c>
      <c r="BP61" s="787">
        <v>0</v>
      </c>
      <c r="BQ61" s="787">
        <v>4708.75</v>
      </c>
      <c r="BR61" s="787">
        <v>0</v>
      </c>
      <c r="BS61" s="787">
        <v>0</v>
      </c>
      <c r="BT61" s="787">
        <v>0</v>
      </c>
      <c r="BU61" s="787">
        <v>0</v>
      </c>
      <c r="BV61" s="787">
        <v>0</v>
      </c>
      <c r="BW61" s="787">
        <v>0</v>
      </c>
      <c r="BX61" s="787">
        <v>0</v>
      </c>
      <c r="BY61" s="787">
        <v>0</v>
      </c>
      <c r="BZ61" s="787">
        <v>0</v>
      </c>
      <c r="CA61" s="787">
        <v>8347.0000000000036</v>
      </c>
      <c r="CB61" s="787">
        <v>4708.75</v>
      </c>
      <c r="CC61" s="787">
        <v>13055.750000000004</v>
      </c>
      <c r="CD61" s="787">
        <v>0</v>
      </c>
      <c r="CE61" s="787">
        <v>0</v>
      </c>
      <c r="CF61" s="787">
        <v>0</v>
      </c>
      <c r="CG61" s="787">
        <v>0</v>
      </c>
      <c r="CH61" s="787">
        <v>0</v>
      </c>
      <c r="CI61" s="787">
        <v>0</v>
      </c>
      <c r="CJ61" s="787">
        <v>0</v>
      </c>
      <c r="CK61" s="787">
        <v>0</v>
      </c>
      <c r="CL61" s="787">
        <v>0</v>
      </c>
      <c r="CM61" s="787">
        <v>117964.41989855748</v>
      </c>
      <c r="CN61" s="787">
        <v>0</v>
      </c>
      <c r="CO61" s="787">
        <v>13055.750000000004</v>
      </c>
      <c r="CP61" s="787">
        <v>0</v>
      </c>
      <c r="CQ61" s="787">
        <v>0</v>
      </c>
      <c r="CR61" s="787">
        <v>131020.16989855748</v>
      </c>
      <c r="CS61" s="787">
        <v>211174.49</v>
      </c>
      <c r="CT61" s="787">
        <v>0</v>
      </c>
      <c r="CU61" s="787">
        <v>0</v>
      </c>
      <c r="CV61" s="787">
        <v>211174.49</v>
      </c>
      <c r="CW61" s="787">
        <v>-1000</v>
      </c>
      <c r="CX61" s="787">
        <v>1067.04</v>
      </c>
      <c r="CY61" s="787">
        <v>351.08</v>
      </c>
      <c r="CZ61" s="787">
        <v>0</v>
      </c>
      <c r="DA61" s="787">
        <v>0</v>
      </c>
      <c r="DB61" s="787">
        <v>211592.61</v>
      </c>
      <c r="DC61" s="787">
        <v>0</v>
      </c>
      <c r="DD61" s="787">
        <v>0</v>
      </c>
      <c r="DE61" s="787">
        <v>0</v>
      </c>
      <c r="DF61" s="787">
        <v>0</v>
      </c>
      <c r="DG61" s="787"/>
      <c r="DH61" s="787"/>
      <c r="DI61" s="787"/>
      <c r="DJ61" s="787">
        <v>0</v>
      </c>
      <c r="DK61" s="787">
        <v>0</v>
      </c>
      <c r="DL61" s="787">
        <v>0</v>
      </c>
      <c r="DM61" s="787">
        <v>0</v>
      </c>
      <c r="DN61" s="787">
        <v>0</v>
      </c>
      <c r="DO61" s="787">
        <v>0</v>
      </c>
      <c r="DP61" s="787">
        <v>-67407.69</v>
      </c>
      <c r="DQ61" s="787">
        <v>0</v>
      </c>
      <c r="DR61" s="787">
        <v>0</v>
      </c>
      <c r="DS61" s="787">
        <v>0</v>
      </c>
      <c r="DT61" s="787">
        <v>-67407.69</v>
      </c>
      <c r="DU61" s="787">
        <v>0</v>
      </c>
      <c r="DV61" s="787">
        <v>0</v>
      </c>
      <c r="DW61" s="787">
        <v>0</v>
      </c>
      <c r="DX61" s="787">
        <v>0</v>
      </c>
      <c r="DY61" s="787">
        <v>0</v>
      </c>
      <c r="DZ61" s="787">
        <v>-13164.83</v>
      </c>
      <c r="EA61" s="787">
        <v>7.9898557494743727E-2</v>
      </c>
      <c r="EC61" s="788">
        <v>13055.750000000004</v>
      </c>
      <c r="EE61">
        <f>_xlfn.XLOOKUP(C61,'[1]Cfwd Analysis'!$C:$C,'[1]Cfwd Analysis'!$I:$I,0,0)</f>
        <v>117964.41989855748</v>
      </c>
      <c r="EF61" s="788">
        <f t="shared" si="0"/>
        <v>0</v>
      </c>
    </row>
    <row r="62" spans="1:136" ht="15.6" hidden="1">
      <c r="A62" s="782" t="s">
        <v>1355</v>
      </c>
      <c r="B62" s="782" t="s">
        <v>886</v>
      </c>
      <c r="C62" s="783">
        <v>2079</v>
      </c>
      <c r="D62" s="784" t="s">
        <v>887</v>
      </c>
      <c r="E62" s="785" t="s">
        <v>521</v>
      </c>
      <c r="F62" s="786">
        <v>46094</v>
      </c>
      <c r="G62" s="785" t="s">
        <v>5</v>
      </c>
      <c r="H62" s="785" t="s">
        <v>822</v>
      </c>
      <c r="I62" s="787">
        <v>2006182.8603706395</v>
      </c>
      <c r="J62" s="787">
        <v>0</v>
      </c>
      <c r="K62" s="787">
        <v>189631.15266666666</v>
      </c>
      <c r="L62" s="787">
        <v>0</v>
      </c>
      <c r="M62" s="787">
        <v>218160</v>
      </c>
      <c r="N62" s="787">
        <v>47077</v>
      </c>
      <c r="O62" s="787">
        <v>0</v>
      </c>
      <c r="P62" s="787">
        <v>0</v>
      </c>
      <c r="Q62" s="787">
        <v>13066.492914999966</v>
      </c>
      <c r="R62" s="787">
        <v>0</v>
      </c>
      <c r="S62" s="787">
        <v>0</v>
      </c>
      <c r="T62" s="787">
        <v>0</v>
      </c>
      <c r="U62" s="787">
        <v>2652.81</v>
      </c>
      <c r="V62" s="787">
        <v>7963.27</v>
      </c>
      <c r="W62" s="787">
        <v>0</v>
      </c>
      <c r="X62" s="787">
        <v>2484733.5859523062</v>
      </c>
      <c r="Y62" s="787">
        <v>754088.88</v>
      </c>
      <c r="Z62" s="787">
        <v>29078.720000000001</v>
      </c>
      <c r="AA62" s="787">
        <v>344805.38</v>
      </c>
      <c r="AB62" s="787">
        <v>27786.69</v>
      </c>
      <c r="AC62" s="787">
        <v>188036.88</v>
      </c>
      <c r="AD62" s="787">
        <v>0</v>
      </c>
      <c r="AE62" s="787">
        <v>33557.949999999997</v>
      </c>
      <c r="AF62" s="787">
        <v>2675.66</v>
      </c>
      <c r="AG62" s="787">
        <v>2176.4</v>
      </c>
      <c r="AH62" s="787">
        <v>0</v>
      </c>
      <c r="AI62" s="787">
        <v>0</v>
      </c>
      <c r="AJ62" s="787">
        <v>41352.559999999998</v>
      </c>
      <c r="AK62" s="787">
        <v>0</v>
      </c>
      <c r="AL62" s="787">
        <v>52573.63</v>
      </c>
      <c r="AM62" s="787">
        <v>37953.11</v>
      </c>
      <c r="AN62" s="787">
        <v>15293.83</v>
      </c>
      <c r="AO62" s="787">
        <v>23115.159999999993</v>
      </c>
      <c r="AP62" s="787">
        <v>6150.99</v>
      </c>
      <c r="AQ62" s="787">
        <v>92458.819999999992</v>
      </c>
      <c r="AR62" s="787">
        <v>0</v>
      </c>
      <c r="AS62" s="787">
        <v>0</v>
      </c>
      <c r="AT62" s="787">
        <v>32665.07</v>
      </c>
      <c r="AU62" s="787">
        <v>14952.48</v>
      </c>
      <c r="AV62" s="787">
        <v>258</v>
      </c>
      <c r="AW62" s="787">
        <v>23652.560000000001</v>
      </c>
      <c r="AX62" s="787">
        <v>19210.88</v>
      </c>
      <c r="AY62" s="787">
        <v>0</v>
      </c>
      <c r="AZ62" s="787">
        <v>37277.040000000001</v>
      </c>
      <c r="BA62" s="787">
        <v>8775</v>
      </c>
      <c r="BB62" s="787">
        <v>4175</v>
      </c>
      <c r="BC62" s="787">
        <v>138427.72</v>
      </c>
      <c r="BD62" s="787">
        <v>352762.79</v>
      </c>
      <c r="BE62" s="787">
        <v>68284.25</v>
      </c>
      <c r="BF62" s="787">
        <v>238710.66</v>
      </c>
      <c r="BG62" s="787">
        <v>0</v>
      </c>
      <c r="BH62" s="787">
        <v>0</v>
      </c>
      <c r="BI62" s="787">
        <v>0</v>
      </c>
      <c r="BJ62" s="787">
        <v>2590256.11</v>
      </c>
      <c r="BK62" s="787">
        <v>33072.889999998559</v>
      </c>
      <c r="BL62" s="787">
        <v>-105522.5240476937</v>
      </c>
      <c r="BM62" s="787">
        <v>-72449.634047695145</v>
      </c>
      <c r="BN62" s="787">
        <v>7948.75</v>
      </c>
      <c r="BO62" s="787">
        <v>0</v>
      </c>
      <c r="BP62" s="787">
        <v>0</v>
      </c>
      <c r="BQ62" s="787">
        <v>7948.75</v>
      </c>
      <c r="BR62" s="787">
        <v>0</v>
      </c>
      <c r="BS62" s="787">
        <v>0</v>
      </c>
      <c r="BT62" s="787">
        <v>0</v>
      </c>
      <c r="BU62" s="787">
        <v>0</v>
      </c>
      <c r="BV62" s="787">
        <v>0</v>
      </c>
      <c r="BW62" s="787">
        <v>0</v>
      </c>
      <c r="BX62" s="787">
        <v>0</v>
      </c>
      <c r="BY62" s="787">
        <v>0</v>
      </c>
      <c r="BZ62" s="787">
        <v>0</v>
      </c>
      <c r="CA62" s="787">
        <v>26473.19</v>
      </c>
      <c r="CB62" s="787">
        <v>7948.75</v>
      </c>
      <c r="CC62" s="787">
        <v>34421.94</v>
      </c>
      <c r="CD62" s="787">
        <v>0</v>
      </c>
      <c r="CE62" s="787">
        <v>0</v>
      </c>
      <c r="CF62" s="787">
        <v>0</v>
      </c>
      <c r="CG62" s="787">
        <v>0</v>
      </c>
      <c r="CH62" s="787">
        <v>0</v>
      </c>
      <c r="CI62" s="787">
        <v>0</v>
      </c>
      <c r="CJ62" s="787">
        <v>0</v>
      </c>
      <c r="CK62" s="787">
        <v>0</v>
      </c>
      <c r="CL62" s="787">
        <v>0</v>
      </c>
      <c r="CM62" s="787">
        <v>0</v>
      </c>
      <c r="CN62" s="787">
        <v>-72449.634047695145</v>
      </c>
      <c r="CO62" s="787">
        <v>34421.94</v>
      </c>
      <c r="CP62" s="787">
        <v>0</v>
      </c>
      <c r="CQ62" s="787">
        <v>0</v>
      </c>
      <c r="CR62" s="787">
        <v>-38027.694047695142</v>
      </c>
      <c r="CS62" s="787">
        <v>136609.07</v>
      </c>
      <c r="CT62" s="787">
        <v>0</v>
      </c>
      <c r="CU62" s="787">
        <v>168.51</v>
      </c>
      <c r="CV62" s="787">
        <v>136777.58000000002</v>
      </c>
      <c r="CW62" s="787">
        <v>0</v>
      </c>
      <c r="CX62" s="787">
        <v>42589.18</v>
      </c>
      <c r="CY62" s="787">
        <v>1656.68</v>
      </c>
      <c r="CZ62" s="787">
        <v>0</v>
      </c>
      <c r="DA62" s="787">
        <v>0</v>
      </c>
      <c r="DB62" s="787">
        <v>181023.44</v>
      </c>
      <c r="DC62" s="787">
        <v>0</v>
      </c>
      <c r="DD62" s="787">
        <v>0</v>
      </c>
      <c r="DE62" s="787">
        <v>0</v>
      </c>
      <c r="DF62" s="787">
        <v>0</v>
      </c>
      <c r="DG62" s="787"/>
      <c r="DH62" s="787"/>
      <c r="DI62" s="787"/>
      <c r="DJ62" s="787">
        <v>0</v>
      </c>
      <c r="DK62" s="787">
        <v>0</v>
      </c>
      <c r="DL62" s="787">
        <v>0</v>
      </c>
      <c r="DM62" s="787">
        <v>0</v>
      </c>
      <c r="DN62" s="787">
        <v>0</v>
      </c>
      <c r="DO62" s="787">
        <v>0</v>
      </c>
      <c r="DP62" s="787">
        <v>-164713.21</v>
      </c>
      <c r="DQ62" s="787">
        <v>-36390.47</v>
      </c>
      <c r="DR62" s="787">
        <v>0</v>
      </c>
      <c r="DS62" s="787">
        <v>0</v>
      </c>
      <c r="DT62" s="787">
        <v>-201103.68</v>
      </c>
      <c r="DU62" s="787">
        <v>0</v>
      </c>
      <c r="DV62" s="787">
        <v>0</v>
      </c>
      <c r="DW62" s="787">
        <v>0</v>
      </c>
      <c r="DX62" s="787">
        <v>0</v>
      </c>
      <c r="DY62" s="787">
        <v>0</v>
      </c>
      <c r="DZ62" s="787">
        <v>-17947.05</v>
      </c>
      <c r="EA62" s="787">
        <v>-0.40404769514861982</v>
      </c>
      <c r="EC62" s="788">
        <v>34421.94</v>
      </c>
      <c r="EE62">
        <f>_xlfn.XLOOKUP(C62,'[1]Cfwd Analysis'!$C:$C,'[1]Cfwd Analysis'!$I:$I,0,0)</f>
        <v>-72449.634047695145</v>
      </c>
      <c r="EF62" s="788">
        <f t="shared" si="0"/>
        <v>0</v>
      </c>
    </row>
    <row r="63" spans="1:136" ht="15.6" hidden="1">
      <c r="A63" s="782" t="s">
        <v>1356</v>
      </c>
      <c r="B63" s="782" t="s">
        <v>639</v>
      </c>
      <c r="C63" s="783">
        <v>2081</v>
      </c>
      <c r="D63" s="784" t="s">
        <v>640</v>
      </c>
      <c r="E63" s="785" t="s">
        <v>521</v>
      </c>
      <c r="F63" s="786">
        <v>46094</v>
      </c>
      <c r="G63" s="785" t="s">
        <v>5</v>
      </c>
      <c r="H63" s="785" t="s">
        <v>652</v>
      </c>
      <c r="I63" s="787">
        <v>2266806.5943344748</v>
      </c>
      <c r="J63" s="787">
        <v>0</v>
      </c>
      <c r="K63" s="787">
        <v>174381.51666666666</v>
      </c>
      <c r="L63" s="787">
        <v>0</v>
      </c>
      <c r="M63" s="787">
        <v>238920</v>
      </c>
      <c r="N63" s="787">
        <v>73063</v>
      </c>
      <c r="O63" s="787">
        <v>0</v>
      </c>
      <c r="P63" s="787">
        <v>187.5</v>
      </c>
      <c r="Q63" s="787">
        <v>54742.06685500007</v>
      </c>
      <c r="R63" s="787">
        <v>12197</v>
      </c>
      <c r="S63" s="787">
        <v>0</v>
      </c>
      <c r="T63" s="787">
        <v>0</v>
      </c>
      <c r="U63" s="787">
        <v>45023.3</v>
      </c>
      <c r="V63" s="787">
        <v>0</v>
      </c>
      <c r="W63" s="787">
        <v>0</v>
      </c>
      <c r="X63" s="787">
        <v>2865320.977856141</v>
      </c>
      <c r="Y63" s="787">
        <v>1298497.5</v>
      </c>
      <c r="Z63" s="787">
        <v>0</v>
      </c>
      <c r="AA63" s="787">
        <v>357365.84</v>
      </c>
      <c r="AB63" s="787">
        <v>42788.37</v>
      </c>
      <c r="AC63" s="787">
        <v>174646.07</v>
      </c>
      <c r="AD63" s="787">
        <v>0</v>
      </c>
      <c r="AE63" s="787">
        <v>100754.3</v>
      </c>
      <c r="AF63" s="787">
        <v>8254.92</v>
      </c>
      <c r="AG63" s="787">
        <v>6517.25</v>
      </c>
      <c r="AH63" s="787">
        <v>0</v>
      </c>
      <c r="AI63" s="787">
        <v>0</v>
      </c>
      <c r="AJ63" s="787">
        <v>14587.42</v>
      </c>
      <c r="AK63" s="787">
        <v>3340</v>
      </c>
      <c r="AL63" s="787">
        <v>37680.379999999997</v>
      </c>
      <c r="AM63" s="787">
        <v>11724.75</v>
      </c>
      <c r="AN63" s="787">
        <v>21672.720000000001</v>
      </c>
      <c r="AO63" s="787">
        <v>41339.75</v>
      </c>
      <c r="AP63" s="787">
        <v>7455.13</v>
      </c>
      <c r="AQ63" s="787">
        <v>54153.869999999995</v>
      </c>
      <c r="AR63" s="787">
        <v>0</v>
      </c>
      <c r="AS63" s="787">
        <v>0</v>
      </c>
      <c r="AT63" s="787">
        <v>3089.78</v>
      </c>
      <c r="AU63" s="787">
        <v>0</v>
      </c>
      <c r="AV63" s="787">
        <v>12757.62</v>
      </c>
      <c r="AW63" s="787">
        <v>0</v>
      </c>
      <c r="AX63" s="787">
        <v>8279</v>
      </c>
      <c r="AY63" s="787">
        <v>0</v>
      </c>
      <c r="AZ63" s="787">
        <v>48135.93</v>
      </c>
      <c r="BA63" s="787">
        <v>9471</v>
      </c>
      <c r="BB63" s="787">
        <v>4356</v>
      </c>
      <c r="BC63" s="787">
        <v>104185.11</v>
      </c>
      <c r="BD63" s="787">
        <v>169738.19</v>
      </c>
      <c r="BE63" s="787">
        <v>10875.36</v>
      </c>
      <c r="BF63" s="787">
        <v>276541.43</v>
      </c>
      <c r="BG63" s="787">
        <v>740</v>
      </c>
      <c r="BH63" s="787">
        <v>0</v>
      </c>
      <c r="BI63" s="787">
        <v>0</v>
      </c>
      <c r="BJ63" s="787">
        <v>2828947.69</v>
      </c>
      <c r="BK63" s="787">
        <v>53410.930000002991</v>
      </c>
      <c r="BL63" s="787">
        <v>36373.287856141105</v>
      </c>
      <c r="BM63" s="787">
        <v>89784.217856144096</v>
      </c>
      <c r="BN63" s="787">
        <v>8713.75</v>
      </c>
      <c r="BO63" s="787">
        <v>0</v>
      </c>
      <c r="BP63" s="787">
        <v>0</v>
      </c>
      <c r="BQ63" s="787">
        <v>8713.75</v>
      </c>
      <c r="BR63" s="787">
        <v>0</v>
      </c>
      <c r="BS63" s="787">
        <v>32395.64</v>
      </c>
      <c r="BT63" s="787">
        <v>0</v>
      </c>
      <c r="BU63" s="787">
        <v>0</v>
      </c>
      <c r="BV63" s="787">
        <v>0</v>
      </c>
      <c r="BW63" s="787">
        <v>0</v>
      </c>
      <c r="BX63" s="787">
        <v>1097.49</v>
      </c>
      <c r="BY63" s="787">
        <v>0</v>
      </c>
      <c r="BZ63" s="787">
        <v>33493.129999999997</v>
      </c>
      <c r="CA63" s="787">
        <v>40011.79</v>
      </c>
      <c r="CB63" s="787">
        <v>-24779.379999999997</v>
      </c>
      <c r="CC63" s="787">
        <v>15232.410000000003</v>
      </c>
      <c r="CD63" s="787">
        <v>0</v>
      </c>
      <c r="CE63" s="787">
        <v>0</v>
      </c>
      <c r="CF63" s="787">
        <v>0</v>
      </c>
      <c r="CG63" s="787">
        <v>0</v>
      </c>
      <c r="CH63" s="787">
        <v>0</v>
      </c>
      <c r="CI63" s="787">
        <v>0</v>
      </c>
      <c r="CJ63" s="787">
        <v>0</v>
      </c>
      <c r="CK63" s="787">
        <v>0</v>
      </c>
      <c r="CL63" s="787">
        <v>0</v>
      </c>
      <c r="CM63" s="787">
        <v>89784.217856144096</v>
      </c>
      <c r="CN63" s="787">
        <v>0</v>
      </c>
      <c r="CO63" s="787">
        <v>15232.41</v>
      </c>
      <c r="CP63" s="787">
        <v>0</v>
      </c>
      <c r="CQ63" s="787">
        <v>0</v>
      </c>
      <c r="CR63" s="787">
        <v>105016.6278561441</v>
      </c>
      <c r="CS63" s="787">
        <v>458007.68</v>
      </c>
      <c r="CT63" s="787">
        <v>336377.71</v>
      </c>
      <c r="CU63" s="787">
        <v>721.13</v>
      </c>
      <c r="CV63" s="787">
        <v>122351.09999999998</v>
      </c>
      <c r="CW63" s="787">
        <v>0</v>
      </c>
      <c r="CX63" s="787">
        <v>13839.7</v>
      </c>
      <c r="CY63" s="787">
        <v>10160.959999999999</v>
      </c>
      <c r="CZ63" s="787">
        <v>0</v>
      </c>
      <c r="DA63" s="787">
        <v>0</v>
      </c>
      <c r="DB63" s="787">
        <v>146351.75999999998</v>
      </c>
      <c r="DC63" s="787">
        <v>0</v>
      </c>
      <c r="DD63" s="787">
        <v>0</v>
      </c>
      <c r="DE63" s="787">
        <v>0</v>
      </c>
      <c r="DF63" s="787">
        <v>0</v>
      </c>
      <c r="DG63" s="787"/>
      <c r="DH63" s="787"/>
      <c r="DI63" s="787"/>
      <c r="DJ63" s="787">
        <v>0</v>
      </c>
      <c r="DK63" s="787">
        <v>0</v>
      </c>
      <c r="DL63" s="787">
        <v>0</v>
      </c>
      <c r="DM63" s="787">
        <v>0</v>
      </c>
      <c r="DN63" s="787">
        <v>0</v>
      </c>
      <c r="DO63" s="787">
        <v>0</v>
      </c>
      <c r="DP63" s="787">
        <v>-41335.589999999997</v>
      </c>
      <c r="DQ63" s="787">
        <v>0</v>
      </c>
      <c r="DR63" s="787">
        <v>0</v>
      </c>
      <c r="DS63" s="787">
        <v>0</v>
      </c>
      <c r="DT63" s="787">
        <v>-41335.589999999997</v>
      </c>
      <c r="DU63" s="787">
        <v>0</v>
      </c>
      <c r="DV63" s="787">
        <v>0</v>
      </c>
      <c r="DW63" s="787">
        <v>0</v>
      </c>
      <c r="DX63" s="787">
        <v>0</v>
      </c>
      <c r="DY63" s="787">
        <v>0</v>
      </c>
      <c r="DZ63" s="787">
        <v>0</v>
      </c>
      <c r="EA63" s="787">
        <v>0.45785614411579445</v>
      </c>
      <c r="EE63">
        <f>_xlfn.XLOOKUP(C63,'[1]Cfwd Analysis'!$C:$C,'[1]Cfwd Analysis'!$I:$I,0,0)</f>
        <v>89784.217856144096</v>
      </c>
      <c r="EF63" s="788">
        <f t="shared" si="0"/>
        <v>0</v>
      </c>
    </row>
    <row r="64" spans="1:136" ht="15.6" hidden="1">
      <c r="A64" s="782" t="s">
        <v>1357</v>
      </c>
      <c r="B64" s="782" t="s">
        <v>641</v>
      </c>
      <c r="C64" s="783">
        <v>2296</v>
      </c>
      <c r="D64" s="784" t="s">
        <v>642</v>
      </c>
      <c r="E64" s="785" t="s">
        <v>521</v>
      </c>
      <c r="F64" s="786">
        <v>46094</v>
      </c>
      <c r="G64" s="785" t="s">
        <v>5</v>
      </c>
      <c r="H64" s="785" t="s">
        <v>654</v>
      </c>
      <c r="I64" s="787">
        <v>1547563.2674120143</v>
      </c>
      <c r="J64" s="787">
        <v>0</v>
      </c>
      <c r="K64" s="787">
        <v>113003.65666666668</v>
      </c>
      <c r="L64" s="787">
        <v>0</v>
      </c>
      <c r="M64" s="787">
        <v>152215</v>
      </c>
      <c r="N64" s="787">
        <v>61419.18</v>
      </c>
      <c r="O64" s="787">
        <v>0</v>
      </c>
      <c r="P64" s="787">
        <v>68670.03</v>
      </c>
      <c r="Q64" s="787">
        <v>484.28</v>
      </c>
      <c r="R64" s="787">
        <v>0</v>
      </c>
      <c r="S64" s="787">
        <v>0</v>
      </c>
      <c r="T64" s="787">
        <v>0</v>
      </c>
      <c r="U64" s="787">
        <v>19263.07</v>
      </c>
      <c r="V64" s="787">
        <v>5385</v>
      </c>
      <c r="W64" s="787">
        <v>0</v>
      </c>
      <c r="X64" s="787">
        <v>1968003.4840786811</v>
      </c>
      <c r="Y64" s="787">
        <v>873971.64</v>
      </c>
      <c r="Z64" s="787">
        <v>12731.94</v>
      </c>
      <c r="AA64" s="787">
        <v>183432.73</v>
      </c>
      <c r="AB64" s="787">
        <v>47140.99</v>
      </c>
      <c r="AC64" s="787">
        <v>74073.820000000007</v>
      </c>
      <c r="AD64" s="787">
        <v>4141.0200000000004</v>
      </c>
      <c r="AE64" s="787">
        <v>57764.17</v>
      </c>
      <c r="AF64" s="787">
        <v>56457.23</v>
      </c>
      <c r="AG64" s="787">
        <v>5638.5</v>
      </c>
      <c r="AH64" s="787">
        <v>0</v>
      </c>
      <c r="AI64" s="787">
        <v>0</v>
      </c>
      <c r="AJ64" s="787">
        <v>92522.559999999998</v>
      </c>
      <c r="AK64" s="787">
        <v>6316.9699999999993</v>
      </c>
      <c r="AL64" s="787">
        <v>1524.22</v>
      </c>
      <c r="AM64" s="787">
        <v>8695.1299999999992</v>
      </c>
      <c r="AN64" s="787">
        <v>32354.02</v>
      </c>
      <c r="AO64" s="787">
        <v>33513.810000000012</v>
      </c>
      <c r="AP64" s="787">
        <v>19914.850000000002</v>
      </c>
      <c r="AQ64" s="787">
        <v>63514.46</v>
      </c>
      <c r="AR64" s="787">
        <v>0</v>
      </c>
      <c r="AS64" s="787">
        <v>0</v>
      </c>
      <c r="AT64" s="787">
        <v>13616.53</v>
      </c>
      <c r="AU64" s="787">
        <v>0</v>
      </c>
      <c r="AV64" s="787">
        <v>0</v>
      </c>
      <c r="AW64" s="787">
        <v>0</v>
      </c>
      <c r="AX64" s="787">
        <v>0</v>
      </c>
      <c r="AY64" s="787">
        <v>0</v>
      </c>
      <c r="AZ64" s="787">
        <v>19492.89</v>
      </c>
      <c r="BA64" s="787">
        <v>5377.5</v>
      </c>
      <c r="BB64" s="787">
        <v>0</v>
      </c>
      <c r="BC64" s="787">
        <v>88001.65</v>
      </c>
      <c r="BD64" s="787">
        <v>211246.48</v>
      </c>
      <c r="BE64" s="787">
        <v>20723.2</v>
      </c>
      <c r="BF64" s="787">
        <v>152819.03</v>
      </c>
      <c r="BG64" s="787">
        <v>0</v>
      </c>
      <c r="BH64" s="787">
        <v>0</v>
      </c>
      <c r="BI64" s="787">
        <v>0</v>
      </c>
      <c r="BJ64" s="787">
        <v>2084985.3399999999</v>
      </c>
      <c r="BK64" s="787">
        <v>314590.01999999955</v>
      </c>
      <c r="BL64" s="787">
        <v>-116981.85592131875</v>
      </c>
      <c r="BM64" s="787">
        <v>197608.1640786808</v>
      </c>
      <c r="BN64" s="787">
        <v>7262.5</v>
      </c>
      <c r="BO64" s="787">
        <v>0</v>
      </c>
      <c r="BP64" s="787">
        <v>0</v>
      </c>
      <c r="BQ64" s="787">
        <v>7262.5</v>
      </c>
      <c r="BR64" s="787">
        <v>0</v>
      </c>
      <c r="BS64" s="787">
        <v>0</v>
      </c>
      <c r="BT64" s="787">
        <v>0</v>
      </c>
      <c r="BU64" s="787">
        <v>0</v>
      </c>
      <c r="BV64" s="787">
        <v>0</v>
      </c>
      <c r="BW64" s="787">
        <v>0</v>
      </c>
      <c r="BX64" s="787">
        <v>0</v>
      </c>
      <c r="BY64" s="787">
        <v>0</v>
      </c>
      <c r="BZ64" s="787">
        <v>0</v>
      </c>
      <c r="CA64" s="787">
        <v>20627.240000000002</v>
      </c>
      <c r="CB64" s="787">
        <v>7262.5</v>
      </c>
      <c r="CC64" s="787">
        <v>27889.74</v>
      </c>
      <c r="CD64" s="787">
        <v>0</v>
      </c>
      <c r="CE64" s="787">
        <v>0</v>
      </c>
      <c r="CF64" s="787">
        <v>0</v>
      </c>
      <c r="CG64" s="787">
        <v>0</v>
      </c>
      <c r="CH64" s="787">
        <v>0</v>
      </c>
      <c r="CI64" s="787">
        <v>0</v>
      </c>
      <c r="CJ64" s="787">
        <v>0</v>
      </c>
      <c r="CK64" s="787">
        <v>0</v>
      </c>
      <c r="CL64" s="787">
        <v>0</v>
      </c>
      <c r="CM64" s="787">
        <v>197608.1640786808</v>
      </c>
      <c r="CN64" s="787">
        <v>0</v>
      </c>
      <c r="CO64" s="787">
        <v>27889.74</v>
      </c>
      <c r="CP64" s="787">
        <v>0</v>
      </c>
      <c r="CQ64" s="787">
        <v>0</v>
      </c>
      <c r="CR64" s="787">
        <v>225497.90407868079</v>
      </c>
      <c r="CS64" s="787">
        <v>345904.09</v>
      </c>
      <c r="CT64" s="787">
        <v>75465.94</v>
      </c>
      <c r="CU64" s="787">
        <v>1267.8699999999999</v>
      </c>
      <c r="CV64" s="787">
        <v>271706.02</v>
      </c>
      <c r="CW64" s="787">
        <v>0</v>
      </c>
      <c r="CX64" s="787">
        <v>7842.07</v>
      </c>
      <c r="CY64" s="787">
        <v>5592.83</v>
      </c>
      <c r="CZ64" s="787">
        <v>0</v>
      </c>
      <c r="DA64" s="787">
        <v>0</v>
      </c>
      <c r="DB64" s="787">
        <v>285140.92000000004</v>
      </c>
      <c r="DC64" s="787">
        <v>0</v>
      </c>
      <c r="DD64" s="787">
        <v>0</v>
      </c>
      <c r="DE64" s="787">
        <v>0</v>
      </c>
      <c r="DF64" s="787">
        <v>0</v>
      </c>
      <c r="DG64" s="787"/>
      <c r="DH64" s="787"/>
      <c r="DI64" s="787"/>
      <c r="DJ64" s="787">
        <v>0</v>
      </c>
      <c r="DK64" s="787">
        <v>0</v>
      </c>
      <c r="DL64" s="787">
        <v>756.48</v>
      </c>
      <c r="DM64" s="787">
        <v>5385</v>
      </c>
      <c r="DN64" s="787">
        <v>0</v>
      </c>
      <c r="DO64" s="787">
        <v>0</v>
      </c>
      <c r="DP64" s="787">
        <v>-21444.92</v>
      </c>
      <c r="DQ64" s="787">
        <v>-342.98</v>
      </c>
      <c r="DR64" s="787">
        <v>0</v>
      </c>
      <c r="DS64" s="787">
        <v>0</v>
      </c>
      <c r="DT64" s="787">
        <v>-15646.419999999998</v>
      </c>
      <c r="DU64" s="787">
        <v>0</v>
      </c>
      <c r="DV64" s="787">
        <v>5813</v>
      </c>
      <c r="DW64" s="787">
        <v>0</v>
      </c>
      <c r="DX64" s="787">
        <v>0</v>
      </c>
      <c r="DY64" s="787">
        <v>0</v>
      </c>
      <c r="DZ64" s="787">
        <v>-49810</v>
      </c>
      <c r="EA64" s="787">
        <v>0.40407868073089048</v>
      </c>
      <c r="EC64" s="788">
        <v>27889.74</v>
      </c>
      <c r="EE64">
        <f>_xlfn.XLOOKUP(C64,'[1]Cfwd Analysis'!$C:$C,'[1]Cfwd Analysis'!$I:$I,0,0)</f>
        <v>197608.1640786808</v>
      </c>
      <c r="EF64" s="788">
        <f t="shared" si="0"/>
        <v>0</v>
      </c>
    </row>
    <row r="65" spans="1:136" ht="15.6" hidden="1">
      <c r="A65" s="782" t="s">
        <v>1358</v>
      </c>
      <c r="B65" s="782" t="s">
        <v>644</v>
      </c>
      <c r="C65" s="783">
        <v>1015</v>
      </c>
      <c r="D65" s="784" t="s">
        <v>645</v>
      </c>
      <c r="E65" s="785" t="s">
        <v>521</v>
      </c>
      <c r="F65" s="786" t="s">
        <v>1305</v>
      </c>
      <c r="G65" s="785" t="s">
        <v>5</v>
      </c>
      <c r="H65" s="785" t="s">
        <v>656</v>
      </c>
      <c r="I65" s="787">
        <v>755584.78906605917</v>
      </c>
      <c r="J65" s="787">
        <v>0</v>
      </c>
      <c r="K65" s="787">
        <v>106074.03932853186</v>
      </c>
      <c r="L65" s="787">
        <v>0</v>
      </c>
      <c r="M65" s="787">
        <v>0</v>
      </c>
      <c r="N65" s="787">
        <v>0</v>
      </c>
      <c r="O65" s="787">
        <v>0</v>
      </c>
      <c r="P65" s="787">
        <v>0</v>
      </c>
      <c r="Q65" s="787">
        <v>42736.635419999991</v>
      </c>
      <c r="R65" s="787">
        <v>0</v>
      </c>
      <c r="S65" s="787">
        <v>0</v>
      </c>
      <c r="T65" s="787">
        <v>0</v>
      </c>
      <c r="U65" s="787">
        <v>54502.720000000001</v>
      </c>
      <c r="V65" s="787">
        <v>0</v>
      </c>
      <c r="W65" s="787">
        <v>0</v>
      </c>
      <c r="X65" s="787">
        <v>958898.18381459091</v>
      </c>
      <c r="Y65" s="787">
        <v>194149.7</v>
      </c>
      <c r="Z65" s="787">
        <v>0</v>
      </c>
      <c r="AA65" s="787">
        <v>429904.75</v>
      </c>
      <c r="AB65" s="787">
        <v>33840.57</v>
      </c>
      <c r="AC65" s="787">
        <v>44543.09</v>
      </c>
      <c r="AD65" s="787">
        <v>0</v>
      </c>
      <c r="AE65" s="787">
        <v>12149.060000000001</v>
      </c>
      <c r="AF65" s="787">
        <v>22084.780000000002</v>
      </c>
      <c r="AG65" s="787">
        <v>2446.5</v>
      </c>
      <c r="AH65" s="787">
        <v>0</v>
      </c>
      <c r="AI65" s="787">
        <v>0</v>
      </c>
      <c r="AJ65" s="787">
        <v>7742.4</v>
      </c>
      <c r="AK65" s="787">
        <v>321.70999999999998</v>
      </c>
      <c r="AL65" s="787">
        <v>1113.53</v>
      </c>
      <c r="AM65" s="787">
        <v>1909.64</v>
      </c>
      <c r="AN65" s="787">
        <v>6437.01</v>
      </c>
      <c r="AO65" s="787">
        <v>0</v>
      </c>
      <c r="AP65" s="787">
        <v>3276.6499999999996</v>
      </c>
      <c r="AQ65" s="787">
        <v>25301.33</v>
      </c>
      <c r="AR65" s="787">
        <v>0</v>
      </c>
      <c r="AS65" s="787">
        <v>0</v>
      </c>
      <c r="AT65" s="787">
        <v>0</v>
      </c>
      <c r="AU65" s="787">
        <v>0</v>
      </c>
      <c r="AV65" s="787">
        <v>0</v>
      </c>
      <c r="AW65" s="787">
        <v>0</v>
      </c>
      <c r="AX65" s="787">
        <v>0</v>
      </c>
      <c r="AY65" s="787">
        <v>0</v>
      </c>
      <c r="AZ65" s="787">
        <v>3342.7799999999997</v>
      </c>
      <c r="BA65" s="787">
        <v>3291.75</v>
      </c>
      <c r="BB65" s="787">
        <v>0</v>
      </c>
      <c r="BC65" s="787">
        <v>1003.73</v>
      </c>
      <c r="BD65" s="787">
        <v>15846.98</v>
      </c>
      <c r="BE65" s="787">
        <v>9495.67</v>
      </c>
      <c r="BF65" s="787">
        <v>100914</v>
      </c>
      <c r="BG65" s="787">
        <v>0</v>
      </c>
      <c r="BH65" s="787">
        <v>0</v>
      </c>
      <c r="BI65" s="787">
        <v>0</v>
      </c>
      <c r="BJ65" s="787">
        <v>919115.63</v>
      </c>
      <c r="BK65" s="787">
        <v>215031.71999999962</v>
      </c>
      <c r="BL65" s="787">
        <v>39782.553814590909</v>
      </c>
      <c r="BM65" s="787">
        <v>254814.27381459053</v>
      </c>
      <c r="BN65" s="787">
        <v>4918</v>
      </c>
      <c r="BO65" s="787">
        <v>0</v>
      </c>
      <c r="BP65" s="787">
        <v>0</v>
      </c>
      <c r="BQ65" s="787">
        <v>4918</v>
      </c>
      <c r="BR65" s="787">
        <v>0</v>
      </c>
      <c r="BS65" s="787">
        <v>4424.3</v>
      </c>
      <c r="BT65" s="787">
        <v>0</v>
      </c>
      <c r="BU65" s="787">
        <v>0</v>
      </c>
      <c r="BV65" s="787">
        <v>0</v>
      </c>
      <c r="BW65" s="787">
        <v>0</v>
      </c>
      <c r="BX65" s="787">
        <v>1950</v>
      </c>
      <c r="BY65" s="787">
        <v>0</v>
      </c>
      <c r="BZ65" s="787">
        <v>6374.3</v>
      </c>
      <c r="CA65" s="787">
        <v>17189.25</v>
      </c>
      <c r="CB65" s="787">
        <v>-1456.3000000000002</v>
      </c>
      <c r="CC65" s="787">
        <v>15732.95</v>
      </c>
      <c r="CD65" s="787">
        <v>0</v>
      </c>
      <c r="CE65" s="787">
        <v>0</v>
      </c>
      <c r="CF65" s="787">
        <v>0</v>
      </c>
      <c r="CG65" s="787">
        <v>0</v>
      </c>
      <c r="CH65" s="787">
        <v>0</v>
      </c>
      <c r="CI65" s="787">
        <v>0</v>
      </c>
      <c r="CJ65" s="787">
        <v>0</v>
      </c>
      <c r="CK65" s="787">
        <v>0</v>
      </c>
      <c r="CL65" s="787">
        <v>0</v>
      </c>
      <c r="CM65" s="787">
        <v>254814.27381459053</v>
      </c>
      <c r="CN65" s="787">
        <v>0</v>
      </c>
      <c r="CO65" s="787">
        <v>15732.95</v>
      </c>
      <c r="CP65" s="787">
        <v>0</v>
      </c>
      <c r="CQ65" s="787">
        <v>0</v>
      </c>
      <c r="CR65" s="787">
        <v>270547.22381459054</v>
      </c>
      <c r="CS65" s="787">
        <v>320001.17</v>
      </c>
      <c r="CT65" s="787">
        <v>0</v>
      </c>
      <c r="CU65" s="787">
        <v>0</v>
      </c>
      <c r="CV65" s="787">
        <v>320001.17</v>
      </c>
      <c r="CW65" s="787">
        <v>0</v>
      </c>
      <c r="CX65" s="787">
        <v>3422.23</v>
      </c>
      <c r="CY65" s="787">
        <v>831.86</v>
      </c>
      <c r="CZ65" s="787">
        <v>0</v>
      </c>
      <c r="DA65" s="787">
        <v>0</v>
      </c>
      <c r="DB65" s="787">
        <v>324255.25999999995</v>
      </c>
      <c r="DC65" s="787">
        <v>0</v>
      </c>
      <c r="DD65" s="787">
        <v>0</v>
      </c>
      <c r="DE65" s="787">
        <v>0</v>
      </c>
      <c r="DF65" s="787">
        <v>0</v>
      </c>
      <c r="DG65" s="787"/>
      <c r="DH65" s="787"/>
      <c r="DI65" s="787"/>
      <c r="DJ65" s="787">
        <v>0</v>
      </c>
      <c r="DK65" s="787">
        <v>0</v>
      </c>
      <c r="DL65" s="787">
        <v>1446</v>
      </c>
      <c r="DM65" s="787">
        <v>0</v>
      </c>
      <c r="DN65" s="787">
        <v>0</v>
      </c>
      <c r="DO65" s="787">
        <v>0</v>
      </c>
      <c r="DP65" s="787">
        <v>-55153.919999999998</v>
      </c>
      <c r="DQ65" s="787">
        <v>0</v>
      </c>
      <c r="DR65" s="787">
        <v>0</v>
      </c>
      <c r="DS65" s="787">
        <v>0</v>
      </c>
      <c r="DT65" s="787">
        <v>-53707.92</v>
      </c>
      <c r="DU65" s="787">
        <v>0</v>
      </c>
      <c r="DV65" s="787">
        <v>0</v>
      </c>
      <c r="DW65" s="787">
        <v>0</v>
      </c>
      <c r="DX65" s="787">
        <v>0</v>
      </c>
      <c r="DY65" s="787">
        <v>0</v>
      </c>
      <c r="DZ65" s="787">
        <v>0</v>
      </c>
      <c r="EA65" s="787">
        <v>-0.11618540942436084</v>
      </c>
      <c r="EC65" s="788">
        <v>15732.95</v>
      </c>
      <c r="EE65">
        <f>_xlfn.XLOOKUP(C65,'[1]Cfwd Analysis'!$C:$C,'[1]Cfwd Analysis'!$I:$I,0,0)</f>
        <v>254814.27381459053</v>
      </c>
      <c r="EF65" s="788">
        <f t="shared" si="0"/>
        <v>0</v>
      </c>
    </row>
    <row r="66" spans="1:136" ht="15.6" hidden="1">
      <c r="A66" s="782" t="s">
        <v>1359</v>
      </c>
      <c r="B66" s="782" t="s">
        <v>646</v>
      </c>
      <c r="C66" s="783">
        <v>1022</v>
      </c>
      <c r="D66" s="784" t="s">
        <v>647</v>
      </c>
      <c r="E66" s="785" t="s">
        <v>521</v>
      </c>
      <c r="F66" s="786" t="s">
        <v>1322</v>
      </c>
      <c r="G66" s="785" t="s">
        <v>5</v>
      </c>
      <c r="H66" s="785" t="s">
        <v>658</v>
      </c>
      <c r="I66" s="787">
        <v>651662.36962430645</v>
      </c>
      <c r="J66" s="787">
        <v>0</v>
      </c>
      <c r="K66" s="787">
        <v>42695.173125577101</v>
      </c>
      <c r="L66" s="787">
        <v>0</v>
      </c>
      <c r="M66" s="787">
        <v>0</v>
      </c>
      <c r="N66" s="787">
        <v>856.93</v>
      </c>
      <c r="O66" s="787">
        <v>0</v>
      </c>
      <c r="P66" s="787">
        <v>0</v>
      </c>
      <c r="Q66" s="787">
        <v>50.6</v>
      </c>
      <c r="R66" s="787">
        <v>2780</v>
      </c>
      <c r="S66" s="787">
        <v>0</v>
      </c>
      <c r="T66" s="787">
        <v>0</v>
      </c>
      <c r="U66" s="787">
        <v>6286</v>
      </c>
      <c r="V66" s="787">
        <v>65995.3</v>
      </c>
      <c r="W66" s="787">
        <v>0</v>
      </c>
      <c r="X66" s="787">
        <v>770326.37274988368</v>
      </c>
      <c r="Y66" s="787">
        <v>214978.16</v>
      </c>
      <c r="Z66" s="787">
        <v>0</v>
      </c>
      <c r="AA66" s="787">
        <v>118745.48</v>
      </c>
      <c r="AB66" s="787">
        <v>0</v>
      </c>
      <c r="AC66" s="787">
        <v>35730.06</v>
      </c>
      <c r="AD66" s="787">
        <v>0</v>
      </c>
      <c r="AE66" s="787">
        <v>83072.41</v>
      </c>
      <c r="AF66" s="787">
        <v>1954.87</v>
      </c>
      <c r="AG66" s="787">
        <v>2353.14</v>
      </c>
      <c r="AH66" s="787">
        <v>0</v>
      </c>
      <c r="AI66" s="787">
        <v>0</v>
      </c>
      <c r="AJ66" s="787">
        <v>1179</v>
      </c>
      <c r="AK66" s="787">
        <v>3227.65</v>
      </c>
      <c r="AL66" s="787">
        <v>13983.07</v>
      </c>
      <c r="AM66" s="787">
        <v>1513.85</v>
      </c>
      <c r="AN66" s="787">
        <v>6142.76</v>
      </c>
      <c r="AO66" s="787">
        <v>0</v>
      </c>
      <c r="AP66" s="787">
        <v>16049.46</v>
      </c>
      <c r="AQ66" s="787">
        <v>16720.05</v>
      </c>
      <c r="AR66" s="787">
        <v>0</v>
      </c>
      <c r="AS66" s="787">
        <v>0</v>
      </c>
      <c r="AT66" s="787">
        <v>0</v>
      </c>
      <c r="AU66" s="787">
        <v>116.67</v>
      </c>
      <c r="AV66" s="787">
        <v>0</v>
      </c>
      <c r="AW66" s="787">
        <v>0</v>
      </c>
      <c r="AX66" s="787">
        <v>0</v>
      </c>
      <c r="AY66" s="787">
        <v>0</v>
      </c>
      <c r="AZ66" s="787">
        <v>2959.04</v>
      </c>
      <c r="BA66" s="787">
        <v>3291.75</v>
      </c>
      <c r="BB66" s="787">
        <v>0</v>
      </c>
      <c r="BC66" s="787">
        <v>1664.39</v>
      </c>
      <c r="BD66" s="787">
        <v>77472.13</v>
      </c>
      <c r="BE66" s="787">
        <v>0</v>
      </c>
      <c r="BF66" s="787">
        <v>56328</v>
      </c>
      <c r="BG66" s="787">
        <v>0</v>
      </c>
      <c r="BH66" s="787">
        <v>0</v>
      </c>
      <c r="BI66" s="787">
        <v>0</v>
      </c>
      <c r="BJ66" s="787">
        <v>657481.93999999994</v>
      </c>
      <c r="BK66" s="787">
        <v>349107.07999999984</v>
      </c>
      <c r="BL66" s="787">
        <v>112844.43274988374</v>
      </c>
      <c r="BM66" s="787">
        <v>461951.51274988358</v>
      </c>
      <c r="BN66" s="787">
        <v>4708.75</v>
      </c>
      <c r="BO66" s="787">
        <v>0</v>
      </c>
      <c r="BP66" s="787">
        <v>0</v>
      </c>
      <c r="BQ66" s="787">
        <v>4708.75</v>
      </c>
      <c r="BR66" s="787">
        <v>0</v>
      </c>
      <c r="BS66" s="787">
        <v>0</v>
      </c>
      <c r="BT66" s="787">
        <v>0</v>
      </c>
      <c r="BU66" s="787">
        <v>0</v>
      </c>
      <c r="BV66" s="787">
        <v>0</v>
      </c>
      <c r="BW66" s="787">
        <v>0</v>
      </c>
      <c r="BX66" s="787">
        <v>0</v>
      </c>
      <c r="BY66" s="787">
        <v>0</v>
      </c>
      <c r="BZ66" s="787">
        <v>0</v>
      </c>
      <c r="CA66" s="787">
        <v>11925.339999999997</v>
      </c>
      <c r="CB66" s="787">
        <v>4708.75</v>
      </c>
      <c r="CC66" s="787">
        <v>16634.089999999997</v>
      </c>
      <c r="CD66" s="787">
        <v>0</v>
      </c>
      <c r="CE66" s="787">
        <v>0</v>
      </c>
      <c r="CF66" s="787">
        <v>0</v>
      </c>
      <c r="CG66" s="787">
        <v>0</v>
      </c>
      <c r="CH66" s="787">
        <v>0</v>
      </c>
      <c r="CI66" s="787">
        <v>0</v>
      </c>
      <c r="CJ66" s="787">
        <v>0</v>
      </c>
      <c r="CK66" s="787">
        <v>0</v>
      </c>
      <c r="CL66" s="787">
        <v>0</v>
      </c>
      <c r="CM66" s="787">
        <v>461951.51274988358</v>
      </c>
      <c r="CN66" s="787">
        <v>0</v>
      </c>
      <c r="CO66" s="787">
        <v>16634</v>
      </c>
      <c r="CP66" s="787">
        <v>8.999999999650754E-2</v>
      </c>
      <c r="CQ66" s="787">
        <v>0</v>
      </c>
      <c r="CR66" s="787">
        <v>478585.60274988355</v>
      </c>
      <c r="CS66" s="787">
        <v>517442.54</v>
      </c>
      <c r="CT66" s="787">
        <v>7220.18</v>
      </c>
      <c r="CU66" s="787">
        <v>2483.33</v>
      </c>
      <c r="CV66" s="787">
        <v>512705.69</v>
      </c>
      <c r="CW66" s="787">
        <v>0</v>
      </c>
      <c r="CX66" s="787">
        <v>1435.08</v>
      </c>
      <c r="CY66" s="787">
        <v>992.36</v>
      </c>
      <c r="CZ66" s="787">
        <v>0</v>
      </c>
      <c r="DA66" s="787">
        <v>0</v>
      </c>
      <c r="DB66" s="787">
        <v>515133.13</v>
      </c>
      <c r="DC66" s="787">
        <v>0</v>
      </c>
      <c r="DD66" s="787">
        <v>0</v>
      </c>
      <c r="DE66" s="787">
        <v>0</v>
      </c>
      <c r="DF66" s="787">
        <v>0</v>
      </c>
      <c r="DG66" s="787"/>
      <c r="DH66" s="787"/>
      <c r="DI66" s="787"/>
      <c r="DJ66" s="787">
        <v>0</v>
      </c>
      <c r="DK66" s="787">
        <v>0</v>
      </c>
      <c r="DL66" s="787">
        <v>0</v>
      </c>
      <c r="DM66" s="787">
        <v>0</v>
      </c>
      <c r="DN66" s="787">
        <v>0</v>
      </c>
      <c r="DO66" s="787">
        <v>0</v>
      </c>
      <c r="DP66" s="787">
        <v>0</v>
      </c>
      <c r="DQ66" s="787">
        <v>0</v>
      </c>
      <c r="DR66" s="787">
        <v>0</v>
      </c>
      <c r="DS66" s="787">
        <v>0</v>
      </c>
      <c r="DT66" s="787">
        <v>0</v>
      </c>
      <c r="DU66" s="787">
        <v>0</v>
      </c>
      <c r="DV66" s="787">
        <v>0</v>
      </c>
      <c r="DW66" s="787">
        <v>0</v>
      </c>
      <c r="DX66" s="787">
        <v>0</v>
      </c>
      <c r="DY66" s="787">
        <v>0</v>
      </c>
      <c r="DZ66" s="787">
        <v>-36547.910000000003</v>
      </c>
      <c r="EA66" s="787">
        <v>0.38274988357443362</v>
      </c>
      <c r="EE66">
        <f>_xlfn.XLOOKUP(C66,'[1]Cfwd Analysis'!$C:$C,'[1]Cfwd Analysis'!$I:$I,0,0)</f>
        <v>461951.51274988358</v>
      </c>
      <c r="EF66" s="788">
        <f t="shared" si="0"/>
        <v>0</v>
      </c>
    </row>
    <row r="67" spans="1:136" ht="15.6" hidden="1">
      <c r="A67" s="782" t="s">
        <v>1360</v>
      </c>
      <c r="B67" s="782" t="s">
        <v>648</v>
      </c>
      <c r="C67" s="783">
        <v>2087</v>
      </c>
      <c r="D67" s="784" t="s">
        <v>649</v>
      </c>
      <c r="E67" s="785" t="s">
        <v>521</v>
      </c>
      <c r="F67" s="786">
        <v>46094</v>
      </c>
      <c r="G67" s="785" t="s">
        <v>5</v>
      </c>
      <c r="H67" s="785" t="s">
        <v>660</v>
      </c>
      <c r="I67" s="787">
        <v>2185131.2484113569</v>
      </c>
      <c r="J67" s="787">
        <v>0</v>
      </c>
      <c r="K67" s="787">
        <v>161355.87333333332</v>
      </c>
      <c r="L67" s="787">
        <v>0</v>
      </c>
      <c r="M67" s="787">
        <v>283305</v>
      </c>
      <c r="N67" s="787">
        <v>46082</v>
      </c>
      <c r="O67" s="787">
        <v>0</v>
      </c>
      <c r="P67" s="787">
        <v>0</v>
      </c>
      <c r="Q67" s="787">
        <v>71517.578795000067</v>
      </c>
      <c r="R67" s="787">
        <v>0</v>
      </c>
      <c r="S67" s="787">
        <v>0</v>
      </c>
      <c r="T67" s="787">
        <v>0</v>
      </c>
      <c r="U67" s="787">
        <v>5902</v>
      </c>
      <c r="V67" s="787">
        <v>1057.79</v>
      </c>
      <c r="W67" s="787">
        <v>0</v>
      </c>
      <c r="X67" s="787">
        <v>2754351.4905396905</v>
      </c>
      <c r="Y67" s="787">
        <v>1258504.3999999999</v>
      </c>
      <c r="Z67" s="787">
        <v>0</v>
      </c>
      <c r="AA67" s="787">
        <v>572946.37</v>
      </c>
      <c r="AB67" s="787">
        <v>52344.649999999994</v>
      </c>
      <c r="AC67" s="787">
        <v>61933.14</v>
      </c>
      <c r="AD67" s="787">
        <v>0</v>
      </c>
      <c r="AE67" s="787">
        <v>75215.040000000008</v>
      </c>
      <c r="AF67" s="787">
        <v>4821</v>
      </c>
      <c r="AG67" s="787">
        <v>35</v>
      </c>
      <c r="AH67" s="787">
        <v>0</v>
      </c>
      <c r="AI67" s="787">
        <v>0</v>
      </c>
      <c r="AJ67" s="787">
        <v>37068.089999999997</v>
      </c>
      <c r="AK67" s="787">
        <v>4383.84</v>
      </c>
      <c r="AL67" s="787">
        <v>4140.21</v>
      </c>
      <c r="AM67" s="787">
        <v>11872.32</v>
      </c>
      <c r="AN67" s="787">
        <v>36332.11</v>
      </c>
      <c r="AO67" s="787">
        <v>25826.990000000009</v>
      </c>
      <c r="AP67" s="787">
        <v>14000.95</v>
      </c>
      <c r="AQ67" s="787">
        <v>60151.29</v>
      </c>
      <c r="AR67" s="787">
        <v>0</v>
      </c>
      <c r="AS67" s="787">
        <v>0</v>
      </c>
      <c r="AT67" s="787">
        <v>0</v>
      </c>
      <c r="AU67" s="787">
        <v>0</v>
      </c>
      <c r="AV67" s="787">
        <v>0</v>
      </c>
      <c r="AW67" s="787">
        <v>0</v>
      </c>
      <c r="AX67" s="787">
        <v>0</v>
      </c>
      <c r="AY67" s="787">
        <v>0</v>
      </c>
      <c r="AZ67" s="787">
        <v>8611.44</v>
      </c>
      <c r="BA67" s="787">
        <v>9471</v>
      </c>
      <c r="BB67" s="787">
        <v>5730</v>
      </c>
      <c r="BC67" s="787">
        <v>214062.25</v>
      </c>
      <c r="BD67" s="787">
        <v>68004.33</v>
      </c>
      <c r="BE67" s="787">
        <v>9577.880000000001</v>
      </c>
      <c r="BF67" s="787">
        <v>85709.5</v>
      </c>
      <c r="BG67" s="787">
        <v>0</v>
      </c>
      <c r="BH67" s="787">
        <v>0</v>
      </c>
      <c r="BI67" s="787">
        <v>0</v>
      </c>
      <c r="BJ67" s="787">
        <v>2620741.8000000003</v>
      </c>
      <c r="BK67" s="787">
        <v>279576.97000000236</v>
      </c>
      <c r="BL67" s="787">
        <v>133609.6905396902</v>
      </c>
      <c r="BM67" s="787">
        <v>413186.66053969256</v>
      </c>
      <c r="BN67" s="787">
        <v>8106.25</v>
      </c>
      <c r="BO67" s="787">
        <v>0</v>
      </c>
      <c r="BP67" s="787">
        <v>0</v>
      </c>
      <c r="BQ67" s="787">
        <v>8106.25</v>
      </c>
      <c r="BR67" s="787">
        <v>0</v>
      </c>
      <c r="BS67" s="787">
        <v>0</v>
      </c>
      <c r="BT67" s="787">
        <v>0</v>
      </c>
      <c r="BU67" s="787">
        <v>0</v>
      </c>
      <c r="BV67" s="787">
        <v>0</v>
      </c>
      <c r="BW67" s="787">
        <v>0</v>
      </c>
      <c r="BX67" s="787">
        <v>0</v>
      </c>
      <c r="BY67" s="787">
        <v>0</v>
      </c>
      <c r="BZ67" s="787">
        <v>0</v>
      </c>
      <c r="CA67" s="787">
        <v>2706.8199999999997</v>
      </c>
      <c r="CB67" s="787">
        <v>8106.25</v>
      </c>
      <c r="CC67" s="787">
        <v>10813.07</v>
      </c>
      <c r="CD67" s="787">
        <v>0</v>
      </c>
      <c r="CE67" s="787">
        <v>0</v>
      </c>
      <c r="CF67" s="787">
        <v>0</v>
      </c>
      <c r="CG67" s="787">
        <v>0</v>
      </c>
      <c r="CH67" s="787">
        <v>0</v>
      </c>
      <c r="CI67" s="787">
        <v>0</v>
      </c>
      <c r="CJ67" s="787">
        <v>0</v>
      </c>
      <c r="CK67" s="787">
        <v>0</v>
      </c>
      <c r="CL67" s="787">
        <v>0</v>
      </c>
      <c r="CM67" s="787">
        <v>413186.66053969256</v>
      </c>
      <c r="CN67" s="787">
        <v>0</v>
      </c>
      <c r="CO67" s="787">
        <v>10813</v>
      </c>
      <c r="CP67" s="787">
        <v>6.9999999999708962E-2</v>
      </c>
      <c r="CQ67" s="787">
        <v>0</v>
      </c>
      <c r="CR67" s="787">
        <v>423999.73053969257</v>
      </c>
      <c r="CS67" s="787">
        <v>625598.97</v>
      </c>
      <c r="CT67" s="787">
        <v>0</v>
      </c>
      <c r="CU67" s="787">
        <v>0</v>
      </c>
      <c r="CV67" s="787">
        <v>625598.97</v>
      </c>
      <c r="CW67" s="787">
        <v>0</v>
      </c>
      <c r="CX67" s="787">
        <v>6999.12</v>
      </c>
      <c r="CY67" s="787">
        <v>1096.1500000000001</v>
      </c>
      <c r="CZ67" s="787">
        <v>0</v>
      </c>
      <c r="DA67" s="787">
        <v>0</v>
      </c>
      <c r="DB67" s="787">
        <v>633694.24</v>
      </c>
      <c r="DC67" s="787">
        <v>0</v>
      </c>
      <c r="DD67" s="787">
        <v>0</v>
      </c>
      <c r="DE67" s="787">
        <v>0</v>
      </c>
      <c r="DF67" s="787">
        <v>0</v>
      </c>
      <c r="DG67" s="787"/>
      <c r="DH67" s="787"/>
      <c r="DI67" s="787"/>
      <c r="DJ67" s="787">
        <v>0</v>
      </c>
      <c r="DK67" s="787">
        <v>0</v>
      </c>
      <c r="DL67" s="787">
        <v>0</v>
      </c>
      <c r="DM67" s="787">
        <v>0</v>
      </c>
      <c r="DN67" s="787">
        <v>0</v>
      </c>
      <c r="DO67" s="787">
        <v>0</v>
      </c>
      <c r="DP67" s="787">
        <v>-167003.65</v>
      </c>
      <c r="DQ67" s="787">
        <v>-42690.52</v>
      </c>
      <c r="DR67" s="787">
        <v>0</v>
      </c>
      <c r="DS67" s="787">
        <v>0</v>
      </c>
      <c r="DT67" s="787">
        <v>-209694.16999999998</v>
      </c>
      <c r="DU67" s="787">
        <v>0</v>
      </c>
      <c r="DV67" s="787">
        <v>0</v>
      </c>
      <c r="DW67" s="787">
        <v>0</v>
      </c>
      <c r="DX67" s="787">
        <v>0</v>
      </c>
      <c r="DY67" s="787">
        <v>0</v>
      </c>
      <c r="DZ67" s="787">
        <v>0</v>
      </c>
      <c r="EA67" s="787">
        <v>-0.33946030744118616</v>
      </c>
      <c r="EE67">
        <f>_xlfn.XLOOKUP(C67,'[1]Cfwd Analysis'!$C:$C,'[1]Cfwd Analysis'!$I:$I,0,0)</f>
        <v>413186.66053969256</v>
      </c>
      <c r="EF67" s="788">
        <f t="shared" si="0"/>
        <v>0</v>
      </c>
    </row>
    <row r="68" spans="1:136" ht="15.6" hidden="1">
      <c r="A68" s="782" t="s">
        <v>1361</v>
      </c>
      <c r="B68" s="782" t="s">
        <v>650</v>
      </c>
      <c r="C68" s="783">
        <v>2466</v>
      </c>
      <c r="D68" s="784" t="s">
        <v>651</v>
      </c>
      <c r="E68" s="785" t="s">
        <v>521</v>
      </c>
      <c r="F68" s="786">
        <v>46090</v>
      </c>
      <c r="G68" s="785" t="s">
        <v>5</v>
      </c>
      <c r="H68" s="785" t="s">
        <v>662</v>
      </c>
      <c r="I68" s="787">
        <v>3934757.7949291272</v>
      </c>
      <c r="J68" s="787">
        <v>0</v>
      </c>
      <c r="K68" s="787">
        <v>148548.47666666665</v>
      </c>
      <c r="L68" s="787">
        <v>0</v>
      </c>
      <c r="M68" s="787">
        <v>489945</v>
      </c>
      <c r="N68" s="787">
        <v>76644.72</v>
      </c>
      <c r="O68" s="787">
        <v>0</v>
      </c>
      <c r="P68" s="787">
        <v>0</v>
      </c>
      <c r="Q68" s="787">
        <v>77001.332849999992</v>
      </c>
      <c r="R68" s="787">
        <v>0</v>
      </c>
      <c r="S68" s="787">
        <v>0</v>
      </c>
      <c r="T68" s="787">
        <v>0</v>
      </c>
      <c r="U68" s="787">
        <v>8815.9</v>
      </c>
      <c r="V68" s="787">
        <v>24721.88</v>
      </c>
      <c r="W68" s="787">
        <v>0</v>
      </c>
      <c r="X68" s="787">
        <v>4760435.1044457937</v>
      </c>
      <c r="Y68" s="787">
        <v>2007061.08</v>
      </c>
      <c r="Z68" s="787">
        <v>0</v>
      </c>
      <c r="AA68" s="787">
        <v>496307.96</v>
      </c>
      <c r="AB68" s="787">
        <v>225168.78</v>
      </c>
      <c r="AC68" s="787">
        <v>174153.18</v>
      </c>
      <c r="AD68" s="787">
        <v>173177.73</v>
      </c>
      <c r="AE68" s="787">
        <v>174861.67</v>
      </c>
      <c r="AF68" s="787">
        <v>3281.12</v>
      </c>
      <c r="AG68" s="787">
        <v>2815.86</v>
      </c>
      <c r="AH68" s="787">
        <v>0</v>
      </c>
      <c r="AI68" s="787">
        <v>0</v>
      </c>
      <c r="AJ68" s="787">
        <v>190033.3</v>
      </c>
      <c r="AK68" s="787">
        <v>2417.0500000000002</v>
      </c>
      <c r="AL68" s="787">
        <v>16936.560000000001</v>
      </c>
      <c r="AM68" s="787">
        <v>21920.46</v>
      </c>
      <c r="AN68" s="787">
        <v>93938.17</v>
      </c>
      <c r="AO68" s="787">
        <v>30739.81</v>
      </c>
      <c r="AP68" s="787">
        <v>54821.85</v>
      </c>
      <c r="AQ68" s="787">
        <v>157906.86000000002</v>
      </c>
      <c r="AR68" s="787">
        <v>0</v>
      </c>
      <c r="AS68" s="787">
        <v>0</v>
      </c>
      <c r="AT68" s="787">
        <v>28910.68</v>
      </c>
      <c r="AU68" s="787">
        <v>0</v>
      </c>
      <c r="AV68" s="787">
        <v>22827.52</v>
      </c>
      <c r="AW68" s="787">
        <v>4308</v>
      </c>
      <c r="AX68" s="787">
        <v>0</v>
      </c>
      <c r="AY68" s="787">
        <v>0</v>
      </c>
      <c r="AZ68" s="787">
        <v>50221.71</v>
      </c>
      <c r="BA68" s="787">
        <v>18745.650000000001</v>
      </c>
      <c r="BB68" s="787">
        <v>28068</v>
      </c>
      <c r="BC68" s="787">
        <v>188187.41999999998</v>
      </c>
      <c r="BD68" s="787">
        <v>200871.21</v>
      </c>
      <c r="BE68" s="787">
        <v>69126.559999999998</v>
      </c>
      <c r="BF68" s="787">
        <v>376992.05</v>
      </c>
      <c r="BG68" s="787">
        <v>0</v>
      </c>
      <c r="BH68" s="787">
        <v>0</v>
      </c>
      <c r="BI68" s="787">
        <v>0</v>
      </c>
      <c r="BJ68" s="787">
        <v>4813800.2399999993</v>
      </c>
      <c r="BK68" s="787">
        <v>956483.09999999963</v>
      </c>
      <c r="BL68" s="787">
        <v>-53365.135554205626</v>
      </c>
      <c r="BM68" s="787">
        <v>903117.964445794</v>
      </c>
      <c r="BN68" s="787">
        <v>11222.5</v>
      </c>
      <c r="BO68" s="787">
        <v>0</v>
      </c>
      <c r="BP68" s="787">
        <v>0</v>
      </c>
      <c r="BQ68" s="787">
        <v>11222.5</v>
      </c>
      <c r="BR68" s="787">
        <v>0</v>
      </c>
      <c r="BS68" s="787">
        <v>1400</v>
      </c>
      <c r="BT68" s="787">
        <v>0</v>
      </c>
      <c r="BU68" s="787">
        <v>0</v>
      </c>
      <c r="BV68" s="787">
        <v>0</v>
      </c>
      <c r="BW68" s="787">
        <v>0</v>
      </c>
      <c r="BX68" s="787">
        <v>0</v>
      </c>
      <c r="BY68" s="787">
        <v>0</v>
      </c>
      <c r="BZ68" s="787">
        <v>1400</v>
      </c>
      <c r="CA68" s="787">
        <v>13781.5</v>
      </c>
      <c r="CB68" s="787">
        <v>9822.5</v>
      </c>
      <c r="CC68" s="787">
        <v>23604</v>
      </c>
      <c r="CD68" s="787">
        <v>0</v>
      </c>
      <c r="CE68" s="787">
        <v>0</v>
      </c>
      <c r="CF68" s="787">
        <v>0</v>
      </c>
      <c r="CG68" s="787">
        <v>0</v>
      </c>
      <c r="CH68" s="787">
        <v>0</v>
      </c>
      <c r="CI68" s="787">
        <v>0</v>
      </c>
      <c r="CJ68" s="787">
        <v>0</v>
      </c>
      <c r="CK68" s="787">
        <v>0</v>
      </c>
      <c r="CL68" s="787">
        <v>0</v>
      </c>
      <c r="CM68" s="787">
        <v>903117.964445794</v>
      </c>
      <c r="CN68" s="787">
        <v>0</v>
      </c>
      <c r="CO68" s="787">
        <v>23604</v>
      </c>
      <c r="CP68" s="787">
        <v>0</v>
      </c>
      <c r="CQ68" s="787">
        <v>0</v>
      </c>
      <c r="CR68" s="787">
        <v>926721.964445794</v>
      </c>
      <c r="CS68" s="787">
        <v>1488411.59</v>
      </c>
      <c r="CT68" s="787">
        <v>39707.279999999999</v>
      </c>
      <c r="CU68" s="787">
        <v>652.80999999999995</v>
      </c>
      <c r="CV68" s="787">
        <v>1449357.12</v>
      </c>
      <c r="CW68" s="787">
        <v>0</v>
      </c>
      <c r="CX68" s="787">
        <v>18740.71</v>
      </c>
      <c r="CY68" s="787">
        <v>7919.03</v>
      </c>
      <c r="CZ68" s="787">
        <v>0</v>
      </c>
      <c r="DA68" s="787">
        <v>0</v>
      </c>
      <c r="DB68" s="787">
        <v>1476016.86</v>
      </c>
      <c r="DC68" s="787">
        <v>0</v>
      </c>
      <c r="DD68" s="787">
        <v>0</v>
      </c>
      <c r="DE68" s="787">
        <v>0</v>
      </c>
      <c r="DF68" s="787">
        <v>0</v>
      </c>
      <c r="DG68" s="787"/>
      <c r="DH68" s="787"/>
      <c r="DI68" s="787"/>
      <c r="DJ68" s="787">
        <v>0</v>
      </c>
      <c r="DK68" s="787">
        <v>0</v>
      </c>
      <c r="DL68" s="787">
        <v>0</v>
      </c>
      <c r="DM68" s="787">
        <v>0</v>
      </c>
      <c r="DN68" s="787">
        <v>0</v>
      </c>
      <c r="DO68" s="787">
        <v>0</v>
      </c>
      <c r="DP68" s="787">
        <v>-377358.96</v>
      </c>
      <c r="DQ68" s="787">
        <v>-113202.66</v>
      </c>
      <c r="DR68" s="787">
        <v>0</v>
      </c>
      <c r="DS68" s="787">
        <v>0</v>
      </c>
      <c r="DT68" s="787">
        <v>-490561.62</v>
      </c>
      <c r="DU68" s="787">
        <v>0</v>
      </c>
      <c r="DV68" s="787">
        <v>0</v>
      </c>
      <c r="DW68" s="787">
        <v>-58733</v>
      </c>
      <c r="DX68" s="787">
        <v>0</v>
      </c>
      <c r="DY68" s="787">
        <v>0</v>
      </c>
      <c r="DZ68" s="787">
        <v>0</v>
      </c>
      <c r="EA68" s="787">
        <v>-0.27555420610588044</v>
      </c>
      <c r="EE68">
        <f>_xlfn.XLOOKUP(C68,'[1]Cfwd Analysis'!$C:$C,'[1]Cfwd Analysis'!$I:$I,0,0)</f>
        <v>903117.964445794</v>
      </c>
      <c r="EF68" s="788">
        <f t="shared" si="0"/>
        <v>0</v>
      </c>
    </row>
    <row r="69" spans="1:136" ht="15.6" hidden="1">
      <c r="A69" s="782" t="s">
        <v>1362</v>
      </c>
      <c r="B69" s="782" t="s">
        <v>888</v>
      </c>
      <c r="C69" s="783">
        <v>2091</v>
      </c>
      <c r="D69" s="784" t="s">
        <v>889</v>
      </c>
      <c r="E69" s="785" t="s">
        <v>521</v>
      </c>
      <c r="F69" s="786">
        <v>46094</v>
      </c>
      <c r="G69" s="785" t="s">
        <v>5</v>
      </c>
      <c r="H69" s="785" t="s">
        <v>866</v>
      </c>
      <c r="I69" s="787">
        <v>1229242.6831729088</v>
      </c>
      <c r="J69" s="787">
        <v>0</v>
      </c>
      <c r="K69" s="787">
        <v>325275.65333333332</v>
      </c>
      <c r="L69" s="787">
        <v>0</v>
      </c>
      <c r="M69" s="787">
        <v>146480</v>
      </c>
      <c r="N69" s="787">
        <v>36846.86</v>
      </c>
      <c r="O69" s="787">
        <v>5688</v>
      </c>
      <c r="P69" s="787">
        <v>34013.800000000003</v>
      </c>
      <c r="Q69" s="787">
        <v>12045.14</v>
      </c>
      <c r="R69" s="787">
        <v>26343.1</v>
      </c>
      <c r="S69" s="787">
        <v>0</v>
      </c>
      <c r="T69" s="787">
        <v>0</v>
      </c>
      <c r="U69" s="787">
        <v>3932.42</v>
      </c>
      <c r="V69" s="787">
        <v>1192.8499999999999</v>
      </c>
      <c r="W69" s="787">
        <v>0</v>
      </c>
      <c r="X69" s="787">
        <v>1821060.5065062423</v>
      </c>
      <c r="Y69" s="787">
        <v>793369.97</v>
      </c>
      <c r="Z69" s="787">
        <v>0</v>
      </c>
      <c r="AA69" s="787">
        <v>416801.36</v>
      </c>
      <c r="AB69" s="787">
        <v>54743.773999999998</v>
      </c>
      <c r="AC69" s="787">
        <v>109740.47</v>
      </c>
      <c r="AD69" s="787">
        <v>8405.07</v>
      </c>
      <c r="AE69" s="787">
        <v>41425.699999999997</v>
      </c>
      <c r="AF69" s="787">
        <v>3842</v>
      </c>
      <c r="AG69" s="787">
        <v>3175.73</v>
      </c>
      <c r="AH69" s="787">
        <v>0</v>
      </c>
      <c r="AI69" s="787">
        <v>0</v>
      </c>
      <c r="AJ69" s="787">
        <v>12904.7</v>
      </c>
      <c r="AK69" s="787">
        <v>107.22</v>
      </c>
      <c r="AL69" s="787">
        <v>23828.84</v>
      </c>
      <c r="AM69" s="787">
        <v>12087.12</v>
      </c>
      <c r="AN69" s="787">
        <v>58734.649999999994</v>
      </c>
      <c r="AO69" s="787">
        <v>16916.68</v>
      </c>
      <c r="AP69" s="787">
        <v>15714.150000000001</v>
      </c>
      <c r="AQ69" s="787">
        <v>43295</v>
      </c>
      <c r="AR69" s="787">
        <v>13042</v>
      </c>
      <c r="AS69" s="787">
        <v>0</v>
      </c>
      <c r="AT69" s="787">
        <v>4401.3100000000004</v>
      </c>
      <c r="AU69" s="787">
        <v>13425.800000000001</v>
      </c>
      <c r="AV69" s="787">
        <v>295</v>
      </c>
      <c r="AW69" s="787">
        <v>3449</v>
      </c>
      <c r="AX69" s="787">
        <v>6075</v>
      </c>
      <c r="AY69" s="787">
        <v>0</v>
      </c>
      <c r="AZ69" s="787">
        <v>15178.140000000001</v>
      </c>
      <c r="BA69" s="787">
        <v>5139.75</v>
      </c>
      <c r="BB69" s="787">
        <v>1331</v>
      </c>
      <c r="BC69" s="787">
        <v>69597.14</v>
      </c>
      <c r="BD69" s="787">
        <v>37702</v>
      </c>
      <c r="BE69" s="787">
        <v>71000.88</v>
      </c>
      <c r="BF69" s="787">
        <v>18408</v>
      </c>
      <c r="BG69" s="787">
        <v>0</v>
      </c>
      <c r="BH69" s="787">
        <v>0</v>
      </c>
      <c r="BI69" s="787">
        <v>0</v>
      </c>
      <c r="BJ69" s="787">
        <v>1874137.4539999999</v>
      </c>
      <c r="BK69" s="787">
        <v>-649714.38999999873</v>
      </c>
      <c r="BL69" s="787">
        <v>-53076.947493757587</v>
      </c>
      <c r="BM69" s="787">
        <v>-702791.33749375632</v>
      </c>
      <c r="BN69" s="787">
        <v>6120.63</v>
      </c>
      <c r="BO69" s="787">
        <v>0</v>
      </c>
      <c r="BP69" s="787">
        <v>0</v>
      </c>
      <c r="BQ69" s="787">
        <v>6120.63</v>
      </c>
      <c r="BR69" s="787">
        <v>0</v>
      </c>
      <c r="BS69" s="787">
        <v>0</v>
      </c>
      <c r="BT69" s="787">
        <v>0</v>
      </c>
      <c r="BU69" s="787">
        <v>0</v>
      </c>
      <c r="BV69" s="787">
        <v>4176</v>
      </c>
      <c r="BW69" s="787">
        <v>0</v>
      </c>
      <c r="BX69" s="787">
        <v>0</v>
      </c>
      <c r="BY69" s="787">
        <v>0</v>
      </c>
      <c r="BZ69" s="787">
        <v>4176</v>
      </c>
      <c r="CA69" s="787">
        <v>6098.13</v>
      </c>
      <c r="CB69" s="787">
        <v>1944.63</v>
      </c>
      <c r="CC69" s="787">
        <v>8042.76</v>
      </c>
      <c r="CD69" s="787">
        <v>0</v>
      </c>
      <c r="CE69" s="787">
        <v>0</v>
      </c>
      <c r="CF69" s="787">
        <v>0</v>
      </c>
      <c r="CG69" s="787">
        <v>0</v>
      </c>
      <c r="CH69" s="787">
        <v>0</v>
      </c>
      <c r="CI69" s="787">
        <v>0</v>
      </c>
      <c r="CJ69" s="787">
        <v>0</v>
      </c>
      <c r="CK69" s="787">
        <v>0</v>
      </c>
      <c r="CL69" s="787">
        <v>0</v>
      </c>
      <c r="CM69" s="787">
        <v>0</v>
      </c>
      <c r="CN69" s="787">
        <v>-702791.33749375632</v>
      </c>
      <c r="CO69" s="787">
        <v>8042.76</v>
      </c>
      <c r="CP69" s="787">
        <v>0</v>
      </c>
      <c r="CQ69" s="787">
        <v>0</v>
      </c>
      <c r="CR69" s="787">
        <v>-694748.57749375631</v>
      </c>
      <c r="CS69" s="787">
        <v>137453.35</v>
      </c>
      <c r="CT69" s="787">
        <v>0</v>
      </c>
      <c r="CU69" s="787">
        <v>0</v>
      </c>
      <c r="CV69" s="787">
        <v>137453.35</v>
      </c>
      <c r="CW69" s="787">
        <v>1007</v>
      </c>
      <c r="CX69" s="787">
        <v>4634.17</v>
      </c>
      <c r="CY69" s="787">
        <v>2220.8000000000002</v>
      </c>
      <c r="CZ69" s="787">
        <v>3798.03</v>
      </c>
      <c r="DA69" s="787">
        <v>0</v>
      </c>
      <c r="DB69" s="787">
        <v>149113.35</v>
      </c>
      <c r="DC69" s="787">
        <v>0</v>
      </c>
      <c r="DD69" s="787">
        <v>0</v>
      </c>
      <c r="DE69" s="787">
        <v>0</v>
      </c>
      <c r="DF69" s="787">
        <v>0</v>
      </c>
      <c r="DG69" s="787"/>
      <c r="DH69" s="787"/>
      <c r="DI69" s="787"/>
      <c r="DJ69" s="787">
        <v>0</v>
      </c>
      <c r="DK69" s="787">
        <v>0</v>
      </c>
      <c r="DL69" s="787">
        <v>29303.73</v>
      </c>
      <c r="DM69" s="787">
        <v>0</v>
      </c>
      <c r="DN69" s="787">
        <v>0</v>
      </c>
      <c r="DO69" s="787">
        <v>0</v>
      </c>
      <c r="DP69" s="787">
        <v>-148468.78</v>
      </c>
      <c r="DQ69" s="787">
        <v>-2752.64</v>
      </c>
      <c r="DR69" s="787">
        <v>0</v>
      </c>
      <c r="DS69" s="787">
        <v>0</v>
      </c>
      <c r="DT69" s="787">
        <v>-121917.69</v>
      </c>
      <c r="DU69" s="787">
        <v>264</v>
      </c>
      <c r="DV69" s="787">
        <v>0</v>
      </c>
      <c r="DW69" s="787">
        <v>-1803</v>
      </c>
      <c r="DX69" s="787">
        <v>-695141</v>
      </c>
      <c r="DY69" s="787">
        <v>0</v>
      </c>
      <c r="DZ69" s="787">
        <v>-25264.23</v>
      </c>
      <c r="EA69" s="787">
        <v>-7.4937563622370362E-3</v>
      </c>
      <c r="EC69" s="788">
        <v>8042.76</v>
      </c>
      <c r="EE69">
        <f>_xlfn.XLOOKUP(C69,'[1]Cfwd Analysis'!$C:$C,'[1]Cfwd Analysis'!$I:$I,0,0)</f>
        <v>-702791.33749375632</v>
      </c>
      <c r="EF69" s="788">
        <f t="shared" si="0"/>
        <v>0</v>
      </c>
    </row>
    <row r="70" spans="1:136" ht="15.6" hidden="1">
      <c r="A70" s="782" t="s">
        <v>1363</v>
      </c>
      <c r="B70" s="782" t="s">
        <v>652</v>
      </c>
      <c r="C70" s="783">
        <v>2093</v>
      </c>
      <c r="D70" s="784" t="s">
        <v>653</v>
      </c>
      <c r="E70" s="785" t="s">
        <v>521</v>
      </c>
      <c r="F70" s="786">
        <v>46094</v>
      </c>
      <c r="G70" s="785" t="s">
        <v>5</v>
      </c>
      <c r="H70" s="785" t="s">
        <v>664</v>
      </c>
      <c r="I70" s="787">
        <v>2151992.2934089005</v>
      </c>
      <c r="J70" s="787">
        <v>0</v>
      </c>
      <c r="K70" s="787">
        <v>225195.85666666666</v>
      </c>
      <c r="L70" s="787">
        <v>0</v>
      </c>
      <c r="M70" s="787">
        <v>112110</v>
      </c>
      <c r="N70" s="787">
        <v>170057.40000000002</v>
      </c>
      <c r="O70" s="787">
        <v>0</v>
      </c>
      <c r="P70" s="787">
        <v>0</v>
      </c>
      <c r="Q70" s="787">
        <v>76931.728719999985</v>
      </c>
      <c r="R70" s="787">
        <v>22294</v>
      </c>
      <c r="S70" s="787">
        <v>0</v>
      </c>
      <c r="T70" s="787">
        <v>0</v>
      </c>
      <c r="U70" s="787">
        <v>34930</v>
      </c>
      <c r="V70" s="787">
        <v>0</v>
      </c>
      <c r="W70" s="787">
        <v>0</v>
      </c>
      <c r="X70" s="787">
        <v>2793511.2787955669</v>
      </c>
      <c r="Y70" s="787">
        <v>1243661</v>
      </c>
      <c r="Z70" s="787">
        <v>255008</v>
      </c>
      <c r="AA70" s="787">
        <v>320702</v>
      </c>
      <c r="AB70" s="787">
        <v>85321</v>
      </c>
      <c r="AC70" s="787">
        <v>144642</v>
      </c>
      <c r="AD70" s="787">
        <v>0</v>
      </c>
      <c r="AE70" s="787">
        <v>74436</v>
      </c>
      <c r="AF70" s="787">
        <v>6694</v>
      </c>
      <c r="AG70" s="787">
        <v>8192</v>
      </c>
      <c r="AH70" s="787">
        <v>0</v>
      </c>
      <c r="AI70" s="787">
        <v>6191</v>
      </c>
      <c r="AJ70" s="787">
        <v>75879</v>
      </c>
      <c r="AK70" s="787">
        <v>4856</v>
      </c>
      <c r="AL70" s="787">
        <v>6265</v>
      </c>
      <c r="AM70" s="787">
        <v>21515</v>
      </c>
      <c r="AN70" s="787">
        <v>32599</v>
      </c>
      <c r="AO70" s="787">
        <v>19886.79</v>
      </c>
      <c r="AP70" s="787">
        <v>16316.12</v>
      </c>
      <c r="AQ70" s="787">
        <v>111621</v>
      </c>
      <c r="AR70" s="787">
        <v>5460</v>
      </c>
      <c r="AS70" s="787">
        <v>0</v>
      </c>
      <c r="AT70" s="787">
        <v>16584</v>
      </c>
      <c r="AU70" s="787">
        <v>22325</v>
      </c>
      <c r="AV70" s="787">
        <v>8464</v>
      </c>
      <c r="AW70" s="787">
        <v>0</v>
      </c>
      <c r="AX70" s="787">
        <v>14923</v>
      </c>
      <c r="AY70" s="787">
        <v>0</v>
      </c>
      <c r="AZ70" s="787">
        <v>16218.58</v>
      </c>
      <c r="BA70" s="787">
        <v>0</v>
      </c>
      <c r="BB70" s="787">
        <v>0</v>
      </c>
      <c r="BC70" s="787">
        <v>192657.47</v>
      </c>
      <c r="BD70" s="787">
        <v>0</v>
      </c>
      <c r="BE70" s="787">
        <v>59737.799999999996</v>
      </c>
      <c r="BF70" s="787">
        <v>23937</v>
      </c>
      <c r="BG70" s="787">
        <v>0</v>
      </c>
      <c r="BH70" s="787">
        <v>0</v>
      </c>
      <c r="BI70" s="787">
        <v>0</v>
      </c>
      <c r="BJ70" s="787">
        <v>2794091.7600000002</v>
      </c>
      <c r="BK70" s="787">
        <v>539039.51999999932</v>
      </c>
      <c r="BL70" s="787">
        <v>-580.48120443336666</v>
      </c>
      <c r="BM70" s="787">
        <v>538459.03879556595</v>
      </c>
      <c r="BN70" s="787">
        <v>8344.75</v>
      </c>
      <c r="BO70" s="787">
        <v>0</v>
      </c>
      <c r="BP70" s="787">
        <v>0</v>
      </c>
      <c r="BQ70" s="787">
        <v>8344.75</v>
      </c>
      <c r="BR70" s="787">
        <v>0</v>
      </c>
      <c r="BS70" s="787">
        <v>0</v>
      </c>
      <c r="BT70" s="787">
        <v>18545</v>
      </c>
      <c r="BU70" s="787">
        <v>0</v>
      </c>
      <c r="BV70" s="787">
        <v>0</v>
      </c>
      <c r="BW70" s="787">
        <v>0</v>
      </c>
      <c r="BX70" s="787">
        <v>7286</v>
      </c>
      <c r="BY70" s="787">
        <v>0</v>
      </c>
      <c r="BZ70" s="787">
        <v>25831</v>
      </c>
      <c r="CA70" s="787">
        <v>40509.479999999996</v>
      </c>
      <c r="CB70" s="787">
        <v>-17486.25</v>
      </c>
      <c r="CC70" s="787">
        <v>23023.229999999996</v>
      </c>
      <c r="CD70" s="787">
        <v>0</v>
      </c>
      <c r="CE70" s="787">
        <v>0</v>
      </c>
      <c r="CF70" s="787">
        <v>0</v>
      </c>
      <c r="CG70" s="787">
        <v>0</v>
      </c>
      <c r="CH70" s="787">
        <v>0</v>
      </c>
      <c r="CI70" s="787">
        <v>0</v>
      </c>
      <c r="CJ70" s="787">
        <v>0</v>
      </c>
      <c r="CK70" s="787">
        <v>0</v>
      </c>
      <c r="CL70" s="787">
        <v>0</v>
      </c>
      <c r="CM70" s="787">
        <v>538459.03879556595</v>
      </c>
      <c r="CN70" s="787">
        <v>0</v>
      </c>
      <c r="CO70" s="787">
        <v>0</v>
      </c>
      <c r="CP70" s="787">
        <v>23023.229999999996</v>
      </c>
      <c r="CQ70" s="787">
        <v>0</v>
      </c>
      <c r="CR70" s="787">
        <v>561482.26879556593</v>
      </c>
      <c r="CS70" s="787">
        <v>888789</v>
      </c>
      <c r="CT70" s="787">
        <v>89822</v>
      </c>
      <c r="CU70" s="787">
        <v>0</v>
      </c>
      <c r="CV70" s="787">
        <v>798967</v>
      </c>
      <c r="CW70" s="787">
        <v>0</v>
      </c>
      <c r="CX70" s="787">
        <v>10136</v>
      </c>
      <c r="CY70" s="787">
        <v>10376</v>
      </c>
      <c r="CZ70" s="787">
        <v>0</v>
      </c>
      <c r="DA70" s="787">
        <v>0</v>
      </c>
      <c r="DB70" s="787">
        <v>819479</v>
      </c>
      <c r="DC70" s="787">
        <v>0</v>
      </c>
      <c r="DD70" s="787">
        <v>0</v>
      </c>
      <c r="DE70" s="787">
        <v>0</v>
      </c>
      <c r="DF70" s="787">
        <v>0</v>
      </c>
      <c r="DG70" s="787"/>
      <c r="DH70" s="787"/>
      <c r="DI70" s="787"/>
      <c r="DJ70" s="787">
        <v>0</v>
      </c>
      <c r="DK70" s="787">
        <v>0</v>
      </c>
      <c r="DL70" s="787">
        <v>0</v>
      </c>
      <c r="DM70" s="787">
        <v>0</v>
      </c>
      <c r="DN70" s="787">
        <v>0</v>
      </c>
      <c r="DO70" s="787">
        <v>0</v>
      </c>
      <c r="DP70" s="787">
        <v>-209080</v>
      </c>
      <c r="DQ70" s="787">
        <v>-48916.59</v>
      </c>
      <c r="DR70" s="787">
        <v>0</v>
      </c>
      <c r="DS70" s="787">
        <v>0</v>
      </c>
      <c r="DT70" s="787">
        <v>-257996.59</v>
      </c>
      <c r="DU70" s="787">
        <v>0</v>
      </c>
      <c r="DV70" s="787">
        <v>0</v>
      </c>
      <c r="DW70" s="787">
        <v>0</v>
      </c>
      <c r="DX70" s="787">
        <v>0</v>
      </c>
      <c r="DY70" s="787">
        <v>0</v>
      </c>
      <c r="DZ70" s="787">
        <v>0</v>
      </c>
      <c r="EA70" s="787">
        <v>-0.14120443409774452</v>
      </c>
      <c r="EE70">
        <f>_xlfn.XLOOKUP(C70,'[1]Cfwd Analysis'!$C:$C,'[1]Cfwd Analysis'!$I:$I,0,0)</f>
        <v>538459.03879556595</v>
      </c>
      <c r="EF70" s="788">
        <f t="shared" si="0"/>
        <v>0</v>
      </c>
    </row>
    <row r="71" spans="1:136" ht="15.6" hidden="1">
      <c r="A71" s="782" t="s">
        <v>1364</v>
      </c>
      <c r="B71" s="782" t="s">
        <v>654</v>
      </c>
      <c r="C71" s="783">
        <v>2092</v>
      </c>
      <c r="D71" s="784" t="s">
        <v>655</v>
      </c>
      <c r="E71" s="785" t="s">
        <v>521</v>
      </c>
      <c r="F71" s="786">
        <v>46087</v>
      </c>
      <c r="G71" s="785" t="s">
        <v>5</v>
      </c>
      <c r="H71" s="785" t="s">
        <v>666</v>
      </c>
      <c r="I71" s="787">
        <v>2556997.3999341601</v>
      </c>
      <c r="J71" s="787">
        <v>0</v>
      </c>
      <c r="K71" s="787">
        <v>104764.95000000001</v>
      </c>
      <c r="L71" s="787">
        <v>0</v>
      </c>
      <c r="M71" s="787">
        <v>261645</v>
      </c>
      <c r="N71" s="787">
        <v>23870</v>
      </c>
      <c r="O71" s="787">
        <v>0</v>
      </c>
      <c r="P71" s="787">
        <v>0</v>
      </c>
      <c r="Q71" s="787">
        <v>34004.26</v>
      </c>
      <c r="R71" s="787">
        <v>70073.25</v>
      </c>
      <c r="S71" s="787">
        <v>0</v>
      </c>
      <c r="T71" s="787">
        <v>0</v>
      </c>
      <c r="U71" s="787">
        <v>38476.949999999997</v>
      </c>
      <c r="V71" s="787">
        <v>134965.29999999999</v>
      </c>
      <c r="W71" s="787">
        <v>0</v>
      </c>
      <c r="X71" s="787">
        <v>3224797.10993416</v>
      </c>
      <c r="Y71" s="787">
        <v>1690203.87</v>
      </c>
      <c r="Z71" s="787">
        <v>0</v>
      </c>
      <c r="AA71" s="787">
        <v>189852.21000000002</v>
      </c>
      <c r="AB71" s="787">
        <v>105011.31</v>
      </c>
      <c r="AC71" s="787">
        <v>208815.56</v>
      </c>
      <c r="AD71" s="787">
        <v>0</v>
      </c>
      <c r="AE71" s="787">
        <v>84643.42</v>
      </c>
      <c r="AF71" s="787">
        <v>7538.01</v>
      </c>
      <c r="AG71" s="787">
        <v>170</v>
      </c>
      <c r="AH71" s="787">
        <v>0</v>
      </c>
      <c r="AI71" s="787">
        <v>0</v>
      </c>
      <c r="AJ71" s="787">
        <v>193994.08</v>
      </c>
      <c r="AK71" s="787">
        <v>4110.66</v>
      </c>
      <c r="AL71" s="787">
        <v>1450.29</v>
      </c>
      <c r="AM71" s="787">
        <v>13398.08</v>
      </c>
      <c r="AN71" s="787">
        <v>80108.739999999991</v>
      </c>
      <c r="AO71" s="787">
        <v>27754.63</v>
      </c>
      <c r="AP71" s="787">
        <v>8086.14</v>
      </c>
      <c r="AQ71" s="787">
        <v>86372.09</v>
      </c>
      <c r="AR71" s="787">
        <v>0</v>
      </c>
      <c r="AS71" s="787">
        <v>0</v>
      </c>
      <c r="AT71" s="787">
        <v>0</v>
      </c>
      <c r="AU71" s="787">
        <v>0</v>
      </c>
      <c r="AV71" s="787">
        <v>32498.59</v>
      </c>
      <c r="AW71" s="787">
        <v>0</v>
      </c>
      <c r="AX71" s="787">
        <v>0</v>
      </c>
      <c r="AY71" s="787">
        <v>0</v>
      </c>
      <c r="AZ71" s="787">
        <v>20620.259999999998</v>
      </c>
      <c r="BA71" s="787">
        <v>13068</v>
      </c>
      <c r="BB71" s="787">
        <v>13031.88</v>
      </c>
      <c r="BC71" s="787">
        <v>147712.66999999998</v>
      </c>
      <c r="BD71" s="787">
        <v>52532.56</v>
      </c>
      <c r="BE71" s="787">
        <v>12622.72</v>
      </c>
      <c r="BF71" s="787">
        <v>283934.89</v>
      </c>
      <c r="BG71" s="787">
        <v>0</v>
      </c>
      <c r="BH71" s="787">
        <v>0</v>
      </c>
      <c r="BI71" s="787">
        <v>0</v>
      </c>
      <c r="BJ71" s="787">
        <v>3277530.66</v>
      </c>
      <c r="BK71" s="787">
        <v>797018.92</v>
      </c>
      <c r="BL71" s="787">
        <v>-52733.550065840129</v>
      </c>
      <c r="BM71" s="787">
        <v>744285.36993415991</v>
      </c>
      <c r="BN71" s="787">
        <v>9422.5</v>
      </c>
      <c r="BO71" s="787">
        <v>0</v>
      </c>
      <c r="BP71" s="787">
        <v>0</v>
      </c>
      <c r="BQ71" s="787">
        <v>9422.5</v>
      </c>
      <c r="BR71" s="787">
        <v>0</v>
      </c>
      <c r="BS71" s="787">
        <v>18811</v>
      </c>
      <c r="BT71" s="787">
        <v>0</v>
      </c>
      <c r="BU71" s="787">
        <v>0</v>
      </c>
      <c r="BV71" s="787">
        <v>0</v>
      </c>
      <c r="BW71" s="787">
        <v>0</v>
      </c>
      <c r="BX71" s="787">
        <v>0</v>
      </c>
      <c r="BY71" s="787">
        <v>0</v>
      </c>
      <c r="BZ71" s="787">
        <v>18811</v>
      </c>
      <c r="CA71" s="787">
        <v>47001.66</v>
      </c>
      <c r="CB71" s="787">
        <v>-9388.5</v>
      </c>
      <c r="CC71" s="787">
        <v>37613.160000000003</v>
      </c>
      <c r="CD71" s="787">
        <v>0</v>
      </c>
      <c r="CE71" s="787">
        <v>0</v>
      </c>
      <c r="CF71" s="787">
        <v>0</v>
      </c>
      <c r="CG71" s="787">
        <v>0</v>
      </c>
      <c r="CH71" s="787">
        <v>0</v>
      </c>
      <c r="CI71" s="787">
        <v>0</v>
      </c>
      <c r="CJ71" s="787">
        <v>0</v>
      </c>
      <c r="CK71" s="787">
        <v>0</v>
      </c>
      <c r="CL71" s="787">
        <v>0</v>
      </c>
      <c r="CM71" s="787">
        <v>744285.36993415991</v>
      </c>
      <c r="CN71" s="787">
        <v>0</v>
      </c>
      <c r="CO71" s="787">
        <v>37613</v>
      </c>
      <c r="CP71" s="787">
        <v>0.16000000000349246</v>
      </c>
      <c r="CQ71" s="787">
        <v>0</v>
      </c>
      <c r="CR71" s="787">
        <v>781898.52993415995</v>
      </c>
      <c r="CS71" s="787">
        <v>895496.05</v>
      </c>
      <c r="CT71" s="787">
        <v>0</v>
      </c>
      <c r="CU71" s="787">
        <v>0</v>
      </c>
      <c r="CV71" s="787">
        <v>895496.05</v>
      </c>
      <c r="CW71" s="787">
        <v>0</v>
      </c>
      <c r="CX71" s="787">
        <v>3003.8</v>
      </c>
      <c r="CY71" s="787">
        <v>3173.8</v>
      </c>
      <c r="CZ71" s="787">
        <v>0</v>
      </c>
      <c r="DA71" s="787">
        <v>0</v>
      </c>
      <c r="DB71" s="787">
        <v>901673.65000000014</v>
      </c>
      <c r="DC71" s="787">
        <v>164547.60999999999</v>
      </c>
      <c r="DD71" s="787">
        <v>0</v>
      </c>
      <c r="DE71" s="787">
        <v>0</v>
      </c>
      <c r="DF71" s="787">
        <v>164547.60999999999</v>
      </c>
      <c r="DG71" s="787"/>
      <c r="DH71" s="787"/>
      <c r="DI71" s="787"/>
      <c r="DJ71" s="787">
        <v>0</v>
      </c>
      <c r="DK71" s="787">
        <v>164547.60999999999</v>
      </c>
      <c r="DL71" s="787">
        <v>0</v>
      </c>
      <c r="DM71" s="787">
        <v>0</v>
      </c>
      <c r="DN71" s="787">
        <v>0</v>
      </c>
      <c r="DO71" s="787">
        <v>0</v>
      </c>
      <c r="DP71" s="787">
        <v>-238018.76</v>
      </c>
      <c r="DQ71" s="787">
        <v>-64404.5</v>
      </c>
      <c r="DR71" s="787">
        <v>0</v>
      </c>
      <c r="DS71" s="787">
        <v>0</v>
      </c>
      <c r="DT71" s="787">
        <v>-302423.26</v>
      </c>
      <c r="DU71" s="787">
        <v>18100.5</v>
      </c>
      <c r="DV71" s="787">
        <v>0</v>
      </c>
      <c r="DW71" s="787">
        <v>0</v>
      </c>
      <c r="DX71" s="787">
        <v>0</v>
      </c>
      <c r="DY71" s="787">
        <v>0</v>
      </c>
      <c r="DZ71" s="787">
        <v>0</v>
      </c>
      <c r="EA71" s="787">
        <v>2.9934159829281271E-2</v>
      </c>
      <c r="EE71">
        <f>_xlfn.XLOOKUP(C71,'[1]Cfwd Analysis'!$C:$C,'[1]Cfwd Analysis'!$I:$I,0,0)</f>
        <v>744285.36993415991</v>
      </c>
      <c r="EF71" s="788">
        <f t="shared" si="0"/>
        <v>0</v>
      </c>
    </row>
    <row r="72" spans="1:136" ht="15.6">
      <c r="A72" s="782" t="s">
        <v>1365</v>
      </c>
      <c r="B72" s="782" t="s">
        <v>656</v>
      </c>
      <c r="C72" s="783">
        <v>7006</v>
      </c>
      <c r="D72" s="784" t="s">
        <v>657</v>
      </c>
      <c r="E72" s="785" t="s">
        <v>521</v>
      </c>
      <c r="F72" s="786">
        <v>46093</v>
      </c>
      <c r="G72" s="785" t="s">
        <v>5</v>
      </c>
      <c r="H72" s="785" t="s">
        <v>668</v>
      </c>
      <c r="I72" s="787">
        <v>2192605.195869565</v>
      </c>
      <c r="J72" s="787">
        <v>0</v>
      </c>
      <c r="K72" s="787">
        <v>3419884.6767214178</v>
      </c>
      <c r="L72" s="787">
        <v>0</v>
      </c>
      <c r="M72" s="787">
        <v>147235</v>
      </c>
      <c r="N72" s="787">
        <v>27478.22</v>
      </c>
      <c r="O72" s="787">
        <v>3800</v>
      </c>
      <c r="P72" s="787">
        <v>0</v>
      </c>
      <c r="Q72" s="787">
        <v>62.97</v>
      </c>
      <c r="R72" s="787">
        <v>15865.31</v>
      </c>
      <c r="S72" s="787">
        <v>0</v>
      </c>
      <c r="T72" s="787">
        <v>0</v>
      </c>
      <c r="U72" s="787">
        <v>626.63</v>
      </c>
      <c r="V72" s="787">
        <v>82657.06</v>
      </c>
      <c r="W72" s="787">
        <v>0</v>
      </c>
      <c r="X72" s="787">
        <v>5890215.0625909818</v>
      </c>
      <c r="Y72" s="787">
        <v>1574107.15</v>
      </c>
      <c r="Z72" s="787">
        <v>0</v>
      </c>
      <c r="AA72" s="787">
        <v>2103075.0699999998</v>
      </c>
      <c r="AB72" s="787">
        <v>90266.72</v>
      </c>
      <c r="AC72" s="787">
        <v>322344.17</v>
      </c>
      <c r="AD72" s="787">
        <v>0</v>
      </c>
      <c r="AE72" s="787">
        <v>191587.5</v>
      </c>
      <c r="AF72" s="787">
        <v>4415.07</v>
      </c>
      <c r="AG72" s="787">
        <v>15379.1</v>
      </c>
      <c r="AH72" s="787">
        <v>0</v>
      </c>
      <c r="AI72" s="787">
        <v>0</v>
      </c>
      <c r="AJ72" s="787">
        <v>76452.23000000001</v>
      </c>
      <c r="AK72" s="787">
        <v>0</v>
      </c>
      <c r="AL72" s="787">
        <v>72387.180000000008</v>
      </c>
      <c r="AM72" s="787">
        <v>24645.55</v>
      </c>
      <c r="AN72" s="787">
        <v>32606.079999999998</v>
      </c>
      <c r="AO72" s="787">
        <v>0</v>
      </c>
      <c r="AP72" s="787">
        <v>44758.1</v>
      </c>
      <c r="AQ72" s="787">
        <v>27605.31</v>
      </c>
      <c r="AR72" s="787">
        <v>88322.87</v>
      </c>
      <c r="AS72" s="787">
        <v>0</v>
      </c>
      <c r="AT72" s="787">
        <v>0</v>
      </c>
      <c r="AU72" s="787">
        <v>0</v>
      </c>
      <c r="AV72" s="787">
        <v>0</v>
      </c>
      <c r="AW72" s="787">
        <v>0</v>
      </c>
      <c r="AX72" s="787">
        <v>0</v>
      </c>
      <c r="AY72" s="787">
        <v>0</v>
      </c>
      <c r="AZ72" s="787">
        <v>62668.57</v>
      </c>
      <c r="BA72" s="787">
        <v>5139.75</v>
      </c>
      <c r="BB72" s="787">
        <v>4517</v>
      </c>
      <c r="BC72" s="787">
        <v>168076.66999999998</v>
      </c>
      <c r="BD72" s="787">
        <v>107944.86</v>
      </c>
      <c r="BE72" s="787">
        <v>0</v>
      </c>
      <c r="BF72" s="787">
        <v>1265556.44</v>
      </c>
      <c r="BG72" s="787">
        <v>0</v>
      </c>
      <c r="BH72" s="787">
        <v>0</v>
      </c>
      <c r="BI72" s="787">
        <v>0</v>
      </c>
      <c r="BJ72" s="787">
        <v>6281855.3899999987</v>
      </c>
      <c r="BK72" s="787">
        <v>-79625.6099999898</v>
      </c>
      <c r="BL72" s="787">
        <v>-391640.3274090169</v>
      </c>
      <c r="BM72" s="787">
        <v>-471265.9374090067</v>
      </c>
      <c r="BN72" s="787">
        <v>11796.25</v>
      </c>
      <c r="BO72" s="787">
        <v>0</v>
      </c>
      <c r="BP72" s="787">
        <v>0</v>
      </c>
      <c r="BQ72" s="787">
        <v>11796.25</v>
      </c>
      <c r="BR72" s="787">
        <v>73906.720000000001</v>
      </c>
      <c r="BS72" s="787">
        <v>0</v>
      </c>
      <c r="BT72" s="787">
        <v>0</v>
      </c>
      <c r="BU72" s="787">
        <v>0</v>
      </c>
      <c r="BV72" s="787">
        <v>0</v>
      </c>
      <c r="BW72" s="787">
        <v>0</v>
      </c>
      <c r="BX72" s="787">
        <v>0</v>
      </c>
      <c r="BY72" s="787">
        <v>0</v>
      </c>
      <c r="BZ72" s="787">
        <v>73906.720000000001</v>
      </c>
      <c r="CA72" s="787">
        <v>107508</v>
      </c>
      <c r="CB72" s="787">
        <v>-62110.47</v>
      </c>
      <c r="CC72" s="787">
        <v>45397.53</v>
      </c>
      <c r="CD72" s="787">
        <v>0</v>
      </c>
      <c r="CE72" s="787">
        <v>0</v>
      </c>
      <c r="CF72" s="787">
        <v>0</v>
      </c>
      <c r="CG72" s="787">
        <v>0</v>
      </c>
      <c r="CH72" s="787">
        <v>0</v>
      </c>
      <c r="CI72" s="787">
        <v>0</v>
      </c>
      <c r="CJ72" s="787">
        <v>0</v>
      </c>
      <c r="CK72" s="787">
        <v>0</v>
      </c>
      <c r="CL72" s="787">
        <v>0</v>
      </c>
      <c r="CM72" s="787">
        <v>0</v>
      </c>
      <c r="CN72" s="787">
        <v>-471265.9374090067</v>
      </c>
      <c r="CO72" s="787">
        <v>45397.53</v>
      </c>
      <c r="CP72" s="787">
        <v>0</v>
      </c>
      <c r="CQ72" s="787">
        <v>0</v>
      </c>
      <c r="CR72" s="787">
        <v>-425868.40740900673</v>
      </c>
      <c r="CS72" s="787">
        <v>445357.35</v>
      </c>
      <c r="CT72" s="787">
        <v>442982.54</v>
      </c>
      <c r="CU72" s="787">
        <v>0</v>
      </c>
      <c r="CV72" s="787">
        <v>2374.8099999999977</v>
      </c>
      <c r="CW72" s="787">
        <v>0</v>
      </c>
      <c r="CX72" s="787">
        <v>49257.57</v>
      </c>
      <c r="CY72" s="787">
        <v>16964.330000000002</v>
      </c>
      <c r="CZ72" s="787">
        <v>0</v>
      </c>
      <c r="DA72" s="787">
        <v>0</v>
      </c>
      <c r="DB72" s="787">
        <v>68596.709999999992</v>
      </c>
      <c r="DC72" s="787">
        <v>0</v>
      </c>
      <c r="DD72" s="787">
        <v>0</v>
      </c>
      <c r="DE72" s="787">
        <v>0</v>
      </c>
      <c r="DF72" s="787">
        <v>0</v>
      </c>
      <c r="DG72" s="787"/>
      <c r="DH72" s="787"/>
      <c r="DI72" s="787"/>
      <c r="DJ72" s="787">
        <v>-500000</v>
      </c>
      <c r="DK72" s="787">
        <v>-500000</v>
      </c>
      <c r="DL72" s="787">
        <v>191537</v>
      </c>
      <c r="DM72" s="787">
        <v>0</v>
      </c>
      <c r="DN72" s="787">
        <v>0</v>
      </c>
      <c r="DO72" s="787">
        <v>0</v>
      </c>
      <c r="DP72" s="787">
        <v>-87866.73</v>
      </c>
      <c r="DQ72" s="787">
        <v>-35726.949999999997</v>
      </c>
      <c r="DR72" s="787">
        <v>0</v>
      </c>
      <c r="DS72" s="787">
        <v>0</v>
      </c>
      <c r="DT72" s="787">
        <v>67943.320000000007</v>
      </c>
      <c r="DU72" s="787">
        <v>0</v>
      </c>
      <c r="DV72" s="787">
        <v>0</v>
      </c>
      <c r="DW72" s="787">
        <v>0</v>
      </c>
      <c r="DX72" s="787">
        <v>0</v>
      </c>
      <c r="DY72" s="787">
        <v>0</v>
      </c>
      <c r="DZ72" s="787">
        <v>-62408.68</v>
      </c>
      <c r="EA72" s="787">
        <v>0.24259099323535338</v>
      </c>
      <c r="EE72">
        <f>_xlfn.XLOOKUP(C72,'[1]Cfwd Analysis'!$C:$C,'[1]Cfwd Analysis'!$I:$I,0,0)</f>
        <v>-471265.9374090067</v>
      </c>
      <c r="EF72" s="788">
        <f t="shared" ref="EF72:EF135" si="1">EE72-BM72</f>
        <v>0</v>
      </c>
    </row>
    <row r="73" spans="1:136" ht="15.6" hidden="1">
      <c r="A73" s="782" t="s">
        <v>1366</v>
      </c>
      <c r="B73" s="782" t="s">
        <v>890</v>
      </c>
      <c r="C73" s="783">
        <v>2477</v>
      </c>
      <c r="D73" s="784" t="s">
        <v>891</v>
      </c>
      <c r="E73" s="785" t="s">
        <v>521</v>
      </c>
      <c r="F73" s="786">
        <v>0</v>
      </c>
      <c r="G73" s="785" t="s">
        <v>5</v>
      </c>
      <c r="H73" s="785" t="s">
        <v>868</v>
      </c>
      <c r="I73" s="787">
        <v>4350806.79</v>
      </c>
      <c r="J73" s="787">
        <v>0</v>
      </c>
      <c r="K73" s="787">
        <v>279543.75</v>
      </c>
      <c r="L73" s="787">
        <v>0</v>
      </c>
      <c r="M73" s="787">
        <v>157825</v>
      </c>
      <c r="N73" s="787">
        <v>187900.15</v>
      </c>
      <c r="O73" s="787">
        <v>0</v>
      </c>
      <c r="P73" s="787">
        <v>0</v>
      </c>
      <c r="Q73" s="787">
        <v>745779.59249999619</v>
      </c>
      <c r="R73" s="787">
        <v>0</v>
      </c>
      <c r="S73" s="787">
        <v>0</v>
      </c>
      <c r="T73" s="787">
        <v>0</v>
      </c>
      <c r="U73" s="787">
        <v>0</v>
      </c>
      <c r="V73" s="787">
        <v>0</v>
      </c>
      <c r="W73" s="787">
        <v>0</v>
      </c>
      <c r="X73" s="787">
        <v>5721855.2824999969</v>
      </c>
      <c r="Y73" s="787">
        <v>0</v>
      </c>
      <c r="Z73" s="787">
        <v>0</v>
      </c>
      <c r="AA73" s="787">
        <v>0</v>
      </c>
      <c r="AB73" s="787">
        <v>0</v>
      </c>
      <c r="AC73" s="787">
        <v>0</v>
      </c>
      <c r="AD73" s="787">
        <v>0</v>
      </c>
      <c r="AE73" s="787">
        <v>0</v>
      </c>
      <c r="AF73" s="787">
        <v>0</v>
      </c>
      <c r="AG73" s="787">
        <v>0</v>
      </c>
      <c r="AH73" s="787">
        <v>0</v>
      </c>
      <c r="AI73" s="787">
        <v>0</v>
      </c>
      <c r="AJ73" s="787">
        <v>0</v>
      </c>
      <c r="AK73" s="787">
        <v>0</v>
      </c>
      <c r="AL73" s="787">
        <v>0</v>
      </c>
      <c r="AM73" s="787">
        <v>0</v>
      </c>
      <c r="AN73" s="787">
        <v>0</v>
      </c>
      <c r="AO73" s="787">
        <v>33389.800000000003</v>
      </c>
      <c r="AP73" s="787">
        <v>5839169.2799999993</v>
      </c>
      <c r="AQ73" s="787">
        <v>0</v>
      </c>
      <c r="AR73" s="787">
        <v>0</v>
      </c>
      <c r="AS73" s="787">
        <v>0</v>
      </c>
      <c r="AT73" s="787">
        <v>0</v>
      </c>
      <c r="AU73" s="787">
        <v>0</v>
      </c>
      <c r="AV73" s="787">
        <v>0</v>
      </c>
      <c r="AW73" s="787">
        <v>0</v>
      </c>
      <c r="AX73" s="787">
        <v>0</v>
      </c>
      <c r="AY73" s="787">
        <v>0</v>
      </c>
      <c r="AZ73" s="787">
        <v>96.34</v>
      </c>
      <c r="BA73" s="787">
        <v>24312.75</v>
      </c>
      <c r="BB73" s="787">
        <v>0</v>
      </c>
      <c r="BC73" s="787">
        <v>0</v>
      </c>
      <c r="BD73" s="787">
        <v>0</v>
      </c>
      <c r="BE73" s="787">
        <v>21724.639999999999</v>
      </c>
      <c r="BF73" s="787">
        <v>0</v>
      </c>
      <c r="BG73" s="787">
        <v>0</v>
      </c>
      <c r="BH73" s="787">
        <v>0</v>
      </c>
      <c r="BI73" s="787">
        <v>0</v>
      </c>
      <c r="BJ73" s="787">
        <v>5918692.8099999987</v>
      </c>
      <c r="BK73" s="787">
        <v>-501301.39000000671</v>
      </c>
      <c r="BL73" s="787">
        <v>-196837.52750000171</v>
      </c>
      <c r="BM73" s="787">
        <v>-698138.91750000836</v>
      </c>
      <c r="BN73" s="787">
        <v>13067.5</v>
      </c>
      <c r="BO73" s="787">
        <v>0</v>
      </c>
      <c r="BP73" s="787">
        <v>0</v>
      </c>
      <c r="BQ73" s="787">
        <v>13067.5</v>
      </c>
      <c r="BR73" s="787">
        <v>0</v>
      </c>
      <c r="BS73" s="787">
        <v>0</v>
      </c>
      <c r="BT73" s="787">
        <v>0</v>
      </c>
      <c r="BU73" s="787">
        <v>0</v>
      </c>
      <c r="BV73" s="787">
        <v>0</v>
      </c>
      <c r="BW73" s="787">
        <v>0</v>
      </c>
      <c r="BX73" s="787">
        <v>0</v>
      </c>
      <c r="BY73" s="787">
        <v>0</v>
      </c>
      <c r="BZ73" s="787">
        <v>0</v>
      </c>
      <c r="CA73" s="787">
        <v>45835.49</v>
      </c>
      <c r="CB73" s="787">
        <v>13067.5</v>
      </c>
      <c r="CC73" s="787">
        <v>58902.99</v>
      </c>
      <c r="CD73" s="787">
        <v>0</v>
      </c>
      <c r="CE73" s="787">
        <v>0</v>
      </c>
      <c r="CF73" s="787">
        <v>0</v>
      </c>
      <c r="CG73" s="787">
        <v>0</v>
      </c>
      <c r="CH73" s="787">
        <v>0</v>
      </c>
      <c r="CI73" s="787">
        <v>0</v>
      </c>
      <c r="CJ73" s="787">
        <v>0</v>
      </c>
      <c r="CK73" s="787">
        <v>0</v>
      </c>
      <c r="CL73" s="787">
        <v>0</v>
      </c>
      <c r="CM73" s="787">
        <v>0</v>
      </c>
      <c r="CN73" s="787">
        <v>-698138.91750000836</v>
      </c>
      <c r="CO73" s="787">
        <v>58902.99</v>
      </c>
      <c r="CP73" s="787">
        <v>0</v>
      </c>
      <c r="CQ73" s="787">
        <v>0</v>
      </c>
      <c r="CR73" s="787">
        <v>-639235.92750000837</v>
      </c>
      <c r="CS73" s="787">
        <v>-616106.32999999996</v>
      </c>
      <c r="CT73" s="787">
        <v>0</v>
      </c>
      <c r="CU73" s="787">
        <v>0</v>
      </c>
      <c r="CV73" s="787">
        <v>-616106.32999999996</v>
      </c>
      <c r="CW73" s="787">
        <v>0</v>
      </c>
      <c r="CX73" s="787">
        <v>0</v>
      </c>
      <c r="CY73" s="787">
        <v>0</v>
      </c>
      <c r="CZ73" s="787">
        <v>42677.06</v>
      </c>
      <c r="DA73" s="787">
        <v>-3540.79</v>
      </c>
      <c r="DB73" s="787">
        <v>-576970.06000000006</v>
      </c>
      <c r="DC73" s="787">
        <v>0</v>
      </c>
      <c r="DD73" s="787">
        <v>0</v>
      </c>
      <c r="DE73" s="787">
        <v>0</v>
      </c>
      <c r="DF73" s="787">
        <v>0</v>
      </c>
      <c r="DG73" s="787"/>
      <c r="DH73" s="787"/>
      <c r="DI73" s="787"/>
      <c r="DJ73" s="787">
        <v>0</v>
      </c>
      <c r="DK73" s="787">
        <v>0</v>
      </c>
      <c r="DL73" s="787">
        <v>0</v>
      </c>
      <c r="DM73" s="787">
        <v>0</v>
      </c>
      <c r="DN73" s="787">
        <v>0</v>
      </c>
      <c r="DO73" s="787">
        <v>0</v>
      </c>
      <c r="DP73" s="787">
        <v>0</v>
      </c>
      <c r="DQ73" s="787">
        <v>0</v>
      </c>
      <c r="DR73" s="787">
        <v>0</v>
      </c>
      <c r="DS73" s="787">
        <v>0</v>
      </c>
      <c r="DT73" s="787">
        <v>0</v>
      </c>
      <c r="DU73" s="787">
        <v>0</v>
      </c>
      <c r="DV73" s="787">
        <v>0</v>
      </c>
      <c r="DW73" s="787">
        <v>0</v>
      </c>
      <c r="DX73" s="787">
        <v>0</v>
      </c>
      <c r="DY73" s="787">
        <v>0</v>
      </c>
      <c r="DZ73" s="787">
        <v>-62265.87</v>
      </c>
      <c r="EA73" s="787">
        <v>2.4999916786327958E-3</v>
      </c>
      <c r="EE73">
        <f>_xlfn.XLOOKUP(C73,'[1]Cfwd Analysis'!$C:$C,'[1]Cfwd Analysis'!$I:$I,0,0)</f>
        <v>-698138.91750000836</v>
      </c>
      <c r="EF73" s="788">
        <f t="shared" si="1"/>
        <v>0</v>
      </c>
    </row>
    <row r="74" spans="1:136" ht="15.6" hidden="1">
      <c r="A74" s="782" t="s">
        <v>1367</v>
      </c>
      <c r="B74" s="782" t="s">
        <v>892</v>
      </c>
      <c r="C74" s="783">
        <v>3436</v>
      </c>
      <c r="D74" s="784" t="s">
        <v>893</v>
      </c>
      <c r="E74" s="785" t="s">
        <v>521</v>
      </c>
      <c r="F74" s="786">
        <v>46094</v>
      </c>
      <c r="G74" s="785" t="s">
        <v>5</v>
      </c>
      <c r="H74" s="785" t="s">
        <v>900</v>
      </c>
      <c r="I74" s="787">
        <v>1170832.3994420457</v>
      </c>
      <c r="J74" s="787">
        <v>0</v>
      </c>
      <c r="K74" s="787">
        <v>40920</v>
      </c>
      <c r="L74" s="787">
        <v>0</v>
      </c>
      <c r="M74" s="787">
        <v>99590</v>
      </c>
      <c r="N74" s="787">
        <v>40733.64</v>
      </c>
      <c r="O74" s="787">
        <v>0</v>
      </c>
      <c r="P74" s="787">
        <v>0</v>
      </c>
      <c r="Q74" s="787">
        <v>901.71</v>
      </c>
      <c r="R74" s="787">
        <v>696.08</v>
      </c>
      <c r="S74" s="787">
        <v>0</v>
      </c>
      <c r="T74" s="787">
        <v>0</v>
      </c>
      <c r="U74" s="787">
        <v>327.49</v>
      </c>
      <c r="V74" s="787">
        <v>38652.39</v>
      </c>
      <c r="W74" s="787">
        <v>0</v>
      </c>
      <c r="X74" s="787">
        <v>1392653.7094420455</v>
      </c>
      <c r="Y74" s="787">
        <v>397966.05000000005</v>
      </c>
      <c r="Z74" s="787">
        <v>0</v>
      </c>
      <c r="AA74" s="787">
        <v>192591.23</v>
      </c>
      <c r="AB74" s="787">
        <v>44021.950000000004</v>
      </c>
      <c r="AC74" s="787">
        <v>152149.35</v>
      </c>
      <c r="AD74" s="787">
        <v>827.11</v>
      </c>
      <c r="AE74" s="787">
        <v>46611.12</v>
      </c>
      <c r="AF74" s="787">
        <v>2860</v>
      </c>
      <c r="AG74" s="787">
        <v>4293.2</v>
      </c>
      <c r="AH74" s="787">
        <v>0</v>
      </c>
      <c r="AI74" s="787">
        <v>0</v>
      </c>
      <c r="AJ74" s="787">
        <v>43377.31</v>
      </c>
      <c r="AK74" s="787">
        <v>15323</v>
      </c>
      <c r="AL74" s="787">
        <v>16353.14</v>
      </c>
      <c r="AM74" s="787">
        <v>3398.96</v>
      </c>
      <c r="AN74" s="787">
        <v>23408.959999999999</v>
      </c>
      <c r="AO74" s="787">
        <v>9460.4600000000028</v>
      </c>
      <c r="AP74" s="787">
        <v>42017.350000000006</v>
      </c>
      <c r="AQ74" s="787">
        <v>44636.340000000011</v>
      </c>
      <c r="AR74" s="787">
        <v>701.05</v>
      </c>
      <c r="AS74" s="787">
        <v>0</v>
      </c>
      <c r="AT74" s="787">
        <v>0</v>
      </c>
      <c r="AU74" s="787">
        <v>1482.83</v>
      </c>
      <c r="AV74" s="787">
        <v>2119</v>
      </c>
      <c r="AW74" s="787">
        <v>833.19999999999993</v>
      </c>
      <c r="AX74" s="787">
        <v>0</v>
      </c>
      <c r="AY74" s="787">
        <v>0</v>
      </c>
      <c r="AZ74" s="787">
        <v>16960.37</v>
      </c>
      <c r="BA74" s="787">
        <v>8640.130000000001</v>
      </c>
      <c r="BB74" s="787">
        <v>765</v>
      </c>
      <c r="BC74" s="787">
        <v>147973.09</v>
      </c>
      <c r="BD74" s="787">
        <v>302154.39999999997</v>
      </c>
      <c r="BE74" s="787">
        <v>6604.7699999999986</v>
      </c>
      <c r="BF74" s="787">
        <v>130910.06000000001</v>
      </c>
      <c r="BG74" s="787">
        <v>0</v>
      </c>
      <c r="BH74" s="787">
        <v>0</v>
      </c>
      <c r="BI74" s="787">
        <v>0</v>
      </c>
      <c r="BJ74" s="787">
        <v>1658439.4299999997</v>
      </c>
      <c r="BK74" s="787">
        <v>-613836.30000000005</v>
      </c>
      <c r="BL74" s="787">
        <v>-265785.72055795416</v>
      </c>
      <c r="BM74" s="787">
        <v>-879622.02055795421</v>
      </c>
      <c r="BN74" s="787">
        <v>6116.25</v>
      </c>
      <c r="BO74" s="787">
        <v>0</v>
      </c>
      <c r="BP74" s="787">
        <v>0</v>
      </c>
      <c r="BQ74" s="787">
        <v>6116.25</v>
      </c>
      <c r="BR74" s="787">
        <v>0</v>
      </c>
      <c r="BS74" s="787">
        <v>0</v>
      </c>
      <c r="BT74" s="787">
        <v>0</v>
      </c>
      <c r="BU74" s="787">
        <v>0</v>
      </c>
      <c r="BV74" s="787">
        <v>0</v>
      </c>
      <c r="BW74" s="787">
        <v>0</v>
      </c>
      <c r="BX74" s="787">
        <v>0</v>
      </c>
      <c r="BY74" s="787">
        <v>0</v>
      </c>
      <c r="BZ74" s="787">
        <v>0</v>
      </c>
      <c r="CA74" s="787">
        <v>0</v>
      </c>
      <c r="CB74" s="787">
        <v>6116.25</v>
      </c>
      <c r="CC74" s="787">
        <v>6116.25</v>
      </c>
      <c r="CD74" s="787">
        <v>0</v>
      </c>
      <c r="CE74" s="787">
        <v>0</v>
      </c>
      <c r="CF74" s="787">
        <v>0</v>
      </c>
      <c r="CG74" s="787">
        <v>0</v>
      </c>
      <c r="CH74" s="787">
        <v>0</v>
      </c>
      <c r="CI74" s="787">
        <v>0</v>
      </c>
      <c r="CJ74" s="787">
        <v>0</v>
      </c>
      <c r="CK74" s="787">
        <v>0</v>
      </c>
      <c r="CL74" s="787">
        <v>0</v>
      </c>
      <c r="CM74" s="787">
        <v>0</v>
      </c>
      <c r="CN74" s="787">
        <v>-879622.02055795421</v>
      </c>
      <c r="CO74" s="787">
        <v>0</v>
      </c>
      <c r="CP74" s="787">
        <v>6116.25</v>
      </c>
      <c r="CQ74" s="787">
        <v>0</v>
      </c>
      <c r="CR74" s="787">
        <v>-873505.77055795421</v>
      </c>
      <c r="CS74" s="787">
        <v>-755871.2</v>
      </c>
      <c r="CT74" s="787">
        <v>0</v>
      </c>
      <c r="CU74" s="787">
        <v>0</v>
      </c>
      <c r="CV74" s="787">
        <v>-755871.2</v>
      </c>
      <c r="CW74" s="787">
        <v>0</v>
      </c>
      <c r="CX74" s="787">
        <v>17953.59</v>
      </c>
      <c r="CY74" s="787">
        <v>0</v>
      </c>
      <c r="CZ74" s="787">
        <v>0</v>
      </c>
      <c r="DA74" s="787">
        <v>-924.73</v>
      </c>
      <c r="DB74" s="787">
        <v>-738842.34</v>
      </c>
      <c r="DC74" s="787">
        <v>13991.220000000001</v>
      </c>
      <c r="DD74" s="787">
        <v>0</v>
      </c>
      <c r="DE74" s="787">
        <v>0</v>
      </c>
      <c r="DF74" s="787">
        <v>13991.220000000001</v>
      </c>
      <c r="DG74" s="787"/>
      <c r="DH74" s="787"/>
      <c r="DI74" s="787"/>
      <c r="DJ74" s="787">
        <v>0</v>
      </c>
      <c r="DK74" s="787">
        <v>13991.220000000001</v>
      </c>
      <c r="DL74" s="787">
        <v>0</v>
      </c>
      <c r="DM74" s="787">
        <v>0</v>
      </c>
      <c r="DN74" s="787">
        <v>0</v>
      </c>
      <c r="DO74" s="787">
        <v>0</v>
      </c>
      <c r="DP74" s="787">
        <v>-156902.59</v>
      </c>
      <c r="DQ74" s="787">
        <v>-1750.32</v>
      </c>
      <c r="DR74" s="787">
        <v>0</v>
      </c>
      <c r="DS74" s="787">
        <v>0</v>
      </c>
      <c r="DT74" s="787">
        <v>-158652.91</v>
      </c>
      <c r="DU74" s="787">
        <v>2104</v>
      </c>
      <c r="DV74" s="787">
        <v>0</v>
      </c>
      <c r="DW74" s="787">
        <v>0</v>
      </c>
      <c r="DX74" s="787">
        <v>0</v>
      </c>
      <c r="DY74" s="787">
        <v>7893.79</v>
      </c>
      <c r="DZ74" s="787">
        <v>0</v>
      </c>
      <c r="EA74" s="787">
        <v>0.46944204578176141</v>
      </c>
      <c r="EE74">
        <f>_xlfn.XLOOKUP(C74,'[1]Cfwd Analysis'!$C:$C,'[1]Cfwd Analysis'!$I:$I,0,0)</f>
        <v>-879622.02055795421</v>
      </c>
      <c r="EF74" s="788">
        <f t="shared" si="1"/>
        <v>0</v>
      </c>
    </row>
    <row r="75" spans="1:136" ht="15.6" hidden="1">
      <c r="A75" s="782" t="s">
        <v>1368</v>
      </c>
      <c r="B75" s="782" t="s">
        <v>658</v>
      </c>
      <c r="C75" s="783">
        <v>2099</v>
      </c>
      <c r="D75" s="784" t="s">
        <v>659</v>
      </c>
      <c r="E75" s="785" t="s">
        <v>521</v>
      </c>
      <c r="F75" s="786">
        <v>46094</v>
      </c>
      <c r="G75" s="785" t="s">
        <v>5</v>
      </c>
      <c r="H75" s="785" t="s">
        <v>670</v>
      </c>
      <c r="I75" s="787">
        <v>1600818.0419765671</v>
      </c>
      <c r="J75" s="787">
        <v>0</v>
      </c>
      <c r="K75" s="787">
        <v>195516.64333333328</v>
      </c>
      <c r="L75" s="787">
        <v>0</v>
      </c>
      <c r="M75" s="787">
        <v>187860</v>
      </c>
      <c r="N75" s="787">
        <v>39904.75</v>
      </c>
      <c r="O75" s="787">
        <v>0</v>
      </c>
      <c r="P75" s="787">
        <v>0</v>
      </c>
      <c r="Q75" s="787">
        <v>17458.015749999991</v>
      </c>
      <c r="R75" s="787">
        <v>4796.8999999999996</v>
      </c>
      <c r="S75" s="787">
        <v>0</v>
      </c>
      <c r="T75" s="787">
        <v>0</v>
      </c>
      <c r="U75" s="787">
        <v>3128</v>
      </c>
      <c r="V75" s="787">
        <v>71489.34</v>
      </c>
      <c r="W75" s="787">
        <v>1078.6099999999999</v>
      </c>
      <c r="X75" s="787">
        <v>2122050.3010599003</v>
      </c>
      <c r="Y75" s="787">
        <v>1058683.5900000001</v>
      </c>
      <c r="Z75" s="787">
        <v>0</v>
      </c>
      <c r="AA75" s="787">
        <v>278626.26</v>
      </c>
      <c r="AB75" s="787">
        <v>77925.69</v>
      </c>
      <c r="AC75" s="787">
        <v>93612.26</v>
      </c>
      <c r="AD75" s="787">
        <v>55967.48</v>
      </c>
      <c r="AE75" s="787">
        <v>39732.25</v>
      </c>
      <c r="AF75" s="787">
        <v>6381.25</v>
      </c>
      <c r="AG75" s="787">
        <v>6655.09</v>
      </c>
      <c r="AH75" s="787">
        <v>0</v>
      </c>
      <c r="AI75" s="787">
        <v>0</v>
      </c>
      <c r="AJ75" s="787">
        <v>100645.08</v>
      </c>
      <c r="AK75" s="787">
        <v>8892.0400000000009</v>
      </c>
      <c r="AL75" s="787">
        <v>3349.33</v>
      </c>
      <c r="AM75" s="787">
        <v>3788.39</v>
      </c>
      <c r="AN75" s="787">
        <v>25004.530000000002</v>
      </c>
      <c r="AO75" s="787">
        <v>15883.6</v>
      </c>
      <c r="AP75" s="787">
        <v>13292.28</v>
      </c>
      <c r="AQ75" s="787">
        <v>26339</v>
      </c>
      <c r="AR75" s="787">
        <v>5952</v>
      </c>
      <c r="AS75" s="787">
        <v>0</v>
      </c>
      <c r="AT75" s="787">
        <v>16308.16</v>
      </c>
      <c r="AU75" s="787">
        <v>22155.63</v>
      </c>
      <c r="AV75" s="787">
        <v>9571.7999999999993</v>
      </c>
      <c r="AW75" s="787">
        <v>0</v>
      </c>
      <c r="AX75" s="787">
        <v>11430</v>
      </c>
      <c r="AY75" s="787">
        <v>0</v>
      </c>
      <c r="AZ75" s="787">
        <v>10990.46</v>
      </c>
      <c r="BA75" s="787">
        <v>6830.59</v>
      </c>
      <c r="BB75" s="787">
        <v>1188</v>
      </c>
      <c r="BC75" s="787">
        <v>27821.66</v>
      </c>
      <c r="BD75" s="787">
        <v>35020.740000000005</v>
      </c>
      <c r="BE75" s="787">
        <v>57757.72</v>
      </c>
      <c r="BF75" s="787">
        <v>35301</v>
      </c>
      <c r="BG75" s="787">
        <v>0</v>
      </c>
      <c r="BH75" s="787">
        <v>0</v>
      </c>
      <c r="BI75" s="787">
        <v>0</v>
      </c>
      <c r="BJ75" s="787">
        <v>2055105.8800000001</v>
      </c>
      <c r="BK75" s="787">
        <v>210464.49999999965</v>
      </c>
      <c r="BL75" s="787">
        <v>66944.421059900196</v>
      </c>
      <c r="BM75" s="787">
        <v>277408.92105989985</v>
      </c>
      <c r="BN75" s="787">
        <v>6486.25</v>
      </c>
      <c r="BO75" s="787">
        <v>0</v>
      </c>
      <c r="BP75" s="787">
        <v>0</v>
      </c>
      <c r="BQ75" s="787">
        <v>6486.25</v>
      </c>
      <c r="BR75" s="787">
        <v>0</v>
      </c>
      <c r="BS75" s="787">
        <v>1875</v>
      </c>
      <c r="BT75" s="787">
        <v>0</v>
      </c>
      <c r="BU75" s="787">
        <v>0</v>
      </c>
      <c r="BV75" s="787">
        <v>0</v>
      </c>
      <c r="BW75" s="787">
        <v>0</v>
      </c>
      <c r="BX75" s="787">
        <v>0</v>
      </c>
      <c r="BY75" s="787">
        <v>0</v>
      </c>
      <c r="BZ75" s="787">
        <v>1875</v>
      </c>
      <c r="CA75" s="787">
        <v>2309.25</v>
      </c>
      <c r="CB75" s="787">
        <v>4611.25</v>
      </c>
      <c r="CC75" s="787">
        <v>6920.5</v>
      </c>
      <c r="CD75" s="787">
        <v>0</v>
      </c>
      <c r="CE75" s="787">
        <v>0</v>
      </c>
      <c r="CF75" s="787">
        <v>0</v>
      </c>
      <c r="CG75" s="787">
        <v>0</v>
      </c>
      <c r="CH75" s="787">
        <v>0</v>
      </c>
      <c r="CI75" s="787">
        <v>0</v>
      </c>
      <c r="CJ75" s="787">
        <v>0</v>
      </c>
      <c r="CK75" s="787">
        <v>0</v>
      </c>
      <c r="CL75" s="787">
        <v>0</v>
      </c>
      <c r="CM75" s="787">
        <v>277408.92105989985</v>
      </c>
      <c r="CN75" s="787">
        <v>0</v>
      </c>
      <c r="CO75" s="787">
        <v>6920.5</v>
      </c>
      <c r="CP75" s="787">
        <v>0</v>
      </c>
      <c r="CQ75" s="787">
        <v>0</v>
      </c>
      <c r="CR75" s="787">
        <v>284329.42105989985</v>
      </c>
      <c r="CS75" s="787">
        <v>386449.72</v>
      </c>
      <c r="CT75" s="787">
        <v>5332.37</v>
      </c>
      <c r="CU75" s="787">
        <v>25055.89</v>
      </c>
      <c r="CV75" s="787">
        <v>406173.24</v>
      </c>
      <c r="CW75" s="787">
        <v>0</v>
      </c>
      <c r="CX75" s="787">
        <v>9642.6299999999992</v>
      </c>
      <c r="CY75" s="787">
        <v>11050.64</v>
      </c>
      <c r="CZ75" s="787">
        <v>0.1</v>
      </c>
      <c r="DA75" s="787">
        <v>0</v>
      </c>
      <c r="DB75" s="787">
        <v>426866.61</v>
      </c>
      <c r="DC75" s="787">
        <v>0</v>
      </c>
      <c r="DD75" s="787">
        <v>0</v>
      </c>
      <c r="DE75" s="787">
        <v>0</v>
      </c>
      <c r="DF75" s="787">
        <v>0</v>
      </c>
      <c r="DG75" s="787"/>
      <c r="DH75" s="787"/>
      <c r="DI75" s="787"/>
      <c r="DJ75" s="787">
        <v>0</v>
      </c>
      <c r="DK75" s="787">
        <v>0</v>
      </c>
      <c r="DL75" s="787">
        <v>1128.4000000000001</v>
      </c>
      <c r="DM75" s="787">
        <v>0</v>
      </c>
      <c r="DN75" s="787">
        <v>0</v>
      </c>
      <c r="DO75" s="787">
        <v>0</v>
      </c>
      <c r="DP75" s="787">
        <v>-11445.09</v>
      </c>
      <c r="DQ75" s="787">
        <v>-409</v>
      </c>
      <c r="DR75" s="787">
        <v>0</v>
      </c>
      <c r="DS75" s="787">
        <v>0</v>
      </c>
      <c r="DT75" s="787">
        <v>-10725.69</v>
      </c>
      <c r="DU75" s="787">
        <v>0</v>
      </c>
      <c r="DV75" s="787">
        <v>0</v>
      </c>
      <c r="DW75" s="787">
        <v>0</v>
      </c>
      <c r="DX75" s="787">
        <v>0</v>
      </c>
      <c r="DY75" s="787">
        <v>0</v>
      </c>
      <c r="DZ75" s="787">
        <v>-131811.73000000001</v>
      </c>
      <c r="EA75" s="787">
        <v>0.23105989990290254</v>
      </c>
      <c r="EE75">
        <f>_xlfn.XLOOKUP(C75,'[1]Cfwd Analysis'!$C:$C,'[1]Cfwd Analysis'!$I:$I,0,0)</f>
        <v>277408.92105989985</v>
      </c>
      <c r="EF75" s="788">
        <f t="shared" si="1"/>
        <v>0</v>
      </c>
    </row>
    <row r="76" spans="1:136" ht="15.6" hidden="1">
      <c r="A76" s="782" t="s">
        <v>1369</v>
      </c>
      <c r="B76" s="782" t="s">
        <v>660</v>
      </c>
      <c r="C76" s="783">
        <v>1010</v>
      </c>
      <c r="D76" s="784" t="s">
        <v>661</v>
      </c>
      <c r="E76" s="785" t="s">
        <v>521</v>
      </c>
      <c r="F76" s="786" t="s">
        <v>1305</v>
      </c>
      <c r="G76" s="785" t="s">
        <v>5</v>
      </c>
      <c r="H76" s="785" t="s">
        <v>672</v>
      </c>
      <c r="I76" s="787">
        <v>970344.64994149597</v>
      </c>
      <c r="J76" s="787">
        <v>0</v>
      </c>
      <c r="K76" s="787">
        <v>62448.54059150508</v>
      </c>
      <c r="L76" s="787">
        <v>0</v>
      </c>
      <c r="M76" s="787">
        <v>0</v>
      </c>
      <c r="N76" s="787">
        <v>0</v>
      </c>
      <c r="O76" s="787">
        <v>0</v>
      </c>
      <c r="P76" s="787">
        <v>0</v>
      </c>
      <c r="Q76" s="787">
        <v>131083.16</v>
      </c>
      <c r="R76" s="787">
        <v>0</v>
      </c>
      <c r="S76" s="787">
        <v>0</v>
      </c>
      <c r="T76" s="787">
        <v>0</v>
      </c>
      <c r="U76" s="787">
        <v>1147.56</v>
      </c>
      <c r="V76" s="787">
        <v>0</v>
      </c>
      <c r="W76" s="787">
        <v>0</v>
      </c>
      <c r="X76" s="787">
        <v>1165023.9105330012</v>
      </c>
      <c r="Y76" s="787">
        <v>243052.65</v>
      </c>
      <c r="Z76" s="787">
        <v>55943.520000000004</v>
      </c>
      <c r="AA76" s="787">
        <v>247486.23</v>
      </c>
      <c r="AB76" s="787">
        <v>0</v>
      </c>
      <c r="AC76" s="787">
        <v>101633.9</v>
      </c>
      <c r="AD76" s="787">
        <v>0</v>
      </c>
      <c r="AE76" s="787">
        <v>0</v>
      </c>
      <c r="AF76" s="787">
        <v>15449.64</v>
      </c>
      <c r="AG76" s="787">
        <v>5314.02</v>
      </c>
      <c r="AH76" s="787">
        <v>0</v>
      </c>
      <c r="AI76" s="787">
        <v>0</v>
      </c>
      <c r="AJ76" s="787">
        <v>29328.09</v>
      </c>
      <c r="AK76" s="787">
        <v>2010.03</v>
      </c>
      <c r="AL76" s="787">
        <v>1682.84</v>
      </c>
      <c r="AM76" s="787">
        <v>1133.3</v>
      </c>
      <c r="AN76" s="787">
        <v>9923.82</v>
      </c>
      <c r="AO76" s="787">
        <v>0</v>
      </c>
      <c r="AP76" s="787">
        <v>35556.01</v>
      </c>
      <c r="AQ76" s="787">
        <v>52736.57</v>
      </c>
      <c r="AR76" s="787">
        <v>0</v>
      </c>
      <c r="AS76" s="787">
        <v>0</v>
      </c>
      <c r="AT76" s="787">
        <v>0</v>
      </c>
      <c r="AU76" s="787">
        <v>0</v>
      </c>
      <c r="AV76" s="787">
        <v>0</v>
      </c>
      <c r="AW76" s="787">
        <v>0</v>
      </c>
      <c r="AX76" s="787">
        <v>0</v>
      </c>
      <c r="AY76" s="787">
        <v>0</v>
      </c>
      <c r="AZ76" s="787">
        <v>91481.87</v>
      </c>
      <c r="BA76" s="787">
        <v>3291.75</v>
      </c>
      <c r="BB76" s="787">
        <v>0</v>
      </c>
      <c r="BC76" s="787">
        <v>7466.9900000000007</v>
      </c>
      <c r="BD76" s="787">
        <v>75333.87</v>
      </c>
      <c r="BE76" s="787">
        <v>0</v>
      </c>
      <c r="BF76" s="787">
        <v>269434.14</v>
      </c>
      <c r="BG76" s="787">
        <v>0</v>
      </c>
      <c r="BH76" s="787">
        <v>0</v>
      </c>
      <c r="BI76" s="787">
        <v>0</v>
      </c>
      <c r="BJ76" s="787">
        <v>1248259.24</v>
      </c>
      <c r="BK76" s="787">
        <v>470124.49999999977</v>
      </c>
      <c r="BL76" s="787">
        <v>-83235.32946699881</v>
      </c>
      <c r="BM76" s="787">
        <v>386889.17053300096</v>
      </c>
      <c r="BN76" s="787">
        <v>5120.5</v>
      </c>
      <c r="BO76" s="787">
        <v>0</v>
      </c>
      <c r="BP76" s="787">
        <v>0</v>
      </c>
      <c r="BQ76" s="787">
        <v>5120.5</v>
      </c>
      <c r="BR76" s="787">
        <v>0</v>
      </c>
      <c r="BS76" s="787">
        <v>0</v>
      </c>
      <c r="BT76" s="787">
        <v>0</v>
      </c>
      <c r="BU76" s="787">
        <v>0</v>
      </c>
      <c r="BV76" s="787">
        <v>0</v>
      </c>
      <c r="BW76" s="787">
        <v>0</v>
      </c>
      <c r="BX76" s="787">
        <v>0</v>
      </c>
      <c r="BY76" s="787">
        <v>0</v>
      </c>
      <c r="BZ76" s="787">
        <v>0</v>
      </c>
      <c r="CA76" s="787">
        <v>5194.75</v>
      </c>
      <c r="CB76" s="787">
        <v>5120.5</v>
      </c>
      <c r="CC76" s="787">
        <v>10315.25</v>
      </c>
      <c r="CD76" s="787">
        <v>0</v>
      </c>
      <c r="CE76" s="787">
        <v>0</v>
      </c>
      <c r="CF76" s="787">
        <v>0</v>
      </c>
      <c r="CG76" s="787">
        <v>0</v>
      </c>
      <c r="CH76" s="787">
        <v>0</v>
      </c>
      <c r="CI76" s="787">
        <v>0</v>
      </c>
      <c r="CJ76" s="787">
        <v>0</v>
      </c>
      <c r="CK76" s="787">
        <v>0</v>
      </c>
      <c r="CL76" s="787">
        <v>0</v>
      </c>
      <c r="CM76" s="787">
        <v>386889.17053300096</v>
      </c>
      <c r="CN76" s="787">
        <v>0</v>
      </c>
      <c r="CO76" s="787">
        <v>10315</v>
      </c>
      <c r="CP76" s="787">
        <v>0.25</v>
      </c>
      <c r="CQ76" s="787">
        <v>0</v>
      </c>
      <c r="CR76" s="787">
        <v>397204.42053300096</v>
      </c>
      <c r="CS76" s="787">
        <v>516523.96</v>
      </c>
      <c r="CT76" s="787">
        <v>16383.5</v>
      </c>
      <c r="CU76" s="787">
        <v>0</v>
      </c>
      <c r="CV76" s="787">
        <v>500140.46</v>
      </c>
      <c r="CW76" s="787">
        <v>0</v>
      </c>
      <c r="CX76" s="787">
        <v>14042.23</v>
      </c>
      <c r="CY76" s="787">
        <v>124.57</v>
      </c>
      <c r="CZ76" s="787">
        <v>0</v>
      </c>
      <c r="DA76" s="787">
        <v>0</v>
      </c>
      <c r="DB76" s="787">
        <v>514307.26</v>
      </c>
      <c r="DC76" s="787">
        <v>0</v>
      </c>
      <c r="DD76" s="787">
        <v>0</v>
      </c>
      <c r="DE76" s="787">
        <v>0</v>
      </c>
      <c r="DF76" s="787">
        <v>0</v>
      </c>
      <c r="DG76" s="787"/>
      <c r="DH76" s="787"/>
      <c r="DI76" s="787"/>
      <c r="DJ76" s="787">
        <v>0</v>
      </c>
      <c r="DK76" s="787">
        <v>0</v>
      </c>
      <c r="DL76" s="787">
        <v>0</v>
      </c>
      <c r="DM76" s="787">
        <v>0</v>
      </c>
      <c r="DN76" s="787">
        <v>0</v>
      </c>
      <c r="DO76" s="787">
        <v>0</v>
      </c>
      <c r="DP76" s="787">
        <v>-62750.86</v>
      </c>
      <c r="DQ76" s="787">
        <v>0</v>
      </c>
      <c r="DR76" s="787">
        <v>0</v>
      </c>
      <c r="DS76" s="787">
        <v>0</v>
      </c>
      <c r="DT76" s="787">
        <v>-62750.86</v>
      </c>
      <c r="DU76" s="787">
        <v>0</v>
      </c>
      <c r="DV76" s="787">
        <v>0</v>
      </c>
      <c r="DW76" s="787">
        <v>0</v>
      </c>
      <c r="DX76" s="787">
        <v>0</v>
      </c>
      <c r="DY76" s="787">
        <v>0</v>
      </c>
      <c r="DZ76" s="787">
        <v>-54351.73</v>
      </c>
      <c r="EA76" s="787">
        <v>-0.24946699908468872</v>
      </c>
      <c r="EE76">
        <f>_xlfn.XLOOKUP(C76,'[1]Cfwd Analysis'!$C:$C,'[1]Cfwd Analysis'!$I:$I,0,0)</f>
        <v>386889.17053300096</v>
      </c>
      <c r="EF76" s="788">
        <f t="shared" si="1"/>
        <v>0</v>
      </c>
    </row>
    <row r="77" spans="1:136" ht="15.6" hidden="1">
      <c r="A77" s="782" t="s">
        <v>1370</v>
      </c>
      <c r="B77" s="782" t="s">
        <v>662</v>
      </c>
      <c r="C77" s="783">
        <v>1021</v>
      </c>
      <c r="D77" s="784" t="s">
        <v>663</v>
      </c>
      <c r="E77" s="785" t="s">
        <v>521</v>
      </c>
      <c r="F77" s="786">
        <v>46094</v>
      </c>
      <c r="G77" s="785" t="s">
        <v>5</v>
      </c>
      <c r="H77" s="785" t="s">
        <v>674</v>
      </c>
      <c r="I77" s="787">
        <v>470255.07778308482</v>
      </c>
      <c r="J77" s="787">
        <v>0</v>
      </c>
      <c r="K77" s="787">
        <v>45606</v>
      </c>
      <c r="L77" s="787">
        <v>0</v>
      </c>
      <c r="M77" s="787">
        <v>0</v>
      </c>
      <c r="N77" s="787">
        <v>0</v>
      </c>
      <c r="O77" s="787">
        <v>0</v>
      </c>
      <c r="P77" s="787">
        <v>0</v>
      </c>
      <c r="Q77" s="787">
        <v>18921.598050000008</v>
      </c>
      <c r="R77" s="787">
        <v>3420.1</v>
      </c>
      <c r="S77" s="787">
        <v>0</v>
      </c>
      <c r="T77" s="787">
        <v>438</v>
      </c>
      <c r="U77" s="787">
        <v>0</v>
      </c>
      <c r="V77" s="787">
        <v>89.95</v>
      </c>
      <c r="W77" s="787">
        <v>0</v>
      </c>
      <c r="X77" s="787">
        <v>538730.72583308478</v>
      </c>
      <c r="Y77" s="787">
        <v>170328.3</v>
      </c>
      <c r="Z77" s="787">
        <v>0</v>
      </c>
      <c r="AA77" s="787">
        <v>128561.69</v>
      </c>
      <c r="AB77" s="787">
        <v>15341.72</v>
      </c>
      <c r="AC77" s="787">
        <v>40376.1</v>
      </c>
      <c r="AD77" s="787">
        <v>0</v>
      </c>
      <c r="AE77" s="787">
        <v>1876.07</v>
      </c>
      <c r="AF77" s="787">
        <v>25063.94</v>
      </c>
      <c r="AG77" s="787">
        <v>1949</v>
      </c>
      <c r="AH77" s="787">
        <v>0</v>
      </c>
      <c r="AI77" s="787">
        <v>0</v>
      </c>
      <c r="AJ77" s="787">
        <v>9868.27</v>
      </c>
      <c r="AK77" s="787">
        <v>44.99</v>
      </c>
      <c r="AL77" s="787">
        <v>979.52</v>
      </c>
      <c r="AM77" s="787">
        <v>1385.61</v>
      </c>
      <c r="AN77" s="787">
        <v>10281.549999999999</v>
      </c>
      <c r="AO77" s="787">
        <v>19500</v>
      </c>
      <c r="AP77" s="787">
        <v>3457.3</v>
      </c>
      <c r="AQ77" s="787">
        <v>5131.45</v>
      </c>
      <c r="AR77" s="787">
        <v>1072.3599999999999</v>
      </c>
      <c r="AS77" s="787">
        <v>0</v>
      </c>
      <c r="AT77" s="787">
        <v>0</v>
      </c>
      <c r="AU77" s="787">
        <v>656</v>
      </c>
      <c r="AV77" s="787">
        <v>0</v>
      </c>
      <c r="AW77" s="787">
        <v>50.19</v>
      </c>
      <c r="AX77" s="787">
        <v>1650</v>
      </c>
      <c r="AY77" s="787">
        <v>0</v>
      </c>
      <c r="AZ77" s="787">
        <v>23310.84</v>
      </c>
      <c r="BA77" s="787">
        <v>3291.75</v>
      </c>
      <c r="BB77" s="787">
        <v>0</v>
      </c>
      <c r="BC77" s="787">
        <v>8861.56</v>
      </c>
      <c r="BD77" s="787">
        <v>68162.350000000006</v>
      </c>
      <c r="BE77" s="787">
        <v>6016</v>
      </c>
      <c r="BF77" s="787">
        <v>41481.11</v>
      </c>
      <c r="BG77" s="787">
        <v>0</v>
      </c>
      <c r="BH77" s="787">
        <v>0</v>
      </c>
      <c r="BI77" s="787">
        <v>0</v>
      </c>
      <c r="BJ77" s="787">
        <v>588697.66999999993</v>
      </c>
      <c r="BK77" s="787">
        <v>119166.30000000028</v>
      </c>
      <c r="BL77" s="787">
        <v>-49966.944166915142</v>
      </c>
      <c r="BM77" s="787">
        <v>69199.355833085137</v>
      </c>
      <c r="BN77" s="787">
        <v>4465.75</v>
      </c>
      <c r="BO77" s="787">
        <v>0</v>
      </c>
      <c r="BP77" s="787">
        <v>0</v>
      </c>
      <c r="BQ77" s="787">
        <v>4465.75</v>
      </c>
      <c r="BR77" s="787">
        <v>0</v>
      </c>
      <c r="BS77" s="787">
        <v>12738.2</v>
      </c>
      <c r="BT77" s="787">
        <v>0</v>
      </c>
      <c r="BU77" s="787">
        <v>0</v>
      </c>
      <c r="BV77" s="787">
        <v>0</v>
      </c>
      <c r="BW77" s="787">
        <v>0</v>
      </c>
      <c r="BX77" s="787">
        <v>2710</v>
      </c>
      <c r="BY77" s="787">
        <v>483</v>
      </c>
      <c r="BZ77" s="787">
        <v>15931.2</v>
      </c>
      <c r="CA77" s="787">
        <v>11694.310000000001</v>
      </c>
      <c r="CB77" s="787">
        <v>-11465.45</v>
      </c>
      <c r="CC77" s="787">
        <v>228.86000000000058</v>
      </c>
      <c r="CD77" s="787">
        <v>0</v>
      </c>
      <c r="CE77" s="787">
        <v>0</v>
      </c>
      <c r="CF77" s="787">
        <v>0</v>
      </c>
      <c r="CG77" s="787">
        <v>0</v>
      </c>
      <c r="CH77" s="787">
        <v>0</v>
      </c>
      <c r="CI77" s="787">
        <v>0</v>
      </c>
      <c r="CJ77" s="787">
        <v>0</v>
      </c>
      <c r="CK77" s="787">
        <v>0</v>
      </c>
      <c r="CL77" s="787">
        <v>0</v>
      </c>
      <c r="CM77" s="787">
        <v>69199.355833085137</v>
      </c>
      <c r="CN77" s="787">
        <v>0</v>
      </c>
      <c r="CO77" s="787">
        <v>228.86000000000058</v>
      </c>
      <c r="CP77" s="787">
        <v>0</v>
      </c>
      <c r="CQ77" s="787">
        <v>0</v>
      </c>
      <c r="CR77" s="787">
        <v>69428.215833085138</v>
      </c>
      <c r="CS77" s="787">
        <v>130134.79</v>
      </c>
      <c r="CT77" s="787">
        <v>0</v>
      </c>
      <c r="CU77" s="787">
        <v>0</v>
      </c>
      <c r="CV77" s="787">
        <v>130134.79</v>
      </c>
      <c r="CW77" s="787">
        <v>0</v>
      </c>
      <c r="CX77" s="787">
        <v>2813.05</v>
      </c>
      <c r="CY77" s="787">
        <v>2034.24</v>
      </c>
      <c r="CZ77" s="787">
        <v>0</v>
      </c>
      <c r="DA77" s="787">
        <v>0</v>
      </c>
      <c r="DB77" s="787">
        <v>134982.07999999999</v>
      </c>
      <c r="DC77" s="787">
        <v>79.760000000000005</v>
      </c>
      <c r="DD77" s="787">
        <v>0</v>
      </c>
      <c r="DE77" s="787">
        <v>0</v>
      </c>
      <c r="DF77" s="787">
        <v>79.760000000000005</v>
      </c>
      <c r="DG77" s="787"/>
      <c r="DH77" s="787"/>
      <c r="DI77" s="787"/>
      <c r="DJ77" s="787">
        <v>0</v>
      </c>
      <c r="DK77" s="787">
        <v>79.760000000000005</v>
      </c>
      <c r="DL77" s="787">
        <v>0</v>
      </c>
      <c r="DM77" s="787">
        <v>0</v>
      </c>
      <c r="DN77" s="787">
        <v>0</v>
      </c>
      <c r="DO77" s="787">
        <v>0</v>
      </c>
      <c r="DP77" s="787">
        <v>-9016</v>
      </c>
      <c r="DQ77" s="787">
        <v>-26160.25</v>
      </c>
      <c r="DR77" s="787">
        <v>0</v>
      </c>
      <c r="DS77" s="787">
        <v>0</v>
      </c>
      <c r="DT77" s="787">
        <v>-35176.25</v>
      </c>
      <c r="DU77" s="787">
        <v>0</v>
      </c>
      <c r="DV77" s="787">
        <v>0</v>
      </c>
      <c r="DW77" s="787">
        <v>-998.22</v>
      </c>
      <c r="DX77" s="787">
        <v>0</v>
      </c>
      <c r="DY77" s="787">
        <v>0</v>
      </c>
      <c r="DZ77" s="787">
        <v>-29459.31</v>
      </c>
      <c r="EA77" s="787">
        <v>0.1558330851548817</v>
      </c>
      <c r="EC77" s="788">
        <v>228.86000000000058</v>
      </c>
      <c r="EE77">
        <f>_xlfn.XLOOKUP(C77,'[1]Cfwd Analysis'!$C:$C,'[1]Cfwd Analysis'!$I:$I,0,0)</f>
        <v>69199.355833085137</v>
      </c>
      <c r="EF77" s="788">
        <f t="shared" si="1"/>
        <v>0</v>
      </c>
    </row>
    <row r="78" spans="1:136" ht="15.6" hidden="1">
      <c r="A78" s="782" t="s">
        <v>1371</v>
      </c>
      <c r="B78" s="782" t="s">
        <v>664</v>
      </c>
      <c r="C78" s="783">
        <v>4201</v>
      </c>
      <c r="D78" s="784" t="s">
        <v>665</v>
      </c>
      <c r="E78" s="785" t="s">
        <v>521</v>
      </c>
      <c r="F78" s="786">
        <v>46093</v>
      </c>
      <c r="G78" s="785" t="s">
        <v>5</v>
      </c>
      <c r="H78" s="785" t="s">
        <v>676</v>
      </c>
      <c r="I78" s="787">
        <v>9877700.0036645997</v>
      </c>
      <c r="J78" s="787">
        <v>0</v>
      </c>
      <c r="K78" s="787">
        <v>92186.66333333333</v>
      </c>
      <c r="L78" s="787">
        <v>0</v>
      </c>
      <c r="M78" s="787">
        <v>696299</v>
      </c>
      <c r="N78" s="787">
        <v>18672.060000000001</v>
      </c>
      <c r="O78" s="787">
        <v>0</v>
      </c>
      <c r="P78" s="787">
        <v>82531</v>
      </c>
      <c r="Q78" s="787">
        <v>64726</v>
      </c>
      <c r="R78" s="787">
        <v>189800</v>
      </c>
      <c r="S78" s="787">
        <v>0</v>
      </c>
      <c r="T78" s="787">
        <v>0</v>
      </c>
      <c r="U78" s="787">
        <v>6025</v>
      </c>
      <c r="V78" s="787">
        <v>0</v>
      </c>
      <c r="W78" s="787">
        <v>0</v>
      </c>
      <c r="X78" s="787">
        <v>11027939.726997934</v>
      </c>
      <c r="Y78" s="787">
        <v>6477718</v>
      </c>
      <c r="Z78" s="787">
        <v>0</v>
      </c>
      <c r="AA78" s="787">
        <v>1323516</v>
      </c>
      <c r="AB78" s="787">
        <v>227341</v>
      </c>
      <c r="AC78" s="787">
        <v>585857</v>
      </c>
      <c r="AD78" s="787">
        <v>0</v>
      </c>
      <c r="AE78" s="787">
        <v>26638</v>
      </c>
      <c r="AF78" s="787">
        <v>31253.25</v>
      </c>
      <c r="AG78" s="787">
        <v>56073</v>
      </c>
      <c r="AH78" s="787">
        <v>0</v>
      </c>
      <c r="AI78" s="787">
        <v>0</v>
      </c>
      <c r="AJ78" s="787">
        <v>83792.600000000006</v>
      </c>
      <c r="AK78" s="787">
        <v>21750</v>
      </c>
      <c r="AL78" s="787">
        <v>278580.07</v>
      </c>
      <c r="AM78" s="787">
        <v>17934</v>
      </c>
      <c r="AN78" s="787">
        <v>188462</v>
      </c>
      <c r="AO78" s="787">
        <v>188038.73999999996</v>
      </c>
      <c r="AP78" s="787">
        <v>99452</v>
      </c>
      <c r="AQ78" s="787">
        <v>185888</v>
      </c>
      <c r="AR78" s="787">
        <v>14375</v>
      </c>
      <c r="AS78" s="787">
        <v>0</v>
      </c>
      <c r="AT78" s="787">
        <v>49934</v>
      </c>
      <c r="AU78" s="787">
        <v>72757</v>
      </c>
      <c r="AV78" s="787">
        <v>6710</v>
      </c>
      <c r="AW78" s="787">
        <v>14633</v>
      </c>
      <c r="AX78" s="787">
        <v>6065</v>
      </c>
      <c r="AY78" s="787">
        <v>109292</v>
      </c>
      <c r="AZ78" s="787">
        <v>90070.22</v>
      </c>
      <c r="BA78" s="787">
        <v>38116</v>
      </c>
      <c r="BB78" s="787">
        <v>0</v>
      </c>
      <c r="BC78" s="787">
        <v>358844</v>
      </c>
      <c r="BD78" s="787">
        <v>72239</v>
      </c>
      <c r="BE78" s="787">
        <v>247350.52</v>
      </c>
      <c r="BF78" s="787">
        <v>101488</v>
      </c>
      <c r="BG78" s="787">
        <v>0</v>
      </c>
      <c r="BH78" s="787">
        <v>0</v>
      </c>
      <c r="BI78" s="787">
        <v>45532</v>
      </c>
      <c r="BJ78" s="787">
        <v>11019699.4</v>
      </c>
      <c r="BK78" s="787">
        <v>2462119.2100000018</v>
      </c>
      <c r="BL78" s="787">
        <v>8240.3269979339093</v>
      </c>
      <c r="BM78" s="787">
        <v>2470359.5369979357</v>
      </c>
      <c r="BN78" s="787">
        <v>24503.13</v>
      </c>
      <c r="BO78" s="787">
        <v>0</v>
      </c>
      <c r="BP78" s="787">
        <v>45532</v>
      </c>
      <c r="BQ78" s="787">
        <v>70035.13</v>
      </c>
      <c r="BR78" s="787">
        <v>0</v>
      </c>
      <c r="BS78" s="787">
        <v>26467.87</v>
      </c>
      <c r="BT78" s="787">
        <v>0</v>
      </c>
      <c r="BU78" s="787">
        <v>0</v>
      </c>
      <c r="BV78" s="787">
        <v>0</v>
      </c>
      <c r="BW78" s="787">
        <v>0</v>
      </c>
      <c r="BX78" s="787">
        <v>58354.7</v>
      </c>
      <c r="BY78" s="787">
        <v>0</v>
      </c>
      <c r="BZ78" s="787">
        <v>84822.569999999992</v>
      </c>
      <c r="CA78" s="787">
        <v>14787.839999999993</v>
      </c>
      <c r="CB78" s="787">
        <v>-14787.439999999988</v>
      </c>
      <c r="CC78" s="787">
        <v>0.40000000000509317</v>
      </c>
      <c r="CD78" s="787">
        <v>0</v>
      </c>
      <c r="CE78" s="787">
        <v>0</v>
      </c>
      <c r="CF78" s="787">
        <v>0</v>
      </c>
      <c r="CG78" s="787">
        <v>0</v>
      </c>
      <c r="CH78" s="787">
        <v>0</v>
      </c>
      <c r="CI78" s="787">
        <v>0</v>
      </c>
      <c r="CJ78" s="787">
        <v>0</v>
      </c>
      <c r="CK78" s="787">
        <v>0</v>
      </c>
      <c r="CL78" s="787">
        <v>0</v>
      </c>
      <c r="CM78" s="787">
        <v>2470359.5369979357</v>
      </c>
      <c r="CN78" s="787">
        <v>0</v>
      </c>
      <c r="CO78" s="787">
        <v>0</v>
      </c>
      <c r="CP78" s="787">
        <v>0.40000000000509317</v>
      </c>
      <c r="CQ78" s="787">
        <v>0</v>
      </c>
      <c r="CR78" s="787">
        <v>2470359.9369979356</v>
      </c>
      <c r="CS78" s="787">
        <v>50108</v>
      </c>
      <c r="CT78" s="787">
        <v>543122.55000000005</v>
      </c>
      <c r="CU78" s="787">
        <v>1281.8599999999999</v>
      </c>
      <c r="CV78" s="787">
        <v>-491732.69000000006</v>
      </c>
      <c r="CW78" s="787">
        <v>0</v>
      </c>
      <c r="CX78" s="787">
        <v>34446.480000000003</v>
      </c>
      <c r="CY78" s="787">
        <v>29932.99</v>
      </c>
      <c r="CZ78" s="787">
        <v>0</v>
      </c>
      <c r="DA78" s="787">
        <v>0</v>
      </c>
      <c r="DB78" s="787">
        <v>-427353.22000000009</v>
      </c>
      <c r="DC78" s="787">
        <v>3412564.92</v>
      </c>
      <c r="DD78" s="787">
        <v>0</v>
      </c>
      <c r="DE78" s="787">
        <v>0</v>
      </c>
      <c r="DF78" s="787">
        <v>3412564.92</v>
      </c>
      <c r="DG78" s="787"/>
      <c r="DH78" s="787"/>
      <c r="DI78" s="787"/>
      <c r="DJ78" s="787">
        <v>0</v>
      </c>
      <c r="DK78" s="787">
        <v>3412564.92</v>
      </c>
      <c r="DL78" s="787">
        <v>0</v>
      </c>
      <c r="DM78" s="787">
        <v>0</v>
      </c>
      <c r="DN78" s="787">
        <v>0</v>
      </c>
      <c r="DO78" s="787">
        <v>0</v>
      </c>
      <c r="DP78" s="787">
        <v>-154116.14000000001</v>
      </c>
      <c r="DQ78" s="787">
        <v>0</v>
      </c>
      <c r="DR78" s="787">
        <v>0</v>
      </c>
      <c r="DS78" s="787">
        <v>0</v>
      </c>
      <c r="DT78" s="787">
        <v>-154116.14000000001</v>
      </c>
      <c r="DU78" s="787">
        <v>0</v>
      </c>
      <c r="DV78" s="787">
        <v>0</v>
      </c>
      <c r="DW78" s="787">
        <v>0</v>
      </c>
      <c r="DX78" s="787">
        <v>0</v>
      </c>
      <c r="DY78" s="787">
        <v>0</v>
      </c>
      <c r="DZ78" s="787">
        <v>-360736</v>
      </c>
      <c r="EA78" s="787">
        <v>0.37699793605133891</v>
      </c>
      <c r="EE78">
        <f>_xlfn.XLOOKUP(C78,'[1]Cfwd Analysis'!$C:$C,'[1]Cfwd Analysis'!$I:$I,0,0)</f>
        <v>2470359.5369979357</v>
      </c>
      <c r="EF78" s="788">
        <f t="shared" si="1"/>
        <v>0</v>
      </c>
    </row>
    <row r="79" spans="1:136" ht="15.6" hidden="1">
      <c r="A79" s="782" t="s">
        <v>1372</v>
      </c>
      <c r="B79" s="782" t="s">
        <v>666</v>
      </c>
      <c r="C79" s="783">
        <v>4015</v>
      </c>
      <c r="D79" s="784" t="s">
        <v>667</v>
      </c>
      <c r="E79" s="785" t="s">
        <v>521</v>
      </c>
      <c r="F79" s="786">
        <v>46093</v>
      </c>
      <c r="G79" s="785" t="s">
        <v>5</v>
      </c>
      <c r="H79" s="785" t="s">
        <v>678</v>
      </c>
      <c r="I79" s="787">
        <v>6075184.1970598893</v>
      </c>
      <c r="J79" s="787">
        <v>0</v>
      </c>
      <c r="K79" s="787">
        <v>46419.05</v>
      </c>
      <c r="L79" s="787">
        <v>0</v>
      </c>
      <c r="M79" s="787">
        <v>413760</v>
      </c>
      <c r="N79" s="787">
        <v>3256.93</v>
      </c>
      <c r="O79" s="787">
        <v>0</v>
      </c>
      <c r="P79" s="787">
        <v>1100</v>
      </c>
      <c r="Q79" s="787">
        <v>14505</v>
      </c>
      <c r="R79" s="787">
        <v>0</v>
      </c>
      <c r="S79" s="787">
        <v>0</v>
      </c>
      <c r="T79" s="787">
        <v>0</v>
      </c>
      <c r="U79" s="787">
        <v>0</v>
      </c>
      <c r="V79" s="787">
        <v>12973</v>
      </c>
      <c r="W79" s="787">
        <v>0</v>
      </c>
      <c r="X79" s="787">
        <v>6567198.1770598888</v>
      </c>
      <c r="Y79" s="787">
        <v>3413684</v>
      </c>
      <c r="Z79" s="787">
        <v>0</v>
      </c>
      <c r="AA79" s="787">
        <v>749567</v>
      </c>
      <c r="AB79" s="787">
        <v>116308</v>
      </c>
      <c r="AC79" s="787">
        <v>469739</v>
      </c>
      <c r="AD79" s="787">
        <v>0</v>
      </c>
      <c r="AE79" s="787">
        <v>36128</v>
      </c>
      <c r="AF79" s="787">
        <v>48905</v>
      </c>
      <c r="AG79" s="787">
        <v>10927</v>
      </c>
      <c r="AH79" s="787">
        <v>0</v>
      </c>
      <c r="AI79" s="787">
        <v>0</v>
      </c>
      <c r="AJ79" s="787">
        <v>314015</v>
      </c>
      <c r="AK79" s="787">
        <v>10884</v>
      </c>
      <c r="AL79" s="787">
        <v>120199.08</v>
      </c>
      <c r="AM79" s="787">
        <v>17893</v>
      </c>
      <c r="AN79" s="787">
        <v>140231</v>
      </c>
      <c r="AO79" s="787">
        <v>78092.089999999982</v>
      </c>
      <c r="AP79" s="787">
        <v>73593</v>
      </c>
      <c r="AQ79" s="787">
        <v>178522</v>
      </c>
      <c r="AR79" s="787">
        <v>130479</v>
      </c>
      <c r="AS79" s="787">
        <v>0</v>
      </c>
      <c r="AT79" s="787">
        <v>0</v>
      </c>
      <c r="AU79" s="787">
        <v>0</v>
      </c>
      <c r="AV79" s="787">
        <v>0</v>
      </c>
      <c r="AW79" s="787">
        <v>0</v>
      </c>
      <c r="AX79" s="787">
        <v>0</v>
      </c>
      <c r="AY79" s="787">
        <v>50085</v>
      </c>
      <c r="AZ79" s="787">
        <v>86819</v>
      </c>
      <c r="BA79" s="787">
        <v>20834</v>
      </c>
      <c r="BB79" s="787">
        <v>0</v>
      </c>
      <c r="BC79" s="787">
        <v>160971.28</v>
      </c>
      <c r="BD79" s="787">
        <v>247521.44</v>
      </c>
      <c r="BE79" s="787">
        <v>16357.889999999998</v>
      </c>
      <c r="BF79" s="787">
        <v>84764</v>
      </c>
      <c r="BG79" s="787">
        <v>0</v>
      </c>
      <c r="BH79" s="787">
        <v>0</v>
      </c>
      <c r="BI79" s="787">
        <v>0</v>
      </c>
      <c r="BJ79" s="787">
        <v>6576518.7800000003</v>
      </c>
      <c r="BK79" s="787">
        <v>1167619.1300000001</v>
      </c>
      <c r="BL79" s="787">
        <v>-9320.602940111421</v>
      </c>
      <c r="BM79" s="787">
        <v>1158298.5270598887</v>
      </c>
      <c r="BN79" s="787">
        <v>16571.88</v>
      </c>
      <c r="BO79" s="787">
        <v>0</v>
      </c>
      <c r="BP79" s="787">
        <v>0</v>
      </c>
      <c r="BQ79" s="787">
        <v>16571.88</v>
      </c>
      <c r="BR79" s="787">
        <v>0</v>
      </c>
      <c r="BS79" s="787">
        <v>9626</v>
      </c>
      <c r="BT79" s="787">
        <v>0</v>
      </c>
      <c r="BU79" s="787">
        <v>0</v>
      </c>
      <c r="BV79" s="787">
        <v>0</v>
      </c>
      <c r="BW79" s="787">
        <v>0</v>
      </c>
      <c r="BX79" s="787">
        <v>0</v>
      </c>
      <c r="BY79" s="787">
        <v>0</v>
      </c>
      <c r="BZ79" s="787">
        <v>9626</v>
      </c>
      <c r="CA79" s="787">
        <v>43990.84</v>
      </c>
      <c r="CB79" s="787">
        <v>6945.880000000001</v>
      </c>
      <c r="CC79" s="787">
        <v>50936.72</v>
      </c>
      <c r="CD79" s="787">
        <v>0</v>
      </c>
      <c r="CE79" s="787">
        <v>0</v>
      </c>
      <c r="CF79" s="787">
        <v>0</v>
      </c>
      <c r="CG79" s="787">
        <v>0</v>
      </c>
      <c r="CH79" s="787">
        <v>0</v>
      </c>
      <c r="CI79" s="787">
        <v>0</v>
      </c>
      <c r="CJ79" s="787">
        <v>0</v>
      </c>
      <c r="CK79" s="787">
        <v>0</v>
      </c>
      <c r="CL79" s="787">
        <v>0</v>
      </c>
      <c r="CM79" s="787">
        <v>1158298.5270598887</v>
      </c>
      <c r="CN79" s="787">
        <v>0</v>
      </c>
      <c r="CO79" s="787">
        <v>50936.72</v>
      </c>
      <c r="CP79" s="787">
        <v>0</v>
      </c>
      <c r="CQ79" s="787">
        <v>0</v>
      </c>
      <c r="CR79" s="787">
        <v>1209235.2470598887</v>
      </c>
      <c r="CS79" s="787">
        <v>1752397.69</v>
      </c>
      <c r="CT79" s="787">
        <v>97510.77</v>
      </c>
      <c r="CU79" s="787">
        <v>182.86</v>
      </c>
      <c r="CV79" s="787">
        <v>1655069.78</v>
      </c>
      <c r="CW79" s="787">
        <v>0</v>
      </c>
      <c r="CX79" s="787">
        <v>26566.65</v>
      </c>
      <c r="CY79" s="787">
        <v>9978.1</v>
      </c>
      <c r="CZ79" s="787">
        <v>0</v>
      </c>
      <c r="DA79" s="787">
        <v>0</v>
      </c>
      <c r="DB79" s="787">
        <v>1691614.53</v>
      </c>
      <c r="DC79" s="787">
        <v>2689.11</v>
      </c>
      <c r="DD79" s="787">
        <v>0</v>
      </c>
      <c r="DE79" s="787">
        <v>0</v>
      </c>
      <c r="DF79" s="787">
        <v>2689.11</v>
      </c>
      <c r="DG79" s="787"/>
      <c r="DH79" s="787"/>
      <c r="DI79" s="787"/>
      <c r="DJ79" s="787">
        <v>0</v>
      </c>
      <c r="DK79" s="787">
        <v>2689.11</v>
      </c>
      <c r="DL79" s="787">
        <v>0</v>
      </c>
      <c r="DM79" s="787">
        <v>0</v>
      </c>
      <c r="DN79" s="787">
        <v>0</v>
      </c>
      <c r="DO79" s="787">
        <v>0</v>
      </c>
      <c r="DP79" s="787">
        <v>-89384.8</v>
      </c>
      <c r="DQ79" s="787">
        <v>0</v>
      </c>
      <c r="DR79" s="787">
        <v>0</v>
      </c>
      <c r="DS79" s="787">
        <v>0</v>
      </c>
      <c r="DT79" s="787">
        <v>-89384.8</v>
      </c>
      <c r="DU79" s="787">
        <v>0</v>
      </c>
      <c r="DV79" s="787">
        <v>0</v>
      </c>
      <c r="DW79" s="787">
        <v>0</v>
      </c>
      <c r="DX79" s="787">
        <v>0</v>
      </c>
      <c r="DY79" s="787">
        <v>0</v>
      </c>
      <c r="DZ79" s="787">
        <v>-395683.62</v>
      </c>
      <c r="EA79" s="787">
        <v>2.705988846719265E-2</v>
      </c>
      <c r="EC79" s="788">
        <v>50936.72</v>
      </c>
      <c r="EE79">
        <f>_xlfn.XLOOKUP(C79,'[1]Cfwd Analysis'!$C:$C,'[1]Cfwd Analysis'!$I:$I,0,0)</f>
        <v>1158298.5270598887</v>
      </c>
      <c r="EF79" s="788">
        <f t="shared" si="1"/>
        <v>0</v>
      </c>
    </row>
    <row r="80" spans="1:136" ht="15.6" hidden="1">
      <c r="A80" s="782" t="s">
        <v>1373</v>
      </c>
      <c r="B80" s="782" t="s">
        <v>668</v>
      </c>
      <c r="C80" s="783">
        <v>3411</v>
      </c>
      <c r="D80" s="784" t="s">
        <v>669</v>
      </c>
      <c r="E80" s="785" t="s">
        <v>521</v>
      </c>
      <c r="F80" s="786">
        <v>46094</v>
      </c>
      <c r="G80" s="785" t="s">
        <v>5</v>
      </c>
      <c r="H80" s="785" t="s">
        <v>680</v>
      </c>
      <c r="I80" s="787">
        <v>1266749.5692608766</v>
      </c>
      <c r="J80" s="787">
        <v>0</v>
      </c>
      <c r="K80" s="787">
        <v>444870.02333333332</v>
      </c>
      <c r="L80" s="787">
        <v>0</v>
      </c>
      <c r="M80" s="787">
        <v>145740</v>
      </c>
      <c r="N80" s="787">
        <v>37171</v>
      </c>
      <c r="O80" s="787">
        <v>4600</v>
      </c>
      <c r="P80" s="787">
        <v>6370</v>
      </c>
      <c r="Q80" s="787">
        <v>190691.31</v>
      </c>
      <c r="R80" s="787">
        <v>11182</v>
      </c>
      <c r="S80" s="787">
        <v>0</v>
      </c>
      <c r="T80" s="787">
        <v>0</v>
      </c>
      <c r="U80" s="787">
        <v>0</v>
      </c>
      <c r="V80" s="787">
        <v>0</v>
      </c>
      <c r="W80" s="787">
        <v>0</v>
      </c>
      <c r="X80" s="787">
        <v>2107373.9025942101</v>
      </c>
      <c r="Y80" s="787">
        <v>749732</v>
      </c>
      <c r="Z80" s="787">
        <v>0</v>
      </c>
      <c r="AA80" s="787">
        <v>255061</v>
      </c>
      <c r="AB80" s="787">
        <v>105103</v>
      </c>
      <c r="AC80" s="787">
        <v>101266</v>
      </c>
      <c r="AD80" s="787">
        <v>0</v>
      </c>
      <c r="AE80" s="787">
        <v>0</v>
      </c>
      <c r="AF80" s="787">
        <v>0</v>
      </c>
      <c r="AG80" s="787">
        <v>6795</v>
      </c>
      <c r="AH80" s="787">
        <v>0</v>
      </c>
      <c r="AI80" s="787">
        <v>0</v>
      </c>
      <c r="AJ80" s="787">
        <v>79542</v>
      </c>
      <c r="AK80" s="787">
        <v>6424</v>
      </c>
      <c r="AL80" s="787">
        <v>3348</v>
      </c>
      <c r="AM80" s="787">
        <v>5011</v>
      </c>
      <c r="AN80" s="787">
        <v>35076</v>
      </c>
      <c r="AO80" s="787">
        <v>33654.799999999996</v>
      </c>
      <c r="AP80" s="787">
        <v>0</v>
      </c>
      <c r="AQ80" s="787">
        <v>57155</v>
      </c>
      <c r="AR80" s="787">
        <v>3307</v>
      </c>
      <c r="AS80" s="787">
        <v>0</v>
      </c>
      <c r="AT80" s="787">
        <v>0</v>
      </c>
      <c r="AU80" s="787">
        <v>1300</v>
      </c>
      <c r="AV80" s="787">
        <v>13005</v>
      </c>
      <c r="AW80" s="787">
        <v>0</v>
      </c>
      <c r="AX80" s="787">
        <v>27294</v>
      </c>
      <c r="AY80" s="787">
        <v>0</v>
      </c>
      <c r="AZ80" s="787">
        <v>8630</v>
      </c>
      <c r="BA80" s="787">
        <v>4678</v>
      </c>
      <c r="BB80" s="787">
        <v>0</v>
      </c>
      <c r="BC80" s="787">
        <v>90546</v>
      </c>
      <c r="BD80" s="787">
        <v>315914</v>
      </c>
      <c r="BE80" s="787">
        <v>34075.360000000001</v>
      </c>
      <c r="BF80" s="787">
        <v>54703</v>
      </c>
      <c r="BG80" s="787">
        <v>0</v>
      </c>
      <c r="BH80" s="787">
        <v>0</v>
      </c>
      <c r="BI80" s="787">
        <v>0</v>
      </c>
      <c r="BJ80" s="787">
        <v>1991620.1600000001</v>
      </c>
      <c r="BK80" s="787">
        <v>391018.42000000062</v>
      </c>
      <c r="BL80" s="787">
        <v>115753.74259420997</v>
      </c>
      <c r="BM80" s="787">
        <v>506772.16259421059</v>
      </c>
      <c r="BN80" s="787">
        <v>0</v>
      </c>
      <c r="BO80" s="787">
        <v>0</v>
      </c>
      <c r="BP80" s="787">
        <v>0</v>
      </c>
      <c r="BQ80" s="787">
        <v>0</v>
      </c>
      <c r="BR80" s="787">
        <v>0</v>
      </c>
      <c r="BS80" s="787">
        <v>0</v>
      </c>
      <c r="BT80" s="787">
        <v>0</v>
      </c>
      <c r="BU80" s="787">
        <v>0</v>
      </c>
      <c r="BV80" s="787">
        <v>0</v>
      </c>
      <c r="BW80" s="787">
        <v>0</v>
      </c>
      <c r="BX80" s="787">
        <v>0</v>
      </c>
      <c r="BY80" s="787">
        <v>0</v>
      </c>
      <c r="BZ80" s="787">
        <v>0</v>
      </c>
      <c r="CA80" s="787">
        <v>0</v>
      </c>
      <c r="CB80" s="787">
        <v>0</v>
      </c>
      <c r="CC80" s="787">
        <v>0</v>
      </c>
      <c r="CD80" s="787">
        <v>0</v>
      </c>
      <c r="CE80" s="787">
        <v>0</v>
      </c>
      <c r="CF80" s="787">
        <v>0</v>
      </c>
      <c r="CG80" s="787">
        <v>0</v>
      </c>
      <c r="CH80" s="787">
        <v>0</v>
      </c>
      <c r="CI80" s="787">
        <v>0</v>
      </c>
      <c r="CJ80" s="787">
        <v>0</v>
      </c>
      <c r="CK80" s="787">
        <v>0</v>
      </c>
      <c r="CL80" s="787">
        <v>0</v>
      </c>
      <c r="CM80" s="787">
        <v>506772.16259421059</v>
      </c>
      <c r="CN80" s="787">
        <v>0</v>
      </c>
      <c r="CO80" s="787">
        <v>0</v>
      </c>
      <c r="CP80" s="787">
        <v>0</v>
      </c>
      <c r="CQ80" s="787">
        <v>0</v>
      </c>
      <c r="CR80" s="787">
        <v>506772.16259421059</v>
      </c>
      <c r="CS80" s="787">
        <v>622785.1</v>
      </c>
      <c r="CT80" s="787">
        <v>0</v>
      </c>
      <c r="CU80" s="787">
        <v>0</v>
      </c>
      <c r="CV80" s="787">
        <v>622785.1</v>
      </c>
      <c r="CW80" s="787">
        <v>0</v>
      </c>
      <c r="CX80" s="787">
        <v>5694.26</v>
      </c>
      <c r="CY80" s="787">
        <v>2294.37</v>
      </c>
      <c r="CZ80" s="787">
        <v>0</v>
      </c>
      <c r="DA80" s="787">
        <v>0</v>
      </c>
      <c r="DB80" s="787">
        <v>630773.73</v>
      </c>
      <c r="DC80" s="787">
        <v>0</v>
      </c>
      <c r="DD80" s="787">
        <v>0</v>
      </c>
      <c r="DE80" s="787">
        <v>0</v>
      </c>
      <c r="DF80" s="787">
        <v>0</v>
      </c>
      <c r="DG80" s="787"/>
      <c r="DH80" s="787"/>
      <c r="DI80" s="787"/>
      <c r="DJ80" s="787">
        <v>0</v>
      </c>
      <c r="DK80" s="787">
        <v>0</v>
      </c>
      <c r="DL80" s="787">
        <v>482</v>
      </c>
      <c r="DM80" s="787">
        <v>0</v>
      </c>
      <c r="DN80" s="787">
        <v>0</v>
      </c>
      <c r="DO80" s="787">
        <v>0</v>
      </c>
      <c r="DP80" s="787">
        <v>-124484</v>
      </c>
      <c r="DQ80" s="787">
        <v>0</v>
      </c>
      <c r="DR80" s="787">
        <v>0</v>
      </c>
      <c r="DS80" s="787">
        <v>0</v>
      </c>
      <c r="DT80" s="787">
        <v>-124002</v>
      </c>
      <c r="DU80" s="787">
        <v>0</v>
      </c>
      <c r="DV80" s="787">
        <v>0</v>
      </c>
      <c r="DW80" s="787">
        <v>0</v>
      </c>
      <c r="DX80" s="787">
        <v>0</v>
      </c>
      <c r="DY80" s="787">
        <v>0</v>
      </c>
      <c r="DZ80" s="787">
        <v>0</v>
      </c>
      <c r="EA80" s="787">
        <v>0.43259421060793102</v>
      </c>
      <c r="EE80">
        <f>_xlfn.XLOOKUP(C80,'[1]Cfwd Analysis'!$C:$C,'[1]Cfwd Analysis'!$I:$I,0,0)</f>
        <v>506772.16259421059</v>
      </c>
      <c r="EF80" s="788">
        <f t="shared" si="1"/>
        <v>0</v>
      </c>
    </row>
    <row r="81" spans="1:136" ht="15.6" hidden="1">
      <c r="A81" s="782" t="s">
        <v>1374</v>
      </c>
      <c r="B81" s="782" t="s">
        <v>894</v>
      </c>
      <c r="C81" s="783">
        <v>2474</v>
      </c>
      <c r="D81" s="784" t="s">
        <v>895</v>
      </c>
      <c r="E81" s="785" t="s">
        <v>521</v>
      </c>
      <c r="F81" s="786">
        <v>46094</v>
      </c>
      <c r="G81" s="785" t="s">
        <v>5</v>
      </c>
      <c r="H81" s="785" t="s">
        <v>902</v>
      </c>
      <c r="I81" s="787">
        <v>2267713.0705624702</v>
      </c>
      <c r="J81" s="787">
        <v>0</v>
      </c>
      <c r="K81" s="787">
        <v>44320.263333333336</v>
      </c>
      <c r="L81" s="787">
        <v>0</v>
      </c>
      <c r="M81" s="787">
        <v>207540</v>
      </c>
      <c r="N81" s="787">
        <v>72096</v>
      </c>
      <c r="O81" s="787">
        <v>0</v>
      </c>
      <c r="P81" s="787">
        <v>28099.7</v>
      </c>
      <c r="Q81" s="787">
        <v>7090.42</v>
      </c>
      <c r="R81" s="787">
        <v>35348.47</v>
      </c>
      <c r="S81" s="787">
        <v>7000</v>
      </c>
      <c r="T81" s="787">
        <v>0</v>
      </c>
      <c r="U81" s="787">
        <v>31213.96</v>
      </c>
      <c r="V81" s="787">
        <v>13881.18</v>
      </c>
      <c r="W81" s="787">
        <v>0</v>
      </c>
      <c r="X81" s="787">
        <v>2714303.0638958039</v>
      </c>
      <c r="Y81" s="787">
        <v>1426798.01</v>
      </c>
      <c r="Z81" s="787">
        <v>0</v>
      </c>
      <c r="AA81" s="787">
        <v>322602.81999999995</v>
      </c>
      <c r="AB81" s="787">
        <v>47169.38</v>
      </c>
      <c r="AC81" s="787">
        <v>143272.5</v>
      </c>
      <c r="AD81" s="787">
        <v>0</v>
      </c>
      <c r="AE81" s="787">
        <v>84565.290000000008</v>
      </c>
      <c r="AF81" s="787">
        <v>130.80000000000001</v>
      </c>
      <c r="AG81" s="787">
        <v>582</v>
      </c>
      <c r="AH81" s="787">
        <v>0</v>
      </c>
      <c r="AI81" s="787">
        <v>11879</v>
      </c>
      <c r="AJ81" s="787">
        <v>18121.57</v>
      </c>
      <c r="AK81" s="787">
        <v>2441.4899999999998</v>
      </c>
      <c r="AL81" s="787">
        <v>58386.17</v>
      </c>
      <c r="AM81" s="787">
        <v>12546.94</v>
      </c>
      <c r="AN81" s="787">
        <v>26339.308666666668</v>
      </c>
      <c r="AO81" s="787">
        <v>33857.499999999993</v>
      </c>
      <c r="AP81" s="787">
        <v>8051.01</v>
      </c>
      <c r="AQ81" s="787">
        <v>66178.73</v>
      </c>
      <c r="AR81" s="787">
        <v>5074</v>
      </c>
      <c r="AS81" s="787">
        <v>0</v>
      </c>
      <c r="AT81" s="787">
        <v>7442.52</v>
      </c>
      <c r="AU81" s="787">
        <v>45601.72</v>
      </c>
      <c r="AV81" s="787">
        <v>0</v>
      </c>
      <c r="AW81" s="787">
        <v>0</v>
      </c>
      <c r="AX81" s="787">
        <v>35533.58</v>
      </c>
      <c r="AY81" s="787">
        <v>0</v>
      </c>
      <c r="AZ81" s="787">
        <v>9519.48</v>
      </c>
      <c r="BA81" s="787">
        <v>11151</v>
      </c>
      <c r="BB81" s="787">
        <v>3508</v>
      </c>
      <c r="BC81" s="787">
        <v>149116.47</v>
      </c>
      <c r="BD81" s="787">
        <v>49686.380000000005</v>
      </c>
      <c r="BE81" s="787">
        <v>104548.02999999998</v>
      </c>
      <c r="BF81" s="787">
        <v>25978.490000000005</v>
      </c>
      <c r="BG81" s="787">
        <v>0</v>
      </c>
      <c r="BH81" s="787">
        <v>0</v>
      </c>
      <c r="BI81" s="787">
        <v>0</v>
      </c>
      <c r="BJ81" s="787">
        <v>2710082.1886666669</v>
      </c>
      <c r="BK81" s="787">
        <v>-12990.549999999334</v>
      </c>
      <c r="BL81" s="787">
        <v>4220.8752291370183</v>
      </c>
      <c r="BM81" s="787">
        <v>-8769.6747708623152</v>
      </c>
      <c r="BN81" s="787">
        <v>8668.75</v>
      </c>
      <c r="BO81" s="787">
        <v>0</v>
      </c>
      <c r="BP81" s="787">
        <v>0</v>
      </c>
      <c r="BQ81" s="787">
        <v>8668.75</v>
      </c>
      <c r="BR81" s="787">
        <v>0</v>
      </c>
      <c r="BS81" s="787">
        <v>1711.4</v>
      </c>
      <c r="BT81" s="787">
        <v>0</v>
      </c>
      <c r="BU81" s="787">
        <v>0</v>
      </c>
      <c r="BV81" s="787">
        <v>0</v>
      </c>
      <c r="BW81" s="787">
        <v>0</v>
      </c>
      <c r="BX81" s="787">
        <v>23049.38</v>
      </c>
      <c r="BY81" s="787">
        <v>0</v>
      </c>
      <c r="BZ81" s="787">
        <v>24760.780000000002</v>
      </c>
      <c r="CA81" s="787">
        <v>29847.75</v>
      </c>
      <c r="CB81" s="787">
        <v>-16092.030000000002</v>
      </c>
      <c r="CC81" s="787">
        <v>13755.719999999998</v>
      </c>
      <c r="CD81" s="787">
        <v>0</v>
      </c>
      <c r="CE81" s="787">
        <v>0</v>
      </c>
      <c r="CF81" s="787">
        <v>0</v>
      </c>
      <c r="CG81" s="787">
        <v>0</v>
      </c>
      <c r="CH81" s="787">
        <v>0</v>
      </c>
      <c r="CI81" s="787">
        <v>0</v>
      </c>
      <c r="CJ81" s="787">
        <v>0</v>
      </c>
      <c r="CK81" s="787">
        <v>0</v>
      </c>
      <c r="CL81" s="787">
        <v>0</v>
      </c>
      <c r="CM81" s="787">
        <v>0</v>
      </c>
      <c r="CN81" s="787">
        <v>-8769.6747708623152</v>
      </c>
      <c r="CO81" s="787">
        <v>13755.719999999998</v>
      </c>
      <c r="CP81" s="787">
        <v>0</v>
      </c>
      <c r="CQ81" s="787">
        <v>0</v>
      </c>
      <c r="CR81" s="787">
        <v>4986.0452291376823</v>
      </c>
      <c r="CS81" s="787">
        <v>245358.94</v>
      </c>
      <c r="CT81" s="787">
        <v>5766.65</v>
      </c>
      <c r="CU81" s="787">
        <v>0</v>
      </c>
      <c r="CV81" s="787">
        <v>239592.29</v>
      </c>
      <c r="CW81" s="787">
        <v>0</v>
      </c>
      <c r="CX81" s="787">
        <v>8255.41</v>
      </c>
      <c r="CY81" s="787">
        <v>6867.29</v>
      </c>
      <c r="CZ81" s="787">
        <v>0</v>
      </c>
      <c r="DA81" s="787">
        <v>131.09000000000015</v>
      </c>
      <c r="DB81" s="787">
        <v>254846.08000000002</v>
      </c>
      <c r="DC81" s="787">
        <v>0</v>
      </c>
      <c r="DD81" s="787">
        <v>0</v>
      </c>
      <c r="DE81" s="787">
        <v>0</v>
      </c>
      <c r="DF81" s="787">
        <v>0</v>
      </c>
      <c r="DG81" s="787"/>
      <c r="DH81" s="787"/>
      <c r="DI81" s="787"/>
      <c r="DJ81" s="787">
        <v>0</v>
      </c>
      <c r="DK81" s="787">
        <v>0</v>
      </c>
      <c r="DL81" s="787">
        <v>0</v>
      </c>
      <c r="DM81" s="787">
        <v>0</v>
      </c>
      <c r="DN81" s="787">
        <v>0</v>
      </c>
      <c r="DO81" s="787">
        <v>0</v>
      </c>
      <c r="DP81" s="787">
        <v>-211142.43</v>
      </c>
      <c r="DQ81" s="787">
        <v>-4032</v>
      </c>
      <c r="DR81" s="787">
        <v>0</v>
      </c>
      <c r="DS81" s="787">
        <v>0</v>
      </c>
      <c r="DT81" s="787">
        <v>-215174.43</v>
      </c>
      <c r="DU81" s="787">
        <v>995.66</v>
      </c>
      <c r="DV81" s="787">
        <v>0</v>
      </c>
      <c r="DW81" s="787">
        <v>0</v>
      </c>
      <c r="DX81" s="787">
        <v>0</v>
      </c>
      <c r="DY81" s="787">
        <v>0</v>
      </c>
      <c r="DZ81" s="787">
        <v>-35681.620000000003</v>
      </c>
      <c r="EA81" s="787">
        <v>0.35522913765817066</v>
      </c>
      <c r="EC81" s="788">
        <v>13755.719999999998</v>
      </c>
      <c r="EE81">
        <f>_xlfn.XLOOKUP(C81,'[1]Cfwd Analysis'!$C:$C,'[1]Cfwd Analysis'!$I:$I,0,0)</f>
        <v>-8769.6747708623152</v>
      </c>
      <c r="EF81" s="788">
        <f t="shared" si="1"/>
        <v>0</v>
      </c>
    </row>
    <row r="82" spans="1:136" ht="15.6" hidden="1">
      <c r="A82" s="782" t="s">
        <v>1375</v>
      </c>
      <c r="B82" s="782" t="s">
        <v>670</v>
      </c>
      <c r="C82" s="783">
        <v>4223</v>
      </c>
      <c r="D82" s="784" t="s">
        <v>671</v>
      </c>
      <c r="E82" s="785" t="s">
        <v>521</v>
      </c>
      <c r="F82" s="786">
        <v>46093</v>
      </c>
      <c r="G82" s="785" t="s">
        <v>5</v>
      </c>
      <c r="H82" s="785" t="s">
        <v>682</v>
      </c>
      <c r="I82" s="787">
        <v>8658203.3026285898</v>
      </c>
      <c r="J82" s="787">
        <v>1244904.2933333335</v>
      </c>
      <c r="K82" s="787">
        <v>101653.00000000001</v>
      </c>
      <c r="L82" s="787">
        <v>0</v>
      </c>
      <c r="M82" s="787">
        <v>648200</v>
      </c>
      <c r="N82" s="787">
        <v>39055.86</v>
      </c>
      <c r="O82" s="787">
        <v>0</v>
      </c>
      <c r="P82" s="787">
        <v>0</v>
      </c>
      <c r="Q82" s="787">
        <v>539262.18999999994</v>
      </c>
      <c r="R82" s="787">
        <v>101700.18</v>
      </c>
      <c r="S82" s="787">
        <v>0</v>
      </c>
      <c r="T82" s="787">
        <v>0</v>
      </c>
      <c r="U82" s="787">
        <v>20562.59</v>
      </c>
      <c r="V82" s="787">
        <v>0</v>
      </c>
      <c r="W82" s="787">
        <v>0</v>
      </c>
      <c r="X82" s="787">
        <v>11353541.415961921</v>
      </c>
      <c r="Y82" s="787">
        <v>6838631.7599999998</v>
      </c>
      <c r="Z82" s="787">
        <v>0</v>
      </c>
      <c r="AA82" s="787">
        <v>500310.73000000004</v>
      </c>
      <c r="AB82" s="787">
        <v>0</v>
      </c>
      <c r="AC82" s="787">
        <v>1430243.76</v>
      </c>
      <c r="AD82" s="787">
        <v>0</v>
      </c>
      <c r="AE82" s="787">
        <v>129737.33</v>
      </c>
      <c r="AF82" s="787">
        <v>54904.61</v>
      </c>
      <c r="AG82" s="787">
        <v>39651.879999999997</v>
      </c>
      <c r="AH82" s="787">
        <v>0</v>
      </c>
      <c r="AI82" s="787">
        <v>6586.48</v>
      </c>
      <c r="AJ82" s="787">
        <v>283809.32</v>
      </c>
      <c r="AK82" s="787">
        <v>0</v>
      </c>
      <c r="AL82" s="787">
        <v>0</v>
      </c>
      <c r="AM82" s="787">
        <v>121430.49</v>
      </c>
      <c r="AN82" s="787">
        <v>386634.31</v>
      </c>
      <c r="AO82" s="787">
        <v>186512.22999999998</v>
      </c>
      <c r="AP82" s="787">
        <v>16562.599999999999</v>
      </c>
      <c r="AQ82" s="787">
        <v>119017.24</v>
      </c>
      <c r="AR82" s="787">
        <v>0</v>
      </c>
      <c r="AS82" s="787">
        <v>0</v>
      </c>
      <c r="AT82" s="787">
        <v>122066.87</v>
      </c>
      <c r="AU82" s="787">
        <v>0</v>
      </c>
      <c r="AV82" s="787">
        <v>0</v>
      </c>
      <c r="AW82" s="787">
        <v>3494.84</v>
      </c>
      <c r="AX82" s="787">
        <v>0</v>
      </c>
      <c r="AY82" s="787">
        <v>150056.29999999999</v>
      </c>
      <c r="AZ82" s="787">
        <v>434236.91</v>
      </c>
      <c r="BA82" s="787">
        <v>32460.18</v>
      </c>
      <c r="BB82" s="787">
        <v>0</v>
      </c>
      <c r="BC82" s="787">
        <v>576612.85</v>
      </c>
      <c r="BD82" s="787">
        <v>90126.78</v>
      </c>
      <c r="BE82" s="787">
        <v>174620.64999999997</v>
      </c>
      <c r="BF82" s="787">
        <v>131191.65</v>
      </c>
      <c r="BG82" s="787">
        <v>446408</v>
      </c>
      <c r="BH82" s="787">
        <v>0</v>
      </c>
      <c r="BI82" s="787">
        <v>0</v>
      </c>
      <c r="BJ82" s="787">
        <v>12275307.770000001</v>
      </c>
      <c r="BK82" s="787">
        <v>3880738.8599999975</v>
      </c>
      <c r="BL82" s="787">
        <v>-921766.3540380802</v>
      </c>
      <c r="BM82" s="787">
        <v>2958972.5059619173</v>
      </c>
      <c r="BN82" s="787">
        <v>24410.31</v>
      </c>
      <c r="BO82" s="787">
        <v>0</v>
      </c>
      <c r="BP82" s="787">
        <v>0</v>
      </c>
      <c r="BQ82" s="787">
        <v>24410.31</v>
      </c>
      <c r="BR82" s="787">
        <v>0</v>
      </c>
      <c r="BS82" s="787">
        <v>0</v>
      </c>
      <c r="BT82" s="787">
        <v>0</v>
      </c>
      <c r="BU82" s="787">
        <v>0</v>
      </c>
      <c r="BV82" s="787">
        <v>0</v>
      </c>
      <c r="BW82" s="787">
        <v>0</v>
      </c>
      <c r="BX82" s="787">
        <v>0</v>
      </c>
      <c r="BY82" s="787">
        <v>0</v>
      </c>
      <c r="BZ82" s="787">
        <v>0</v>
      </c>
      <c r="CA82" s="787">
        <v>24995.31</v>
      </c>
      <c r="CB82" s="787">
        <v>24410.31</v>
      </c>
      <c r="CC82" s="787">
        <v>49405.62</v>
      </c>
      <c r="CD82" s="787">
        <v>0</v>
      </c>
      <c r="CE82" s="787">
        <v>0</v>
      </c>
      <c r="CF82" s="787">
        <v>0</v>
      </c>
      <c r="CG82" s="787">
        <v>0</v>
      </c>
      <c r="CH82" s="787">
        <v>0</v>
      </c>
      <c r="CI82" s="787">
        <v>0</v>
      </c>
      <c r="CJ82" s="787">
        <v>0</v>
      </c>
      <c r="CK82" s="787">
        <v>0</v>
      </c>
      <c r="CL82" s="787">
        <v>0</v>
      </c>
      <c r="CM82" s="787">
        <v>2958972.5059619173</v>
      </c>
      <c r="CN82" s="787">
        <v>0</v>
      </c>
      <c r="CO82" s="787">
        <v>49405.62</v>
      </c>
      <c r="CP82" s="787">
        <v>0</v>
      </c>
      <c r="CQ82" s="787">
        <v>0</v>
      </c>
      <c r="CR82" s="787">
        <v>3008378.1259619175</v>
      </c>
      <c r="CS82" s="787">
        <v>324367.44</v>
      </c>
      <c r="CT82" s="787">
        <v>129145.11</v>
      </c>
      <c r="CU82" s="787">
        <v>750000</v>
      </c>
      <c r="CV82" s="787">
        <v>945222.33000000007</v>
      </c>
      <c r="CW82" s="787">
        <v>0</v>
      </c>
      <c r="CX82" s="787">
        <v>14646.37</v>
      </c>
      <c r="CY82" s="787">
        <v>17123.419999999998</v>
      </c>
      <c r="CZ82" s="787">
        <v>0</v>
      </c>
      <c r="DA82" s="787">
        <v>0</v>
      </c>
      <c r="DB82" s="787">
        <v>976992.12000000011</v>
      </c>
      <c r="DC82" s="787">
        <v>3952904.18</v>
      </c>
      <c r="DD82" s="787">
        <v>751170</v>
      </c>
      <c r="DE82" s="787">
        <v>0</v>
      </c>
      <c r="DF82" s="787">
        <v>3201734.18</v>
      </c>
      <c r="DG82" s="787"/>
      <c r="DH82" s="787"/>
      <c r="DI82" s="787"/>
      <c r="DJ82" s="787">
        <v>0</v>
      </c>
      <c r="DK82" s="787">
        <v>3201734.18</v>
      </c>
      <c r="DL82" s="787">
        <v>0</v>
      </c>
      <c r="DM82" s="787">
        <v>0</v>
      </c>
      <c r="DN82" s="787">
        <v>0</v>
      </c>
      <c r="DO82" s="787">
        <v>0</v>
      </c>
      <c r="DP82" s="787">
        <v>-842250.33</v>
      </c>
      <c r="DQ82" s="787">
        <v>-148173.85</v>
      </c>
      <c r="DR82" s="787">
        <v>0</v>
      </c>
      <c r="DS82" s="787">
        <v>0</v>
      </c>
      <c r="DT82" s="787">
        <v>-990424.17999999993</v>
      </c>
      <c r="DU82" s="787">
        <v>0</v>
      </c>
      <c r="DV82" s="787">
        <v>0</v>
      </c>
      <c r="DW82" s="787">
        <v>0</v>
      </c>
      <c r="DX82" s="787">
        <v>0</v>
      </c>
      <c r="DY82" s="787">
        <v>0</v>
      </c>
      <c r="DZ82" s="787">
        <v>-179923.94</v>
      </c>
      <c r="EA82" s="787">
        <v>-5.4038082715123892E-2</v>
      </c>
      <c r="EE82">
        <f>_xlfn.XLOOKUP(C82,'[1]Cfwd Analysis'!$C:$C,'[1]Cfwd Analysis'!$I:$I,0,0)</f>
        <v>2958972.5059619173</v>
      </c>
      <c r="EF82" s="788">
        <f t="shared" si="1"/>
        <v>0</v>
      </c>
    </row>
    <row r="83" spans="1:136" ht="15.6" hidden="1">
      <c r="A83" s="782" t="s">
        <v>1376</v>
      </c>
      <c r="B83" s="782" t="s">
        <v>672</v>
      </c>
      <c r="C83" s="783">
        <v>3317</v>
      </c>
      <c r="D83" s="784" t="s">
        <v>673</v>
      </c>
      <c r="E83" s="785" t="s">
        <v>521</v>
      </c>
      <c r="F83" s="786" t="s">
        <v>1305</v>
      </c>
      <c r="G83" s="785" t="s">
        <v>5</v>
      </c>
      <c r="H83" s="785" t="s">
        <v>684</v>
      </c>
      <c r="I83" s="787">
        <v>1482611.756746287</v>
      </c>
      <c r="J83" s="787">
        <v>0</v>
      </c>
      <c r="K83" s="787">
        <v>71910.346666666665</v>
      </c>
      <c r="L83" s="787">
        <v>0</v>
      </c>
      <c r="M83" s="787">
        <v>165850</v>
      </c>
      <c r="N83" s="787">
        <v>42647.5</v>
      </c>
      <c r="O83" s="787">
        <v>0</v>
      </c>
      <c r="P83" s="787">
        <v>756.25</v>
      </c>
      <c r="Q83" s="787">
        <v>7381.6215200000161</v>
      </c>
      <c r="R83" s="787">
        <v>3345.7</v>
      </c>
      <c r="S83" s="787">
        <v>0</v>
      </c>
      <c r="T83" s="787">
        <v>0</v>
      </c>
      <c r="U83" s="787">
        <v>6225.3</v>
      </c>
      <c r="V83" s="787">
        <v>17697.36</v>
      </c>
      <c r="W83" s="787">
        <v>0</v>
      </c>
      <c r="X83" s="787">
        <v>1798425.8349329538</v>
      </c>
      <c r="Y83" s="787">
        <v>792464.95</v>
      </c>
      <c r="Z83" s="787">
        <v>0</v>
      </c>
      <c r="AA83" s="787">
        <v>341496.57</v>
      </c>
      <c r="AB83" s="787">
        <v>53725.14</v>
      </c>
      <c r="AC83" s="787">
        <v>105339.5</v>
      </c>
      <c r="AD83" s="787">
        <v>0</v>
      </c>
      <c r="AE83" s="787">
        <v>44821.99</v>
      </c>
      <c r="AF83" s="787">
        <v>7704.72</v>
      </c>
      <c r="AG83" s="787">
        <v>7058.48</v>
      </c>
      <c r="AH83" s="787">
        <v>0</v>
      </c>
      <c r="AI83" s="787">
        <v>0</v>
      </c>
      <c r="AJ83" s="787">
        <v>20460.099999999999</v>
      </c>
      <c r="AK83" s="787">
        <v>0</v>
      </c>
      <c r="AL83" s="787">
        <v>841.96</v>
      </c>
      <c r="AM83" s="787">
        <v>3760.62</v>
      </c>
      <c r="AN83" s="787">
        <v>22241.96</v>
      </c>
      <c r="AO83" s="787">
        <v>5246.9600000000019</v>
      </c>
      <c r="AP83" s="787">
        <v>10993.93</v>
      </c>
      <c r="AQ83" s="787">
        <v>35306.1</v>
      </c>
      <c r="AR83" s="787">
        <v>423.72</v>
      </c>
      <c r="AS83" s="787">
        <v>0</v>
      </c>
      <c r="AT83" s="787">
        <v>12692.32</v>
      </c>
      <c r="AU83" s="787">
        <v>86.12</v>
      </c>
      <c r="AV83" s="787">
        <v>0</v>
      </c>
      <c r="AW83" s="787">
        <v>801</v>
      </c>
      <c r="AX83" s="787">
        <v>600</v>
      </c>
      <c r="AY83" s="787">
        <v>0</v>
      </c>
      <c r="AZ83" s="787">
        <v>28967.27</v>
      </c>
      <c r="BA83" s="787">
        <v>8788.41</v>
      </c>
      <c r="BB83" s="787">
        <v>2900</v>
      </c>
      <c r="BC83" s="787">
        <v>129036.29000000001</v>
      </c>
      <c r="BD83" s="787">
        <v>35116.120000000003</v>
      </c>
      <c r="BE83" s="787">
        <v>13183.560000000001</v>
      </c>
      <c r="BF83" s="787">
        <v>74949.400000000009</v>
      </c>
      <c r="BG83" s="787">
        <v>0</v>
      </c>
      <c r="BH83" s="787">
        <v>0</v>
      </c>
      <c r="BI83" s="787">
        <v>0</v>
      </c>
      <c r="BJ83" s="787">
        <v>1759007.1900000002</v>
      </c>
      <c r="BK83" s="787">
        <v>28044.320000000909</v>
      </c>
      <c r="BL83" s="787">
        <v>39418.644932953641</v>
      </c>
      <c r="BM83" s="787">
        <v>67462.96493295455</v>
      </c>
      <c r="BN83" s="787">
        <v>0</v>
      </c>
      <c r="BO83" s="787">
        <v>0</v>
      </c>
      <c r="BP83" s="787">
        <v>0</v>
      </c>
      <c r="BQ83" s="787">
        <v>0</v>
      </c>
      <c r="BR83" s="787">
        <v>0</v>
      </c>
      <c r="BS83" s="787">
        <v>17652</v>
      </c>
      <c r="BT83" s="787">
        <v>0</v>
      </c>
      <c r="BU83" s="787">
        <v>0</v>
      </c>
      <c r="BV83" s="787">
        <v>0</v>
      </c>
      <c r="BW83" s="787">
        <v>0</v>
      </c>
      <c r="BX83" s="787">
        <v>0</v>
      </c>
      <c r="BY83" s="787">
        <v>7912</v>
      </c>
      <c r="BZ83" s="787">
        <v>25564</v>
      </c>
      <c r="CA83" s="787">
        <v>44157</v>
      </c>
      <c r="CB83" s="787">
        <v>-25564</v>
      </c>
      <c r="CC83" s="787">
        <v>18593</v>
      </c>
      <c r="CD83" s="787">
        <v>0</v>
      </c>
      <c r="CE83" s="787">
        <v>0</v>
      </c>
      <c r="CF83" s="787">
        <v>0</v>
      </c>
      <c r="CG83" s="787">
        <v>0</v>
      </c>
      <c r="CH83" s="787">
        <v>0</v>
      </c>
      <c r="CI83" s="787">
        <v>0</v>
      </c>
      <c r="CJ83" s="787">
        <v>0</v>
      </c>
      <c r="CK83" s="787">
        <v>0</v>
      </c>
      <c r="CL83" s="787">
        <v>0</v>
      </c>
      <c r="CM83" s="787">
        <v>67462.96493295455</v>
      </c>
      <c r="CN83" s="787">
        <v>0</v>
      </c>
      <c r="CO83" s="787">
        <v>0</v>
      </c>
      <c r="CP83" s="787">
        <v>18593</v>
      </c>
      <c r="CQ83" s="787">
        <v>0</v>
      </c>
      <c r="CR83" s="787">
        <v>86055.96493295455</v>
      </c>
      <c r="CS83" s="787">
        <v>276461.19</v>
      </c>
      <c r="CT83" s="787">
        <v>0</v>
      </c>
      <c r="CU83" s="787">
        <v>0</v>
      </c>
      <c r="CV83" s="787">
        <v>276461.19</v>
      </c>
      <c r="CW83" s="787">
        <v>1278.57</v>
      </c>
      <c r="CX83" s="787">
        <v>1486.03</v>
      </c>
      <c r="CY83" s="787">
        <v>486.98</v>
      </c>
      <c r="CZ83" s="787">
        <v>81.22</v>
      </c>
      <c r="DA83" s="787">
        <v>1040.0899999999999</v>
      </c>
      <c r="DB83" s="787">
        <v>280834.08</v>
      </c>
      <c r="DC83" s="787">
        <v>0</v>
      </c>
      <c r="DD83" s="787">
        <v>0</v>
      </c>
      <c r="DE83" s="787">
        <v>0</v>
      </c>
      <c r="DF83" s="787">
        <v>0</v>
      </c>
      <c r="DG83" s="787"/>
      <c r="DH83" s="787"/>
      <c r="DI83" s="787"/>
      <c r="DJ83" s="787">
        <v>0</v>
      </c>
      <c r="DK83" s="787">
        <v>0</v>
      </c>
      <c r="DL83" s="787">
        <v>0</v>
      </c>
      <c r="DM83" s="787">
        <v>0</v>
      </c>
      <c r="DN83" s="787">
        <v>0</v>
      </c>
      <c r="DO83" s="787">
        <v>0</v>
      </c>
      <c r="DP83" s="787">
        <v>-146178.93</v>
      </c>
      <c r="DQ83" s="787">
        <v>-24738.33</v>
      </c>
      <c r="DR83" s="787">
        <v>0</v>
      </c>
      <c r="DS83" s="787">
        <v>0</v>
      </c>
      <c r="DT83" s="787">
        <v>-170917.26</v>
      </c>
      <c r="DU83" s="787">
        <v>0</v>
      </c>
      <c r="DV83" s="787">
        <v>0</v>
      </c>
      <c r="DW83" s="787">
        <v>0</v>
      </c>
      <c r="DX83" s="787">
        <v>0</v>
      </c>
      <c r="DY83" s="787">
        <v>0</v>
      </c>
      <c r="DZ83" s="787">
        <v>-23860.49</v>
      </c>
      <c r="EA83" s="787">
        <v>-0.36506704545172397</v>
      </c>
      <c r="EE83">
        <f>_xlfn.XLOOKUP(C83,'[1]Cfwd Analysis'!$C:$C,'[1]Cfwd Analysis'!$I:$I,0,0)</f>
        <v>67462.96493295455</v>
      </c>
      <c r="EF83" s="788">
        <f t="shared" si="1"/>
        <v>0</v>
      </c>
    </row>
    <row r="84" spans="1:136" ht="15.6" hidden="1">
      <c r="A84" s="782" t="s">
        <v>1377</v>
      </c>
      <c r="B84" s="782" t="s">
        <v>674</v>
      </c>
      <c r="C84" s="783">
        <v>1023</v>
      </c>
      <c r="D84" s="784" t="s">
        <v>675</v>
      </c>
      <c r="E84" s="785" t="s">
        <v>521</v>
      </c>
      <c r="F84" s="786">
        <v>46094</v>
      </c>
      <c r="G84" s="785" t="s">
        <v>5</v>
      </c>
      <c r="H84" s="785" t="s">
        <v>686</v>
      </c>
      <c r="I84" s="787">
        <v>592295.18235693534</v>
      </c>
      <c r="J84" s="787">
        <v>0</v>
      </c>
      <c r="K84" s="787">
        <v>46242.095060018473</v>
      </c>
      <c r="L84" s="787">
        <v>0</v>
      </c>
      <c r="M84" s="787">
        <v>0</v>
      </c>
      <c r="N84" s="787">
        <v>0</v>
      </c>
      <c r="O84" s="787">
        <v>0</v>
      </c>
      <c r="P84" s="787">
        <v>0</v>
      </c>
      <c r="Q84" s="787">
        <v>43.62</v>
      </c>
      <c r="R84" s="787">
        <v>3812.5</v>
      </c>
      <c r="S84" s="787">
        <v>0</v>
      </c>
      <c r="T84" s="787">
        <v>0</v>
      </c>
      <c r="U84" s="787">
        <v>6779.75</v>
      </c>
      <c r="V84" s="787">
        <v>159399.49</v>
      </c>
      <c r="W84" s="787">
        <v>0</v>
      </c>
      <c r="X84" s="787">
        <v>808572.6374169538</v>
      </c>
      <c r="Y84" s="787">
        <v>135596.98000000001</v>
      </c>
      <c r="Z84" s="787">
        <v>0</v>
      </c>
      <c r="AA84" s="787">
        <v>237345.27</v>
      </c>
      <c r="AB84" s="787">
        <v>0</v>
      </c>
      <c r="AC84" s="787">
        <v>20394.37</v>
      </c>
      <c r="AD84" s="787">
        <v>0</v>
      </c>
      <c r="AE84" s="787">
        <v>53768.41</v>
      </c>
      <c r="AF84" s="787">
        <v>2351.8200000000002</v>
      </c>
      <c r="AG84" s="787">
        <v>3842.25</v>
      </c>
      <c r="AH84" s="787">
        <v>0</v>
      </c>
      <c r="AI84" s="787">
        <v>0</v>
      </c>
      <c r="AJ84" s="787">
        <v>16379.01</v>
      </c>
      <c r="AK84" s="787">
        <v>0</v>
      </c>
      <c r="AL84" s="787">
        <v>23717.75</v>
      </c>
      <c r="AM84" s="787">
        <v>4076.16</v>
      </c>
      <c r="AN84" s="787">
        <v>10752.89</v>
      </c>
      <c r="AO84" s="787">
        <v>0</v>
      </c>
      <c r="AP84" s="787">
        <v>16309.49</v>
      </c>
      <c r="AQ84" s="787">
        <v>23286</v>
      </c>
      <c r="AR84" s="787">
        <v>0</v>
      </c>
      <c r="AS84" s="787">
        <v>0</v>
      </c>
      <c r="AT84" s="787">
        <v>0</v>
      </c>
      <c r="AU84" s="787">
        <v>0</v>
      </c>
      <c r="AV84" s="787">
        <v>0</v>
      </c>
      <c r="AW84" s="787">
        <v>0</v>
      </c>
      <c r="AX84" s="787">
        <v>0</v>
      </c>
      <c r="AY84" s="787">
        <v>0</v>
      </c>
      <c r="AZ84" s="787">
        <v>4920.29</v>
      </c>
      <c r="BA84" s="787">
        <v>3291.75</v>
      </c>
      <c r="BB84" s="787">
        <v>0</v>
      </c>
      <c r="BC84" s="787">
        <v>6779.95</v>
      </c>
      <c r="BD84" s="787">
        <v>101967.44</v>
      </c>
      <c r="BE84" s="787">
        <v>8862.7800000000007</v>
      </c>
      <c r="BF84" s="787">
        <v>59608.37</v>
      </c>
      <c r="BG84" s="787">
        <v>0</v>
      </c>
      <c r="BH84" s="787">
        <v>0</v>
      </c>
      <c r="BI84" s="787">
        <v>0</v>
      </c>
      <c r="BJ84" s="787">
        <v>733250.9800000001</v>
      </c>
      <c r="BK84" s="787">
        <v>274462.42999999988</v>
      </c>
      <c r="BL84" s="787">
        <v>75321.657416953705</v>
      </c>
      <c r="BM84" s="787">
        <v>349784.08741695358</v>
      </c>
      <c r="BN84" s="787">
        <v>4540</v>
      </c>
      <c r="BO84" s="787">
        <v>0</v>
      </c>
      <c r="BP84" s="787">
        <v>0</v>
      </c>
      <c r="BQ84" s="787">
        <v>4540</v>
      </c>
      <c r="BR84" s="787">
        <v>0</v>
      </c>
      <c r="BS84" s="787">
        <v>20155.88</v>
      </c>
      <c r="BT84" s="787">
        <v>0</v>
      </c>
      <c r="BU84" s="787">
        <v>0</v>
      </c>
      <c r="BV84" s="787">
        <v>0</v>
      </c>
      <c r="BW84" s="787">
        <v>0</v>
      </c>
      <c r="BX84" s="787">
        <v>1542.9</v>
      </c>
      <c r="BY84" s="787">
        <v>0</v>
      </c>
      <c r="BZ84" s="787">
        <v>21698.780000000002</v>
      </c>
      <c r="CA84" s="787">
        <v>27919.88</v>
      </c>
      <c r="CB84" s="787">
        <v>-17158.780000000002</v>
      </c>
      <c r="CC84" s="787">
        <v>10761.099999999999</v>
      </c>
      <c r="CD84" s="787">
        <v>0</v>
      </c>
      <c r="CE84" s="787">
        <v>0</v>
      </c>
      <c r="CF84" s="787">
        <v>0</v>
      </c>
      <c r="CG84" s="787">
        <v>0</v>
      </c>
      <c r="CH84" s="787">
        <v>0</v>
      </c>
      <c r="CI84" s="787">
        <v>0</v>
      </c>
      <c r="CJ84" s="787">
        <v>0</v>
      </c>
      <c r="CK84" s="787">
        <v>0</v>
      </c>
      <c r="CL84" s="787">
        <v>0</v>
      </c>
      <c r="CM84" s="787">
        <v>349784.08741695358</v>
      </c>
      <c r="CN84" s="787">
        <v>0</v>
      </c>
      <c r="CO84" s="787">
        <v>10761</v>
      </c>
      <c r="CP84" s="787">
        <v>9.9999999998544808E-2</v>
      </c>
      <c r="CQ84" s="787">
        <v>0</v>
      </c>
      <c r="CR84" s="787">
        <v>360545.18741695356</v>
      </c>
      <c r="CS84" s="787">
        <v>397527.56</v>
      </c>
      <c r="CT84" s="787">
        <v>10385.120000000001</v>
      </c>
      <c r="CU84" s="787">
        <v>1800</v>
      </c>
      <c r="CV84" s="787">
        <v>388942.44</v>
      </c>
      <c r="CW84" s="787">
        <v>0</v>
      </c>
      <c r="CX84" s="787">
        <v>4790.03</v>
      </c>
      <c r="CY84" s="787">
        <v>2300.4699999999998</v>
      </c>
      <c r="CZ84" s="787">
        <v>10136.530000000001</v>
      </c>
      <c r="DA84" s="787">
        <v>0</v>
      </c>
      <c r="DB84" s="787">
        <v>406169.47000000003</v>
      </c>
      <c r="DC84" s="787">
        <v>0</v>
      </c>
      <c r="DD84" s="787">
        <v>0</v>
      </c>
      <c r="DE84" s="787">
        <v>0</v>
      </c>
      <c r="DF84" s="787">
        <v>0</v>
      </c>
      <c r="DG84" s="787"/>
      <c r="DH84" s="787"/>
      <c r="DI84" s="787"/>
      <c r="DJ84" s="787">
        <v>0</v>
      </c>
      <c r="DK84" s="787">
        <v>0</v>
      </c>
      <c r="DL84" s="787">
        <v>0</v>
      </c>
      <c r="DM84" s="787">
        <v>0</v>
      </c>
      <c r="DN84" s="787">
        <v>0</v>
      </c>
      <c r="DO84" s="787">
        <v>0</v>
      </c>
      <c r="DP84" s="787">
        <v>0</v>
      </c>
      <c r="DQ84" s="787">
        <v>0</v>
      </c>
      <c r="DR84" s="787">
        <v>0</v>
      </c>
      <c r="DS84" s="787">
        <v>0</v>
      </c>
      <c r="DT84" s="787">
        <v>0</v>
      </c>
      <c r="DU84" s="787">
        <v>0</v>
      </c>
      <c r="DV84" s="787">
        <v>0</v>
      </c>
      <c r="DW84" s="787">
        <v>0</v>
      </c>
      <c r="DX84" s="787">
        <v>0</v>
      </c>
      <c r="DY84" s="787">
        <v>0</v>
      </c>
      <c r="DZ84" s="787">
        <v>-45623.839999999997</v>
      </c>
      <c r="EA84" s="787">
        <v>-0.4425830464460887</v>
      </c>
      <c r="EE84">
        <f>_xlfn.XLOOKUP(C84,'[1]Cfwd Analysis'!$C:$C,'[1]Cfwd Analysis'!$I:$I,0,0)</f>
        <v>349784.08741695358</v>
      </c>
      <c r="EF84" s="788">
        <f t="shared" si="1"/>
        <v>0</v>
      </c>
    </row>
    <row r="85" spans="1:136" ht="15.6" hidden="1">
      <c r="A85" s="782" t="s">
        <v>1378</v>
      </c>
      <c r="B85" s="782" t="s">
        <v>676</v>
      </c>
      <c r="C85" s="783">
        <v>2015</v>
      </c>
      <c r="D85" s="784" t="s">
        <v>677</v>
      </c>
      <c r="E85" s="785" t="s">
        <v>521</v>
      </c>
      <c r="F85" s="786">
        <v>46094</v>
      </c>
      <c r="G85" s="785" t="s">
        <v>5</v>
      </c>
      <c r="H85" s="785" t="s">
        <v>688</v>
      </c>
      <c r="I85" s="787">
        <v>2679507.7922208118</v>
      </c>
      <c r="J85" s="787">
        <v>0</v>
      </c>
      <c r="K85" s="787">
        <v>124291.6204</v>
      </c>
      <c r="L85" s="787">
        <v>0</v>
      </c>
      <c r="M85" s="787">
        <v>302270</v>
      </c>
      <c r="N85" s="787">
        <v>61173</v>
      </c>
      <c r="O85" s="787">
        <v>0</v>
      </c>
      <c r="P85" s="787">
        <v>0</v>
      </c>
      <c r="Q85" s="787">
        <v>2269</v>
      </c>
      <c r="R85" s="787">
        <v>20190</v>
      </c>
      <c r="S85" s="787">
        <v>0</v>
      </c>
      <c r="T85" s="787">
        <v>0</v>
      </c>
      <c r="U85" s="787">
        <v>18618</v>
      </c>
      <c r="V85" s="787">
        <v>1121</v>
      </c>
      <c r="W85" s="787">
        <v>0</v>
      </c>
      <c r="X85" s="787">
        <v>3209440.4126208117</v>
      </c>
      <c r="Y85" s="787">
        <v>1411908.98</v>
      </c>
      <c r="Z85" s="787">
        <v>0</v>
      </c>
      <c r="AA85" s="787">
        <v>486282.9</v>
      </c>
      <c r="AB85" s="787">
        <v>121866.93</v>
      </c>
      <c r="AC85" s="787">
        <v>204602.16</v>
      </c>
      <c r="AD85" s="787">
        <v>144489.60000000001</v>
      </c>
      <c r="AE85" s="787">
        <v>85157.119999999995</v>
      </c>
      <c r="AF85" s="787">
        <v>3284.25</v>
      </c>
      <c r="AG85" s="787">
        <v>10318.049999999999</v>
      </c>
      <c r="AH85" s="787">
        <v>0</v>
      </c>
      <c r="AI85" s="787">
        <v>0</v>
      </c>
      <c r="AJ85" s="787">
        <v>128879.43</v>
      </c>
      <c r="AK85" s="787">
        <v>4350</v>
      </c>
      <c r="AL85" s="787">
        <v>2457.85</v>
      </c>
      <c r="AM85" s="787">
        <v>15482.6</v>
      </c>
      <c r="AN85" s="787">
        <v>66792.97</v>
      </c>
      <c r="AO85" s="787">
        <v>41332.1</v>
      </c>
      <c r="AP85" s="787">
        <v>21132.67</v>
      </c>
      <c r="AQ85" s="787">
        <v>98388.260000000009</v>
      </c>
      <c r="AR85" s="787">
        <v>13408</v>
      </c>
      <c r="AS85" s="787">
        <v>0</v>
      </c>
      <c r="AT85" s="787">
        <v>18627.330000000002</v>
      </c>
      <c r="AU85" s="787">
        <v>20121.5</v>
      </c>
      <c r="AV85" s="787">
        <v>393.73</v>
      </c>
      <c r="AW85" s="787">
        <v>0</v>
      </c>
      <c r="AX85" s="787">
        <v>20072.009999999998</v>
      </c>
      <c r="AY85" s="787">
        <v>0</v>
      </c>
      <c r="AZ85" s="787">
        <v>15999.140000000001</v>
      </c>
      <c r="BA85" s="787">
        <v>10408</v>
      </c>
      <c r="BB85" s="787">
        <v>1298</v>
      </c>
      <c r="BC85" s="787">
        <v>53754.47</v>
      </c>
      <c r="BD85" s="787">
        <v>98332.31</v>
      </c>
      <c r="BE85" s="787">
        <v>20673.36</v>
      </c>
      <c r="BF85" s="787">
        <v>308926.53999999998</v>
      </c>
      <c r="BG85" s="787">
        <v>0</v>
      </c>
      <c r="BH85" s="787">
        <v>0</v>
      </c>
      <c r="BI85" s="787">
        <v>0</v>
      </c>
      <c r="BJ85" s="787">
        <v>3428740.2600000002</v>
      </c>
      <c r="BK85" s="787">
        <v>562555.25999999954</v>
      </c>
      <c r="BL85" s="787">
        <v>-219299.84737918852</v>
      </c>
      <c r="BM85" s="787">
        <v>343255.41262081102</v>
      </c>
      <c r="BN85" s="787">
        <v>8845.3799999999992</v>
      </c>
      <c r="BO85" s="787">
        <v>73600</v>
      </c>
      <c r="BP85" s="787">
        <v>0</v>
      </c>
      <c r="BQ85" s="787">
        <v>82445.38</v>
      </c>
      <c r="BR85" s="787">
        <v>0</v>
      </c>
      <c r="BS85" s="787">
        <v>95960</v>
      </c>
      <c r="BT85" s="787">
        <v>0</v>
      </c>
      <c r="BU85" s="787">
        <v>0</v>
      </c>
      <c r="BV85" s="787">
        <v>0</v>
      </c>
      <c r="BW85" s="787">
        <v>0</v>
      </c>
      <c r="BX85" s="787">
        <v>0</v>
      </c>
      <c r="BY85" s="787">
        <v>0</v>
      </c>
      <c r="BZ85" s="787">
        <v>95960</v>
      </c>
      <c r="CA85" s="787">
        <v>13515</v>
      </c>
      <c r="CB85" s="787">
        <v>-13514.619999999995</v>
      </c>
      <c r="CC85" s="787">
        <v>0.38000000000465661</v>
      </c>
      <c r="CD85" s="787">
        <v>0</v>
      </c>
      <c r="CE85" s="787">
        <v>0</v>
      </c>
      <c r="CF85" s="787">
        <v>0</v>
      </c>
      <c r="CG85" s="787">
        <v>0</v>
      </c>
      <c r="CH85" s="787">
        <v>0</v>
      </c>
      <c r="CI85" s="787">
        <v>0</v>
      </c>
      <c r="CJ85" s="787">
        <v>0</v>
      </c>
      <c r="CK85" s="787">
        <v>0</v>
      </c>
      <c r="CL85" s="787">
        <v>0</v>
      </c>
      <c r="CM85" s="787">
        <v>343255.41262081102</v>
      </c>
      <c r="CN85" s="787">
        <v>0</v>
      </c>
      <c r="CO85" s="787">
        <v>0</v>
      </c>
      <c r="CP85" s="787">
        <v>0.38000000000465661</v>
      </c>
      <c r="CQ85" s="787">
        <v>0</v>
      </c>
      <c r="CR85" s="787">
        <v>343255.79262081103</v>
      </c>
      <c r="CS85" s="787">
        <v>635444.77</v>
      </c>
      <c r="CT85" s="787">
        <v>49039.4</v>
      </c>
      <c r="CU85" s="787">
        <v>0</v>
      </c>
      <c r="CV85" s="787">
        <v>586405.37</v>
      </c>
      <c r="CW85" s="787">
        <v>0</v>
      </c>
      <c r="CX85" s="787">
        <v>12099.24</v>
      </c>
      <c r="CY85" s="787">
        <v>4950.82</v>
      </c>
      <c r="CZ85" s="787">
        <v>0</v>
      </c>
      <c r="DA85" s="787">
        <v>0</v>
      </c>
      <c r="DB85" s="787">
        <v>603455.42999999993</v>
      </c>
      <c r="DC85" s="787">
        <v>2428.56</v>
      </c>
      <c r="DD85" s="787">
        <v>0</v>
      </c>
      <c r="DE85" s="787">
        <v>0</v>
      </c>
      <c r="DF85" s="787">
        <v>2428.56</v>
      </c>
      <c r="DG85" s="787"/>
      <c r="DH85" s="787"/>
      <c r="DI85" s="787"/>
      <c r="DJ85" s="787">
        <v>0</v>
      </c>
      <c r="DK85" s="787">
        <v>2428.56</v>
      </c>
      <c r="DL85" s="787">
        <v>0</v>
      </c>
      <c r="DM85" s="787">
        <v>0</v>
      </c>
      <c r="DN85" s="787">
        <v>0</v>
      </c>
      <c r="DO85" s="787">
        <v>0</v>
      </c>
      <c r="DP85" s="787">
        <v>-63659.4</v>
      </c>
      <c r="DQ85" s="787">
        <v>-1298</v>
      </c>
      <c r="DR85" s="787">
        <v>0</v>
      </c>
      <c r="DS85" s="787">
        <v>0</v>
      </c>
      <c r="DT85" s="787">
        <v>-64957.4</v>
      </c>
      <c r="DU85" s="787">
        <v>0</v>
      </c>
      <c r="DV85" s="787">
        <v>0</v>
      </c>
      <c r="DW85" s="787">
        <v>0</v>
      </c>
      <c r="DX85" s="787">
        <v>0</v>
      </c>
      <c r="DY85" s="787">
        <v>0</v>
      </c>
      <c r="DZ85" s="787">
        <v>-197671.16</v>
      </c>
      <c r="EA85" s="787">
        <v>0.36262081109452993</v>
      </c>
      <c r="EE85">
        <f>_xlfn.XLOOKUP(C85,'[1]Cfwd Analysis'!$C:$C,'[1]Cfwd Analysis'!$I:$I,0,0)</f>
        <v>343255.41262081102</v>
      </c>
      <c r="EF85" s="788">
        <f t="shared" si="1"/>
        <v>0</v>
      </c>
    </row>
    <row r="86" spans="1:136" ht="15.6" hidden="1">
      <c r="A86" s="782" t="s">
        <v>1379</v>
      </c>
      <c r="B86" s="782" t="s">
        <v>896</v>
      </c>
      <c r="C86" s="783">
        <v>3352</v>
      </c>
      <c r="D86" s="784" t="s">
        <v>897</v>
      </c>
      <c r="E86" s="785" t="s">
        <v>521</v>
      </c>
      <c r="F86" s="786" t="s">
        <v>1315</v>
      </c>
      <c r="G86" s="785" t="s">
        <v>5</v>
      </c>
      <c r="H86" s="785" t="s">
        <v>906</v>
      </c>
      <c r="I86" s="787">
        <v>1003303.6823757245</v>
      </c>
      <c r="J86" s="787">
        <v>0</v>
      </c>
      <c r="K86" s="787">
        <v>75034.263333333336</v>
      </c>
      <c r="L86" s="787">
        <v>0</v>
      </c>
      <c r="M86" s="787">
        <v>74235</v>
      </c>
      <c r="N86" s="787">
        <v>40077</v>
      </c>
      <c r="O86" s="787">
        <v>0</v>
      </c>
      <c r="P86" s="787">
        <v>0</v>
      </c>
      <c r="Q86" s="787">
        <v>75482.080000000002</v>
      </c>
      <c r="R86" s="787">
        <v>4008.6</v>
      </c>
      <c r="S86" s="787">
        <v>0</v>
      </c>
      <c r="T86" s="787">
        <v>0</v>
      </c>
      <c r="U86" s="787">
        <v>1825.67</v>
      </c>
      <c r="V86" s="787">
        <v>0</v>
      </c>
      <c r="W86" s="787">
        <v>0</v>
      </c>
      <c r="X86" s="787">
        <v>1273966.2957090579</v>
      </c>
      <c r="Y86" s="787">
        <v>657155.83999999997</v>
      </c>
      <c r="Z86" s="787">
        <v>0</v>
      </c>
      <c r="AA86" s="787">
        <v>176610.19</v>
      </c>
      <c r="AB86" s="787">
        <v>47469.78</v>
      </c>
      <c r="AC86" s="787">
        <v>59406.14</v>
      </c>
      <c r="AD86" s="787">
        <v>13614.07</v>
      </c>
      <c r="AE86" s="787">
        <v>51684.590000000004</v>
      </c>
      <c r="AF86" s="787">
        <v>3531.3</v>
      </c>
      <c r="AG86" s="787">
        <v>10019.65</v>
      </c>
      <c r="AH86" s="787">
        <v>0</v>
      </c>
      <c r="AI86" s="787">
        <v>0</v>
      </c>
      <c r="AJ86" s="787">
        <v>14803.67</v>
      </c>
      <c r="AK86" s="787">
        <v>150</v>
      </c>
      <c r="AL86" s="787">
        <v>2716.52</v>
      </c>
      <c r="AM86" s="787">
        <v>5678.85</v>
      </c>
      <c r="AN86" s="787">
        <v>26587.010000000002</v>
      </c>
      <c r="AO86" s="787">
        <v>7207.9599999999982</v>
      </c>
      <c r="AP86" s="787">
        <v>26958.41</v>
      </c>
      <c r="AQ86" s="787">
        <v>26813.11</v>
      </c>
      <c r="AR86" s="787">
        <v>3643.41</v>
      </c>
      <c r="AS86" s="787">
        <v>0</v>
      </c>
      <c r="AT86" s="787">
        <v>1500.75</v>
      </c>
      <c r="AU86" s="787">
        <v>20583.23</v>
      </c>
      <c r="AV86" s="787">
        <v>18014.5</v>
      </c>
      <c r="AW86" s="787">
        <v>0</v>
      </c>
      <c r="AX86" s="787">
        <v>0</v>
      </c>
      <c r="AY86" s="787">
        <v>0</v>
      </c>
      <c r="AZ86" s="787">
        <v>56071.909999999996</v>
      </c>
      <c r="BA86" s="787">
        <v>5139.75</v>
      </c>
      <c r="BB86" s="787">
        <v>5347</v>
      </c>
      <c r="BC86" s="787">
        <v>82357.16</v>
      </c>
      <c r="BD86" s="787">
        <v>80881.02</v>
      </c>
      <c r="BE86" s="787">
        <v>3938.0799999999995</v>
      </c>
      <c r="BF86" s="787">
        <v>78573.819999999992</v>
      </c>
      <c r="BG86" s="787">
        <v>0</v>
      </c>
      <c r="BH86" s="787">
        <v>0</v>
      </c>
      <c r="BI86" s="787">
        <v>0</v>
      </c>
      <c r="BJ86" s="787">
        <v>1486457.72</v>
      </c>
      <c r="BK86" s="787">
        <v>-141676.62000000087</v>
      </c>
      <c r="BL86" s="787">
        <v>-212491.42429094203</v>
      </c>
      <c r="BM86" s="787">
        <v>-354168.0442909429</v>
      </c>
      <c r="BN86" s="787">
        <v>0</v>
      </c>
      <c r="BO86" s="787">
        <v>0</v>
      </c>
      <c r="BP86" s="787">
        <v>0</v>
      </c>
      <c r="BQ86" s="787">
        <v>0</v>
      </c>
      <c r="BR86" s="787">
        <v>0</v>
      </c>
      <c r="BS86" s="787">
        <v>0</v>
      </c>
      <c r="BT86" s="787">
        <v>0</v>
      </c>
      <c r="BU86" s="787">
        <v>0</v>
      </c>
      <c r="BV86" s="787">
        <v>0</v>
      </c>
      <c r="BW86" s="787">
        <v>0</v>
      </c>
      <c r="BX86" s="787">
        <v>0</v>
      </c>
      <c r="BY86" s="787">
        <v>0</v>
      </c>
      <c r="BZ86" s="787">
        <v>0</v>
      </c>
      <c r="CA86" s="787">
        <v>0</v>
      </c>
      <c r="CB86" s="787">
        <v>0</v>
      </c>
      <c r="CC86" s="787">
        <v>0</v>
      </c>
      <c r="CD86" s="787">
        <v>0</v>
      </c>
      <c r="CE86" s="787">
        <v>0</v>
      </c>
      <c r="CF86" s="787">
        <v>0</v>
      </c>
      <c r="CG86" s="787">
        <v>0</v>
      </c>
      <c r="CH86" s="787">
        <v>0</v>
      </c>
      <c r="CI86" s="787">
        <v>0</v>
      </c>
      <c r="CJ86" s="787">
        <v>0</v>
      </c>
      <c r="CK86" s="787">
        <v>0</v>
      </c>
      <c r="CL86" s="787">
        <v>0</v>
      </c>
      <c r="CM86" s="787">
        <v>0</v>
      </c>
      <c r="CN86" s="787">
        <v>-354168.0442909429</v>
      </c>
      <c r="CO86" s="787">
        <v>0</v>
      </c>
      <c r="CP86" s="787">
        <v>0</v>
      </c>
      <c r="CQ86" s="787">
        <v>0</v>
      </c>
      <c r="CR86" s="787">
        <v>-354168.0442909429</v>
      </c>
      <c r="CS86" s="787">
        <v>-119099.73</v>
      </c>
      <c r="CT86" s="787">
        <v>62447.94</v>
      </c>
      <c r="CU86" s="787">
        <v>0</v>
      </c>
      <c r="CV86" s="787">
        <v>-181547.66999999998</v>
      </c>
      <c r="CW86" s="787">
        <v>0</v>
      </c>
      <c r="CX86" s="787">
        <v>8543.19</v>
      </c>
      <c r="CY86" s="787">
        <v>9931.02</v>
      </c>
      <c r="CZ86" s="787">
        <v>0</v>
      </c>
      <c r="DA86" s="787">
        <v>360.92</v>
      </c>
      <c r="DB86" s="787">
        <v>-162712.53999999998</v>
      </c>
      <c r="DC86" s="787">
        <v>0</v>
      </c>
      <c r="DD86" s="787">
        <v>0</v>
      </c>
      <c r="DE86" s="787">
        <v>0</v>
      </c>
      <c r="DF86" s="787">
        <v>0</v>
      </c>
      <c r="DG86" s="787"/>
      <c r="DH86" s="787"/>
      <c r="DI86" s="787"/>
      <c r="DJ86" s="787">
        <v>0</v>
      </c>
      <c r="DK86" s="787">
        <v>0</v>
      </c>
      <c r="DL86" s="787">
        <v>0</v>
      </c>
      <c r="DM86" s="787">
        <v>0</v>
      </c>
      <c r="DN86" s="787">
        <v>0</v>
      </c>
      <c r="DO86" s="787">
        <v>0</v>
      </c>
      <c r="DP86" s="787">
        <v>-102029.95</v>
      </c>
      <c r="DQ86" s="787">
        <v>0</v>
      </c>
      <c r="DR86" s="787">
        <v>0</v>
      </c>
      <c r="DS86" s="787">
        <v>0</v>
      </c>
      <c r="DT86" s="787">
        <v>-102029.95</v>
      </c>
      <c r="DU86" s="787">
        <v>0</v>
      </c>
      <c r="DV86" s="787">
        <v>0</v>
      </c>
      <c r="DW86" s="787">
        <v>0</v>
      </c>
      <c r="DX86" s="787">
        <v>-5798.31</v>
      </c>
      <c r="DY86" s="787">
        <v>0</v>
      </c>
      <c r="DZ86" s="787">
        <v>-83627.66</v>
      </c>
      <c r="EA86" s="787">
        <v>0.41570905706612393</v>
      </c>
      <c r="EE86">
        <f>_xlfn.XLOOKUP(C86,'[1]Cfwd Analysis'!$C:$C,'[1]Cfwd Analysis'!$I:$I,0,0)</f>
        <v>-354168.0442909429</v>
      </c>
      <c r="EF86" s="788">
        <f t="shared" si="1"/>
        <v>0</v>
      </c>
    </row>
    <row r="87" spans="1:136" ht="15.6" hidden="1">
      <c r="A87" s="782" t="s">
        <v>1380</v>
      </c>
      <c r="B87" s="782" t="s">
        <v>678</v>
      </c>
      <c r="C87" s="783">
        <v>4063</v>
      </c>
      <c r="D87" s="784" t="s">
        <v>1261</v>
      </c>
      <c r="E87" s="785" t="s">
        <v>521</v>
      </c>
      <c r="F87" s="786">
        <v>0</v>
      </c>
      <c r="G87" s="785" t="s">
        <v>5</v>
      </c>
      <c r="H87" s="785" t="s">
        <v>690</v>
      </c>
      <c r="I87" s="787">
        <v>6868081.3300577477</v>
      </c>
      <c r="J87" s="787">
        <v>0</v>
      </c>
      <c r="K87" s="787">
        <v>204722.33666666664</v>
      </c>
      <c r="L87" s="787">
        <v>0</v>
      </c>
      <c r="M87" s="787">
        <v>424005</v>
      </c>
      <c r="N87" s="787">
        <v>13412.5</v>
      </c>
      <c r="O87" s="787">
        <v>98667</v>
      </c>
      <c r="P87" s="787">
        <v>30589</v>
      </c>
      <c r="Q87" s="787">
        <v>3245</v>
      </c>
      <c r="R87" s="787">
        <v>121600</v>
      </c>
      <c r="S87" s="787">
        <v>0</v>
      </c>
      <c r="T87" s="787">
        <v>0</v>
      </c>
      <c r="U87" s="787">
        <v>12989</v>
      </c>
      <c r="V87" s="787">
        <v>6043</v>
      </c>
      <c r="W87" s="787">
        <v>0</v>
      </c>
      <c r="X87" s="787">
        <v>7783354.1667244146</v>
      </c>
      <c r="Y87" s="787">
        <v>3913322</v>
      </c>
      <c r="Z87" s="787">
        <v>0</v>
      </c>
      <c r="AA87" s="787">
        <v>1072148</v>
      </c>
      <c r="AB87" s="787">
        <v>286063</v>
      </c>
      <c r="AC87" s="787">
        <v>524849</v>
      </c>
      <c r="AD87" s="787">
        <v>0</v>
      </c>
      <c r="AE87" s="787">
        <v>15821</v>
      </c>
      <c r="AF87" s="787">
        <v>51248</v>
      </c>
      <c r="AG87" s="787">
        <v>23235</v>
      </c>
      <c r="AH87" s="787">
        <v>0</v>
      </c>
      <c r="AI87" s="787">
        <v>0</v>
      </c>
      <c r="AJ87" s="787">
        <v>152177</v>
      </c>
      <c r="AK87" s="787">
        <v>33562</v>
      </c>
      <c r="AL87" s="787">
        <v>12829</v>
      </c>
      <c r="AM87" s="787">
        <v>12152</v>
      </c>
      <c r="AN87" s="787">
        <v>189685.57</v>
      </c>
      <c r="AO87" s="787">
        <v>120950.36000000003</v>
      </c>
      <c r="AP87" s="787">
        <v>13332.8</v>
      </c>
      <c r="AQ87" s="787">
        <v>200045</v>
      </c>
      <c r="AR87" s="787">
        <v>15180</v>
      </c>
      <c r="AS87" s="787">
        <v>2066</v>
      </c>
      <c r="AT87" s="787">
        <v>52277</v>
      </c>
      <c r="AU87" s="787">
        <v>98767</v>
      </c>
      <c r="AV87" s="787">
        <v>0</v>
      </c>
      <c r="AW87" s="787">
        <v>0</v>
      </c>
      <c r="AX87" s="787">
        <v>0</v>
      </c>
      <c r="AY87" s="787">
        <v>49717</v>
      </c>
      <c r="AZ87" s="787">
        <v>23590</v>
      </c>
      <c r="BA87" s="787">
        <v>25585.75</v>
      </c>
      <c r="BB87" s="787">
        <v>14610</v>
      </c>
      <c r="BC87" s="787">
        <v>315105</v>
      </c>
      <c r="BD87" s="787">
        <v>158756</v>
      </c>
      <c r="BE87" s="787">
        <v>48348.31</v>
      </c>
      <c r="BF87" s="787">
        <v>211116</v>
      </c>
      <c r="BG87" s="787">
        <v>0</v>
      </c>
      <c r="BH87" s="787">
        <v>0</v>
      </c>
      <c r="BI87" s="787">
        <v>0</v>
      </c>
      <c r="BJ87" s="787">
        <v>7636537.79</v>
      </c>
      <c r="BK87" s="787">
        <v>546941.25999999885</v>
      </c>
      <c r="BL87" s="787">
        <v>146816.37672441453</v>
      </c>
      <c r="BM87" s="787">
        <v>693757.63672441337</v>
      </c>
      <c r="BN87" s="787">
        <v>17066.87</v>
      </c>
      <c r="BO87" s="787">
        <v>0</v>
      </c>
      <c r="BP87" s="787">
        <v>0</v>
      </c>
      <c r="BQ87" s="787">
        <v>17066.87</v>
      </c>
      <c r="BR87" s="787">
        <v>0</v>
      </c>
      <c r="BS87" s="787">
        <v>0</v>
      </c>
      <c r="BT87" s="787">
        <v>0</v>
      </c>
      <c r="BU87" s="787">
        <v>0</v>
      </c>
      <c r="BV87" s="787">
        <v>0</v>
      </c>
      <c r="BW87" s="787">
        <v>0</v>
      </c>
      <c r="BX87" s="787">
        <v>16940.7</v>
      </c>
      <c r="BY87" s="787">
        <v>0</v>
      </c>
      <c r="BZ87" s="787">
        <v>16940.7</v>
      </c>
      <c r="CA87" s="787">
        <v>39715</v>
      </c>
      <c r="CB87" s="787">
        <v>126.16999999999825</v>
      </c>
      <c r="CC87" s="787">
        <v>39841.17</v>
      </c>
      <c r="CD87" s="787">
        <v>0</v>
      </c>
      <c r="CE87" s="787">
        <v>0</v>
      </c>
      <c r="CF87" s="787">
        <v>0</v>
      </c>
      <c r="CG87" s="787">
        <v>0</v>
      </c>
      <c r="CH87" s="787">
        <v>0</v>
      </c>
      <c r="CI87" s="787">
        <v>0</v>
      </c>
      <c r="CJ87" s="787">
        <v>0</v>
      </c>
      <c r="CK87" s="787">
        <v>0</v>
      </c>
      <c r="CL87" s="787">
        <v>0</v>
      </c>
      <c r="CM87" s="787">
        <v>693757.63672441337</v>
      </c>
      <c r="CN87" s="787">
        <v>0</v>
      </c>
      <c r="CO87" s="787">
        <v>6108</v>
      </c>
      <c r="CP87" s="787">
        <v>33733.17</v>
      </c>
      <c r="CQ87" s="787">
        <v>0</v>
      </c>
      <c r="CR87" s="787">
        <v>733598.80672441341</v>
      </c>
      <c r="CS87" s="787">
        <v>100000</v>
      </c>
      <c r="CT87" s="787">
        <v>844143.45</v>
      </c>
      <c r="CU87" s="787">
        <v>172.22</v>
      </c>
      <c r="CV87" s="787">
        <v>-743971.23</v>
      </c>
      <c r="CW87" s="787">
        <v>0</v>
      </c>
      <c r="CX87" s="787">
        <v>26976.86</v>
      </c>
      <c r="CY87" s="787">
        <v>10549.65</v>
      </c>
      <c r="CZ87" s="787">
        <v>39345.370000000003</v>
      </c>
      <c r="DA87" s="787">
        <v>0</v>
      </c>
      <c r="DB87" s="787">
        <v>-667099.35</v>
      </c>
      <c r="DC87" s="787">
        <v>2004849.43</v>
      </c>
      <c r="DD87" s="787">
        <v>11216.42</v>
      </c>
      <c r="DE87" s="787">
        <v>13153.9</v>
      </c>
      <c r="DF87" s="787">
        <v>2006786.91</v>
      </c>
      <c r="DG87" s="787"/>
      <c r="DH87" s="787"/>
      <c r="DI87" s="787"/>
      <c r="DJ87" s="787">
        <v>0</v>
      </c>
      <c r="DK87" s="787">
        <v>2006786.91</v>
      </c>
      <c r="DL87" s="787">
        <v>11124</v>
      </c>
      <c r="DM87" s="787">
        <v>0</v>
      </c>
      <c r="DN87" s="787">
        <v>0</v>
      </c>
      <c r="DO87" s="787">
        <v>0</v>
      </c>
      <c r="DP87" s="787">
        <v>-67645.27</v>
      </c>
      <c r="DQ87" s="787">
        <v>-4188.8</v>
      </c>
      <c r="DR87" s="787">
        <v>0</v>
      </c>
      <c r="DS87" s="787">
        <v>0</v>
      </c>
      <c r="DT87" s="787">
        <v>-60710.070000000007</v>
      </c>
      <c r="DU87" s="787">
        <v>20111</v>
      </c>
      <c r="DV87" s="787">
        <v>5990</v>
      </c>
      <c r="DW87" s="787">
        <v>-3435.56</v>
      </c>
      <c r="DX87" s="787">
        <v>0</v>
      </c>
      <c r="DY87" s="787">
        <v>0</v>
      </c>
      <c r="DZ87" s="787">
        <v>-568044</v>
      </c>
      <c r="EA87" s="787">
        <v>-0.12327558652032167</v>
      </c>
      <c r="EE87">
        <f>_xlfn.XLOOKUP(C87,'[1]Cfwd Analysis'!$C:$C,'[1]Cfwd Analysis'!$I:$I,0,0)</f>
        <v>693757.63672441337</v>
      </c>
      <c r="EF87" s="788">
        <f t="shared" si="1"/>
        <v>0</v>
      </c>
    </row>
    <row r="88" spans="1:136" ht="15.6" hidden="1">
      <c r="A88" s="782" t="s">
        <v>1381</v>
      </c>
      <c r="B88" s="782" t="s">
        <v>898</v>
      </c>
      <c r="C88" s="783">
        <v>2005</v>
      </c>
      <c r="D88" s="784" t="s">
        <v>899</v>
      </c>
      <c r="E88" s="785" t="s">
        <v>521</v>
      </c>
      <c r="F88" s="786">
        <v>46094</v>
      </c>
      <c r="G88" s="785" t="s">
        <v>5</v>
      </c>
      <c r="H88" s="785" t="s">
        <v>908</v>
      </c>
      <c r="I88" s="787">
        <v>3367924.1474803332</v>
      </c>
      <c r="J88" s="787">
        <v>0</v>
      </c>
      <c r="K88" s="787">
        <v>125484.553</v>
      </c>
      <c r="L88" s="787">
        <v>0</v>
      </c>
      <c r="M88" s="787">
        <v>235985</v>
      </c>
      <c r="N88" s="787">
        <v>117735.2</v>
      </c>
      <c r="O88" s="787">
        <v>0</v>
      </c>
      <c r="P88" s="787">
        <v>21173.88</v>
      </c>
      <c r="Q88" s="787">
        <v>60415.217290000088</v>
      </c>
      <c r="R88" s="787">
        <v>17028.759999999998</v>
      </c>
      <c r="S88" s="787">
        <v>0</v>
      </c>
      <c r="T88" s="787">
        <v>3860.29</v>
      </c>
      <c r="U88" s="787">
        <v>30787.39</v>
      </c>
      <c r="V88" s="787">
        <v>74197.240000000005</v>
      </c>
      <c r="W88" s="787">
        <v>0</v>
      </c>
      <c r="X88" s="787">
        <v>4054591.6777703334</v>
      </c>
      <c r="Y88" s="787">
        <v>1797588.58</v>
      </c>
      <c r="Z88" s="787">
        <v>0</v>
      </c>
      <c r="AA88" s="787">
        <v>578088.38</v>
      </c>
      <c r="AB88" s="787">
        <v>73196.91</v>
      </c>
      <c r="AC88" s="787">
        <v>178270.07999999999</v>
      </c>
      <c r="AD88" s="787">
        <v>0</v>
      </c>
      <c r="AE88" s="787">
        <v>108959.21</v>
      </c>
      <c r="AF88" s="787">
        <v>11034.04</v>
      </c>
      <c r="AG88" s="787">
        <v>6722.33</v>
      </c>
      <c r="AH88" s="787">
        <v>0</v>
      </c>
      <c r="AI88" s="787">
        <v>430.2</v>
      </c>
      <c r="AJ88" s="787">
        <v>49163.29</v>
      </c>
      <c r="AK88" s="787">
        <v>3284.5</v>
      </c>
      <c r="AL88" s="787">
        <v>97060.26</v>
      </c>
      <c r="AM88" s="787">
        <v>14810.23</v>
      </c>
      <c r="AN88" s="787">
        <v>67518.91</v>
      </c>
      <c r="AO88" s="787">
        <v>59344.80000000001</v>
      </c>
      <c r="AP88" s="787">
        <v>14496.38</v>
      </c>
      <c r="AQ88" s="787">
        <v>111433.14</v>
      </c>
      <c r="AR88" s="787">
        <v>7822.29</v>
      </c>
      <c r="AS88" s="787">
        <v>0</v>
      </c>
      <c r="AT88" s="787">
        <v>15791.05</v>
      </c>
      <c r="AU88" s="787">
        <v>32095.42</v>
      </c>
      <c r="AV88" s="787">
        <v>0</v>
      </c>
      <c r="AW88" s="787">
        <v>4943.95</v>
      </c>
      <c r="AX88" s="787">
        <v>0</v>
      </c>
      <c r="AY88" s="787">
        <v>0</v>
      </c>
      <c r="AZ88" s="787">
        <v>23847.010000000002</v>
      </c>
      <c r="BA88" s="787">
        <v>18745.650000000001</v>
      </c>
      <c r="BB88" s="787">
        <v>0</v>
      </c>
      <c r="BC88" s="787">
        <v>173070.82</v>
      </c>
      <c r="BD88" s="787">
        <v>250124.91</v>
      </c>
      <c r="BE88" s="787">
        <v>46294.879999999997</v>
      </c>
      <c r="BF88" s="787">
        <v>156755.73000000001</v>
      </c>
      <c r="BG88" s="787">
        <v>0</v>
      </c>
      <c r="BH88" s="787">
        <v>0</v>
      </c>
      <c r="BI88" s="787">
        <v>0</v>
      </c>
      <c r="BJ88" s="787">
        <v>3900892.9499999997</v>
      </c>
      <c r="BK88" s="787">
        <v>75644.140000003565</v>
      </c>
      <c r="BL88" s="787">
        <v>153698.72777033364</v>
      </c>
      <c r="BM88" s="787">
        <v>229342.86777033721</v>
      </c>
      <c r="BN88" s="787">
        <v>11383.38</v>
      </c>
      <c r="BO88" s="787">
        <v>0</v>
      </c>
      <c r="BP88" s="787">
        <v>0</v>
      </c>
      <c r="BQ88" s="787">
        <v>11383.38</v>
      </c>
      <c r="BR88" s="787">
        <v>0</v>
      </c>
      <c r="BS88" s="787">
        <v>0</v>
      </c>
      <c r="BT88" s="787">
        <v>0</v>
      </c>
      <c r="BU88" s="787">
        <v>0</v>
      </c>
      <c r="BV88" s="787">
        <v>0</v>
      </c>
      <c r="BW88" s="787">
        <v>5699</v>
      </c>
      <c r="BX88" s="787">
        <v>2097.36</v>
      </c>
      <c r="BY88" s="787">
        <v>2745</v>
      </c>
      <c r="BZ88" s="787">
        <v>10541.36</v>
      </c>
      <c r="CA88" s="787">
        <v>0</v>
      </c>
      <c r="CB88" s="787">
        <v>842.01999999999862</v>
      </c>
      <c r="CC88" s="787">
        <v>842.01999999999862</v>
      </c>
      <c r="CD88" s="787">
        <v>0</v>
      </c>
      <c r="CE88" s="787">
        <v>0</v>
      </c>
      <c r="CF88" s="787">
        <v>0</v>
      </c>
      <c r="CG88" s="787">
        <v>0</v>
      </c>
      <c r="CH88" s="787">
        <v>0</v>
      </c>
      <c r="CI88" s="787">
        <v>0</v>
      </c>
      <c r="CJ88" s="787">
        <v>0</v>
      </c>
      <c r="CK88" s="787">
        <v>0</v>
      </c>
      <c r="CL88" s="787">
        <v>0</v>
      </c>
      <c r="CM88" s="787">
        <v>229342.86777033721</v>
      </c>
      <c r="CN88" s="787">
        <v>0</v>
      </c>
      <c r="CO88" s="787">
        <v>842.01999999999862</v>
      </c>
      <c r="CP88" s="787">
        <v>0</v>
      </c>
      <c r="CQ88" s="787">
        <v>0</v>
      </c>
      <c r="CR88" s="787">
        <v>230184.8877703372</v>
      </c>
      <c r="CS88" s="787">
        <v>582490.62</v>
      </c>
      <c r="CT88" s="787">
        <v>50120.94</v>
      </c>
      <c r="CU88" s="787">
        <v>0</v>
      </c>
      <c r="CV88" s="787">
        <v>532369.67999999993</v>
      </c>
      <c r="CW88" s="787">
        <v>3000</v>
      </c>
      <c r="CX88" s="787">
        <v>17194.099999999999</v>
      </c>
      <c r="CY88" s="787">
        <v>4574.13</v>
      </c>
      <c r="CZ88" s="787">
        <v>0</v>
      </c>
      <c r="DA88" s="787">
        <v>0</v>
      </c>
      <c r="DB88" s="787">
        <v>557137.90999999992</v>
      </c>
      <c r="DC88" s="787">
        <v>0</v>
      </c>
      <c r="DD88" s="787">
        <v>0</v>
      </c>
      <c r="DE88" s="787">
        <v>0</v>
      </c>
      <c r="DF88" s="787">
        <v>0</v>
      </c>
      <c r="DG88" s="787"/>
      <c r="DH88" s="787"/>
      <c r="DI88" s="787"/>
      <c r="DJ88" s="787">
        <v>0</v>
      </c>
      <c r="DK88" s="787">
        <v>0</v>
      </c>
      <c r="DL88" s="787">
        <v>0</v>
      </c>
      <c r="DM88" s="787">
        <v>0</v>
      </c>
      <c r="DN88" s="787">
        <v>2400</v>
      </c>
      <c r="DO88" s="787">
        <v>0</v>
      </c>
      <c r="DP88" s="787">
        <v>-319429.40000000002</v>
      </c>
      <c r="DQ88" s="787">
        <v>0</v>
      </c>
      <c r="DR88" s="787">
        <v>-9954</v>
      </c>
      <c r="DS88" s="787">
        <v>0</v>
      </c>
      <c r="DT88" s="787">
        <v>-326983.40000000002</v>
      </c>
      <c r="DU88" s="787">
        <v>0</v>
      </c>
      <c r="DV88" s="787">
        <v>0</v>
      </c>
      <c r="DW88" s="787">
        <v>0</v>
      </c>
      <c r="DX88" s="787">
        <v>0</v>
      </c>
      <c r="DY88" s="787">
        <v>30.42</v>
      </c>
      <c r="DZ88" s="787">
        <v>0</v>
      </c>
      <c r="EA88" s="787">
        <v>-4.2229662678437307E-2</v>
      </c>
      <c r="EE88">
        <f>_xlfn.XLOOKUP(C88,'[1]Cfwd Analysis'!$C:$C,'[1]Cfwd Analysis'!$I:$I,0,0)</f>
        <v>229342.86777033721</v>
      </c>
      <c r="EF88" s="788">
        <f t="shared" si="1"/>
        <v>0</v>
      </c>
    </row>
    <row r="89" spans="1:136" ht="15.6" hidden="1">
      <c r="A89" s="782" t="s">
        <v>1382</v>
      </c>
      <c r="B89" s="782" t="s">
        <v>680</v>
      </c>
      <c r="C89" s="783">
        <v>1016</v>
      </c>
      <c r="D89" s="784" t="s">
        <v>681</v>
      </c>
      <c r="E89" s="785" t="s">
        <v>521</v>
      </c>
      <c r="F89" s="786">
        <v>46094</v>
      </c>
      <c r="G89" s="785" t="s">
        <v>5</v>
      </c>
      <c r="H89" s="785" t="s">
        <v>692</v>
      </c>
      <c r="I89" s="787">
        <v>626841.30279732822</v>
      </c>
      <c r="J89" s="787">
        <v>0</v>
      </c>
      <c r="K89" s="787">
        <v>56242.473333333328</v>
      </c>
      <c r="L89" s="787">
        <v>0</v>
      </c>
      <c r="M89" s="787">
        <v>0</v>
      </c>
      <c r="N89" s="787">
        <v>0</v>
      </c>
      <c r="O89" s="787">
        <v>0</v>
      </c>
      <c r="P89" s="787">
        <v>0</v>
      </c>
      <c r="Q89" s="787">
        <v>37706.744475000029</v>
      </c>
      <c r="R89" s="787">
        <v>0</v>
      </c>
      <c r="S89" s="787">
        <v>0</v>
      </c>
      <c r="T89" s="787">
        <v>0</v>
      </c>
      <c r="U89" s="787">
        <v>28243.15</v>
      </c>
      <c r="V89" s="787">
        <v>103</v>
      </c>
      <c r="W89" s="787">
        <v>0</v>
      </c>
      <c r="X89" s="787">
        <v>749136.6706056617</v>
      </c>
      <c r="Y89" s="787">
        <v>171173.61</v>
      </c>
      <c r="Z89" s="787">
        <v>0</v>
      </c>
      <c r="AA89" s="787">
        <v>299193.59000000003</v>
      </c>
      <c r="AB89" s="787">
        <v>20150.11</v>
      </c>
      <c r="AC89" s="787">
        <v>66425.759999999995</v>
      </c>
      <c r="AD89" s="787">
        <v>0</v>
      </c>
      <c r="AE89" s="787">
        <v>17586.37</v>
      </c>
      <c r="AF89" s="787">
        <v>3305.39</v>
      </c>
      <c r="AG89" s="787">
        <v>5483.14</v>
      </c>
      <c r="AH89" s="787">
        <v>0</v>
      </c>
      <c r="AI89" s="787">
        <v>0</v>
      </c>
      <c r="AJ89" s="787">
        <v>6537.65</v>
      </c>
      <c r="AK89" s="787">
        <v>3936.74</v>
      </c>
      <c r="AL89" s="787">
        <v>724.8</v>
      </c>
      <c r="AM89" s="787">
        <v>880.02</v>
      </c>
      <c r="AN89" s="787">
        <v>9928.64</v>
      </c>
      <c r="AO89" s="787">
        <v>26000</v>
      </c>
      <c r="AP89" s="787">
        <v>9554.9599999999991</v>
      </c>
      <c r="AQ89" s="787">
        <v>30093.83</v>
      </c>
      <c r="AR89" s="787">
        <v>0</v>
      </c>
      <c r="AS89" s="787">
        <v>0</v>
      </c>
      <c r="AT89" s="787">
        <v>0</v>
      </c>
      <c r="AU89" s="787">
        <v>0</v>
      </c>
      <c r="AV89" s="787">
        <v>0</v>
      </c>
      <c r="AW89" s="787">
        <v>0</v>
      </c>
      <c r="AX89" s="787">
        <v>0</v>
      </c>
      <c r="AY89" s="787">
        <v>0</v>
      </c>
      <c r="AZ89" s="787">
        <v>32113.739999999998</v>
      </c>
      <c r="BA89" s="787">
        <v>3291.75</v>
      </c>
      <c r="BB89" s="787">
        <v>0</v>
      </c>
      <c r="BC89" s="787">
        <v>3401.16</v>
      </c>
      <c r="BD89" s="787">
        <v>11153.65</v>
      </c>
      <c r="BE89" s="787">
        <v>8830.57</v>
      </c>
      <c r="BF89" s="787">
        <v>13902.4</v>
      </c>
      <c r="BG89" s="787">
        <v>0</v>
      </c>
      <c r="BH89" s="787">
        <v>0</v>
      </c>
      <c r="BI89" s="787">
        <v>0</v>
      </c>
      <c r="BJ89" s="787">
        <v>743667.88</v>
      </c>
      <c r="BK89" s="787">
        <v>145367.85000000114</v>
      </c>
      <c r="BL89" s="787">
        <v>5468.7906056616921</v>
      </c>
      <c r="BM89" s="787">
        <v>150836.64060566283</v>
      </c>
      <c r="BN89" s="787">
        <v>4810</v>
      </c>
      <c r="BO89" s="787">
        <v>0</v>
      </c>
      <c r="BP89" s="787">
        <v>0</v>
      </c>
      <c r="BQ89" s="787">
        <v>4810</v>
      </c>
      <c r="BR89" s="787">
        <v>0</v>
      </c>
      <c r="BS89" s="787">
        <v>7727.24</v>
      </c>
      <c r="BT89" s="787">
        <v>0</v>
      </c>
      <c r="BU89" s="787">
        <v>0</v>
      </c>
      <c r="BV89" s="787">
        <v>0</v>
      </c>
      <c r="BW89" s="787">
        <v>0</v>
      </c>
      <c r="BX89" s="787">
        <v>0</v>
      </c>
      <c r="BY89" s="787">
        <v>0</v>
      </c>
      <c r="BZ89" s="787">
        <v>7727.24</v>
      </c>
      <c r="CA89" s="787">
        <v>2934</v>
      </c>
      <c r="CB89" s="787">
        <v>-2917.24</v>
      </c>
      <c r="CC89" s="787">
        <v>16.760000000000218</v>
      </c>
      <c r="CD89" s="787">
        <v>0</v>
      </c>
      <c r="CE89" s="787">
        <v>0</v>
      </c>
      <c r="CF89" s="787">
        <v>0</v>
      </c>
      <c r="CG89" s="787">
        <v>0</v>
      </c>
      <c r="CH89" s="787">
        <v>0</v>
      </c>
      <c r="CI89" s="787">
        <v>0</v>
      </c>
      <c r="CJ89" s="787">
        <v>0</v>
      </c>
      <c r="CK89" s="787">
        <v>0</v>
      </c>
      <c r="CL89" s="787">
        <v>0</v>
      </c>
      <c r="CM89" s="787">
        <v>150836.64060566283</v>
      </c>
      <c r="CN89" s="787">
        <v>0</v>
      </c>
      <c r="CO89" s="787">
        <v>16.760000000000218</v>
      </c>
      <c r="CP89" s="787">
        <v>0</v>
      </c>
      <c r="CQ89" s="787">
        <v>0</v>
      </c>
      <c r="CR89" s="787">
        <v>150853.40060566284</v>
      </c>
      <c r="CS89" s="787">
        <v>227997.61</v>
      </c>
      <c r="CT89" s="787">
        <v>0</v>
      </c>
      <c r="CU89" s="787">
        <v>0</v>
      </c>
      <c r="CV89" s="787">
        <v>227997.61</v>
      </c>
      <c r="CW89" s="787">
        <v>0</v>
      </c>
      <c r="CX89" s="787">
        <v>2688.26</v>
      </c>
      <c r="CY89" s="787">
        <v>1446.4</v>
      </c>
      <c r="CZ89" s="787">
        <v>0</v>
      </c>
      <c r="DA89" s="787">
        <v>0</v>
      </c>
      <c r="DB89" s="787">
        <v>232132.27</v>
      </c>
      <c r="DC89" s="787">
        <v>-74.42</v>
      </c>
      <c r="DD89" s="787">
        <v>0</v>
      </c>
      <c r="DE89" s="787">
        <v>0</v>
      </c>
      <c r="DF89" s="787">
        <v>-74.42</v>
      </c>
      <c r="DG89" s="787"/>
      <c r="DH89" s="787"/>
      <c r="DI89" s="787"/>
      <c r="DJ89" s="787">
        <v>0</v>
      </c>
      <c r="DK89" s="787">
        <v>-74.42</v>
      </c>
      <c r="DL89" s="787">
        <v>0</v>
      </c>
      <c r="DM89" s="787">
        <v>0</v>
      </c>
      <c r="DN89" s="787">
        <v>0</v>
      </c>
      <c r="DO89" s="787">
        <v>0</v>
      </c>
      <c r="DP89" s="787">
        <v>-5138.8</v>
      </c>
      <c r="DQ89" s="787">
        <v>-26000</v>
      </c>
      <c r="DR89" s="787">
        <v>0</v>
      </c>
      <c r="DS89" s="787">
        <v>0</v>
      </c>
      <c r="DT89" s="787">
        <v>-31138.799999999999</v>
      </c>
      <c r="DU89" s="787">
        <v>0</v>
      </c>
      <c r="DV89" s="787">
        <v>0</v>
      </c>
      <c r="DW89" s="787">
        <v>0</v>
      </c>
      <c r="DX89" s="787">
        <v>-1373.83</v>
      </c>
      <c r="DY89" s="787">
        <v>0</v>
      </c>
      <c r="DZ89" s="787">
        <v>-48691.37</v>
      </c>
      <c r="EA89" s="787">
        <v>-0.44939433713443577</v>
      </c>
      <c r="EE89">
        <f>_xlfn.XLOOKUP(C89,'[1]Cfwd Analysis'!$C:$C,'[1]Cfwd Analysis'!$I:$I,0,0)</f>
        <v>150836.64060566283</v>
      </c>
      <c r="EF89" s="788">
        <f t="shared" si="1"/>
        <v>0</v>
      </c>
    </row>
    <row r="90" spans="1:136" ht="15.6" hidden="1">
      <c r="A90" s="782" t="s">
        <v>1383</v>
      </c>
      <c r="B90" s="782" t="s">
        <v>682</v>
      </c>
      <c r="C90" s="783">
        <v>2115</v>
      </c>
      <c r="D90" s="784" t="s">
        <v>683</v>
      </c>
      <c r="E90" s="785" t="s">
        <v>521</v>
      </c>
      <c r="F90" s="786">
        <v>46093</v>
      </c>
      <c r="G90" s="785" t="s">
        <v>5</v>
      </c>
      <c r="H90" s="785" t="s">
        <v>694</v>
      </c>
      <c r="I90" s="787">
        <v>1877937.9358337836</v>
      </c>
      <c r="J90" s="787">
        <v>0</v>
      </c>
      <c r="K90" s="787">
        <v>110817.78333333333</v>
      </c>
      <c r="L90" s="787">
        <v>0</v>
      </c>
      <c r="M90" s="787">
        <v>233975</v>
      </c>
      <c r="N90" s="787">
        <v>41031.64</v>
      </c>
      <c r="O90" s="787">
        <v>0</v>
      </c>
      <c r="P90" s="787">
        <v>0</v>
      </c>
      <c r="Q90" s="787">
        <v>14619.62</v>
      </c>
      <c r="R90" s="787">
        <v>0</v>
      </c>
      <c r="S90" s="787">
        <v>0</v>
      </c>
      <c r="T90" s="787">
        <v>0</v>
      </c>
      <c r="U90" s="787">
        <v>10073.35</v>
      </c>
      <c r="V90" s="787">
        <v>99317.859999999986</v>
      </c>
      <c r="W90" s="787">
        <v>0</v>
      </c>
      <c r="X90" s="787">
        <v>2387773.1891671172</v>
      </c>
      <c r="Y90" s="787">
        <v>1327300.53</v>
      </c>
      <c r="Z90" s="787">
        <v>0</v>
      </c>
      <c r="AA90" s="787">
        <v>344250.4</v>
      </c>
      <c r="AB90" s="787">
        <v>2752.64</v>
      </c>
      <c r="AC90" s="787">
        <v>158041.01999999999</v>
      </c>
      <c r="AD90" s="787">
        <v>103978.07</v>
      </c>
      <c r="AE90" s="787">
        <v>52223.06</v>
      </c>
      <c r="AF90" s="787">
        <v>0</v>
      </c>
      <c r="AG90" s="787">
        <v>2820</v>
      </c>
      <c r="AH90" s="787">
        <v>0</v>
      </c>
      <c r="AI90" s="787">
        <v>8883.15</v>
      </c>
      <c r="AJ90" s="787">
        <v>1401.91</v>
      </c>
      <c r="AK90" s="787">
        <v>0</v>
      </c>
      <c r="AL90" s="787">
        <v>0</v>
      </c>
      <c r="AM90" s="787">
        <v>7568.11</v>
      </c>
      <c r="AN90" s="787">
        <v>25122.91</v>
      </c>
      <c r="AO90" s="787">
        <v>41869.75</v>
      </c>
      <c r="AP90" s="787">
        <v>9797.76</v>
      </c>
      <c r="AQ90" s="787">
        <v>126195.94</v>
      </c>
      <c r="AR90" s="787">
        <v>0</v>
      </c>
      <c r="AS90" s="787">
        <v>0</v>
      </c>
      <c r="AT90" s="787">
        <v>3829.94</v>
      </c>
      <c r="AU90" s="787">
        <v>0</v>
      </c>
      <c r="AV90" s="787">
        <v>0</v>
      </c>
      <c r="AW90" s="787">
        <v>0</v>
      </c>
      <c r="AX90" s="787">
        <v>0</v>
      </c>
      <c r="AY90" s="787">
        <v>700</v>
      </c>
      <c r="AZ90" s="787">
        <v>86214.23</v>
      </c>
      <c r="BA90" s="787">
        <v>5139.75</v>
      </c>
      <c r="BB90" s="787">
        <v>1080</v>
      </c>
      <c r="BC90" s="787">
        <v>64.150000000000006</v>
      </c>
      <c r="BD90" s="787">
        <v>15426.39</v>
      </c>
      <c r="BE90" s="787">
        <v>7955</v>
      </c>
      <c r="BF90" s="787">
        <v>27167.65</v>
      </c>
      <c r="BG90" s="787">
        <v>138387.78</v>
      </c>
      <c r="BH90" s="787">
        <v>0</v>
      </c>
      <c r="BI90" s="787">
        <v>0</v>
      </c>
      <c r="BJ90" s="787">
        <v>2498170.1399999997</v>
      </c>
      <c r="BK90" s="787">
        <v>291317.62000000023</v>
      </c>
      <c r="BL90" s="787">
        <v>-110396.95083288243</v>
      </c>
      <c r="BM90" s="787">
        <v>180920.6691671178</v>
      </c>
      <c r="BN90" s="787">
        <v>7737.25</v>
      </c>
      <c r="BO90" s="787">
        <v>0</v>
      </c>
      <c r="BP90" s="787">
        <v>0</v>
      </c>
      <c r="BQ90" s="787">
        <v>7737.25</v>
      </c>
      <c r="BR90" s="787">
        <v>0</v>
      </c>
      <c r="BS90" s="787">
        <v>0</v>
      </c>
      <c r="BT90" s="787">
        <v>0</v>
      </c>
      <c r="BU90" s="787">
        <v>0</v>
      </c>
      <c r="BV90" s="787">
        <v>0</v>
      </c>
      <c r="BW90" s="787">
        <v>0</v>
      </c>
      <c r="BX90" s="787">
        <v>0</v>
      </c>
      <c r="BY90" s="787">
        <v>0</v>
      </c>
      <c r="BZ90" s="787">
        <v>0</v>
      </c>
      <c r="CA90" s="787">
        <v>4559.88</v>
      </c>
      <c r="CB90" s="787">
        <v>7737.25</v>
      </c>
      <c r="CC90" s="787">
        <v>12297.130000000001</v>
      </c>
      <c r="CD90" s="787">
        <v>0</v>
      </c>
      <c r="CE90" s="787">
        <v>0</v>
      </c>
      <c r="CF90" s="787">
        <v>0</v>
      </c>
      <c r="CG90" s="787">
        <v>0</v>
      </c>
      <c r="CH90" s="787">
        <v>0</v>
      </c>
      <c r="CI90" s="787">
        <v>0</v>
      </c>
      <c r="CJ90" s="787">
        <v>0</v>
      </c>
      <c r="CK90" s="787">
        <v>0</v>
      </c>
      <c r="CL90" s="787">
        <v>0</v>
      </c>
      <c r="CM90" s="787">
        <v>180920.6691671178</v>
      </c>
      <c r="CN90" s="787">
        <v>0</v>
      </c>
      <c r="CO90" s="787">
        <v>12297</v>
      </c>
      <c r="CP90" s="787">
        <v>0.13000000000101863</v>
      </c>
      <c r="CQ90" s="787">
        <v>0</v>
      </c>
      <c r="CR90" s="787">
        <v>193217.7991671178</v>
      </c>
      <c r="CS90" s="787">
        <v>377578.65</v>
      </c>
      <c r="CT90" s="787">
        <v>0</v>
      </c>
      <c r="CU90" s="787">
        <v>0</v>
      </c>
      <c r="CV90" s="787">
        <v>377578.65</v>
      </c>
      <c r="CW90" s="787">
        <v>0</v>
      </c>
      <c r="CX90" s="787">
        <v>2889.8</v>
      </c>
      <c r="CY90" s="787">
        <v>2263.64</v>
      </c>
      <c r="CZ90" s="787">
        <v>0</v>
      </c>
      <c r="DA90" s="787">
        <v>0</v>
      </c>
      <c r="DB90" s="787">
        <v>382732.09</v>
      </c>
      <c r="DC90" s="787">
        <v>0</v>
      </c>
      <c r="DD90" s="787">
        <v>0</v>
      </c>
      <c r="DE90" s="787">
        <v>0</v>
      </c>
      <c r="DF90" s="787">
        <v>0</v>
      </c>
      <c r="DG90" s="787"/>
      <c r="DH90" s="787"/>
      <c r="DI90" s="787"/>
      <c r="DJ90" s="787">
        <v>0</v>
      </c>
      <c r="DK90" s="787">
        <v>0</v>
      </c>
      <c r="DL90" s="787">
        <v>0</v>
      </c>
      <c r="DM90" s="787">
        <v>0</v>
      </c>
      <c r="DN90" s="787">
        <v>0</v>
      </c>
      <c r="DO90" s="787">
        <v>0</v>
      </c>
      <c r="DP90" s="787">
        <v>0</v>
      </c>
      <c r="DQ90" s="787">
        <v>-2752.64</v>
      </c>
      <c r="DR90" s="787">
        <v>0</v>
      </c>
      <c r="DS90" s="787">
        <v>0</v>
      </c>
      <c r="DT90" s="787">
        <v>-2752.64</v>
      </c>
      <c r="DU90" s="787">
        <v>0</v>
      </c>
      <c r="DV90" s="787">
        <v>0</v>
      </c>
      <c r="DW90" s="787">
        <v>-23761.71</v>
      </c>
      <c r="DX90" s="787">
        <v>0</v>
      </c>
      <c r="DY90" s="787">
        <v>0</v>
      </c>
      <c r="DZ90" s="787">
        <v>-162999.67999999999</v>
      </c>
      <c r="EA90" s="787">
        <v>-0.26083288225345314</v>
      </c>
      <c r="EE90">
        <f>_xlfn.XLOOKUP(C90,'[1]Cfwd Analysis'!$C:$C,'[1]Cfwd Analysis'!$I:$I,0,0)</f>
        <v>180920.6691671178</v>
      </c>
      <c r="EF90" s="788">
        <f t="shared" si="1"/>
        <v>0</v>
      </c>
    </row>
    <row r="91" spans="1:136" ht="15.6" hidden="1">
      <c r="A91" s="782" t="s">
        <v>1384</v>
      </c>
      <c r="B91" s="782" t="s">
        <v>684</v>
      </c>
      <c r="C91" s="783">
        <v>2441</v>
      </c>
      <c r="D91" s="784" t="s">
        <v>685</v>
      </c>
      <c r="E91" s="785" t="s">
        <v>521</v>
      </c>
      <c r="F91" s="786">
        <v>46094</v>
      </c>
      <c r="G91" s="785" t="s">
        <v>5</v>
      </c>
      <c r="H91" s="785" t="s">
        <v>696</v>
      </c>
      <c r="I91" s="787">
        <v>2286612.4722151789</v>
      </c>
      <c r="J91" s="787">
        <v>0</v>
      </c>
      <c r="K91" s="787">
        <v>126557.89000000001</v>
      </c>
      <c r="L91" s="787">
        <v>0</v>
      </c>
      <c r="M91" s="787">
        <v>308660</v>
      </c>
      <c r="N91" s="787">
        <v>42054.93</v>
      </c>
      <c r="O91" s="787">
        <v>15911.6</v>
      </c>
      <c r="P91" s="787">
        <v>0</v>
      </c>
      <c r="Q91" s="787">
        <v>16722.037580000073</v>
      </c>
      <c r="R91" s="787">
        <v>0</v>
      </c>
      <c r="S91" s="787">
        <v>0</v>
      </c>
      <c r="T91" s="787">
        <v>0</v>
      </c>
      <c r="U91" s="787">
        <v>22529</v>
      </c>
      <c r="V91" s="787">
        <v>9929.76</v>
      </c>
      <c r="W91" s="787">
        <v>30614.080000000002</v>
      </c>
      <c r="X91" s="787">
        <v>2859591.7697951794</v>
      </c>
      <c r="Y91" s="787">
        <v>1234187.45</v>
      </c>
      <c r="Z91" s="787">
        <v>0</v>
      </c>
      <c r="AA91" s="787">
        <v>606291.06000000006</v>
      </c>
      <c r="AB91" s="787">
        <v>97460.180000000008</v>
      </c>
      <c r="AC91" s="787">
        <v>136305.93</v>
      </c>
      <c r="AD91" s="787">
        <v>0</v>
      </c>
      <c r="AE91" s="787">
        <v>113680.28</v>
      </c>
      <c r="AF91" s="787">
        <v>9912.9500000000007</v>
      </c>
      <c r="AG91" s="787">
        <v>4013.5</v>
      </c>
      <c r="AH91" s="787">
        <v>0</v>
      </c>
      <c r="AI91" s="787">
        <v>0</v>
      </c>
      <c r="AJ91" s="787">
        <v>692</v>
      </c>
      <c r="AK91" s="787">
        <v>7087.25</v>
      </c>
      <c r="AL91" s="787">
        <v>1577.62</v>
      </c>
      <c r="AM91" s="787">
        <v>6301.41</v>
      </c>
      <c r="AN91" s="787">
        <v>41724.549999999996</v>
      </c>
      <c r="AO91" s="787">
        <v>14333.979999999998</v>
      </c>
      <c r="AP91" s="787">
        <v>10995.32</v>
      </c>
      <c r="AQ91" s="787">
        <v>116805.87</v>
      </c>
      <c r="AR91" s="787">
        <v>0</v>
      </c>
      <c r="AS91" s="787">
        <v>0</v>
      </c>
      <c r="AT91" s="787">
        <v>6780.4500000000007</v>
      </c>
      <c r="AU91" s="787">
        <v>0</v>
      </c>
      <c r="AV91" s="787">
        <v>0</v>
      </c>
      <c r="AW91" s="787">
        <v>0</v>
      </c>
      <c r="AX91" s="787">
        <v>0</v>
      </c>
      <c r="AY91" s="787">
        <v>0</v>
      </c>
      <c r="AZ91" s="787">
        <v>163208.93</v>
      </c>
      <c r="BA91" s="787">
        <v>9471</v>
      </c>
      <c r="BB91" s="787">
        <v>5428</v>
      </c>
      <c r="BC91" s="787">
        <v>112771.04</v>
      </c>
      <c r="BD91" s="787">
        <v>72635.91</v>
      </c>
      <c r="BE91" s="787">
        <v>13375.559999999998</v>
      </c>
      <c r="BF91" s="787">
        <v>53441.56</v>
      </c>
      <c r="BG91" s="787">
        <v>0</v>
      </c>
      <c r="BH91" s="787">
        <v>0</v>
      </c>
      <c r="BI91" s="787">
        <v>0</v>
      </c>
      <c r="BJ91" s="787">
        <v>2838481.8000000007</v>
      </c>
      <c r="BK91" s="787">
        <v>319126.28000000305</v>
      </c>
      <c r="BL91" s="787">
        <v>21109.969795178622</v>
      </c>
      <c r="BM91" s="787">
        <v>340236.24979518168</v>
      </c>
      <c r="BN91" s="787">
        <v>8136.63</v>
      </c>
      <c r="BO91" s="787">
        <v>0</v>
      </c>
      <c r="BP91" s="787">
        <v>0</v>
      </c>
      <c r="BQ91" s="787">
        <v>8136.63</v>
      </c>
      <c r="BR91" s="787">
        <v>0</v>
      </c>
      <c r="BS91" s="787">
        <v>6610</v>
      </c>
      <c r="BT91" s="787">
        <v>0</v>
      </c>
      <c r="BU91" s="787">
        <v>0</v>
      </c>
      <c r="BV91" s="787">
        <v>0</v>
      </c>
      <c r="BW91" s="787">
        <v>0</v>
      </c>
      <c r="BX91" s="787">
        <v>15203</v>
      </c>
      <c r="BY91" s="787">
        <v>0</v>
      </c>
      <c r="BZ91" s="787">
        <v>21813</v>
      </c>
      <c r="CA91" s="787">
        <v>38444.129999999997</v>
      </c>
      <c r="CB91" s="787">
        <v>-13676.369999999999</v>
      </c>
      <c r="CC91" s="787">
        <v>24767.759999999998</v>
      </c>
      <c r="CD91" s="787">
        <v>0</v>
      </c>
      <c r="CE91" s="787">
        <v>0</v>
      </c>
      <c r="CF91" s="787">
        <v>0</v>
      </c>
      <c r="CG91" s="787">
        <v>0</v>
      </c>
      <c r="CH91" s="787">
        <v>0</v>
      </c>
      <c r="CI91" s="787">
        <v>0</v>
      </c>
      <c r="CJ91" s="787">
        <v>0</v>
      </c>
      <c r="CK91" s="787">
        <v>0</v>
      </c>
      <c r="CL91" s="787">
        <v>0</v>
      </c>
      <c r="CM91" s="787">
        <v>340236.24979518168</v>
      </c>
      <c r="CN91" s="787">
        <v>0</v>
      </c>
      <c r="CO91" s="787">
        <v>24767.759999999998</v>
      </c>
      <c r="CP91" s="787">
        <v>0</v>
      </c>
      <c r="CQ91" s="787">
        <v>0</v>
      </c>
      <c r="CR91" s="787">
        <v>365004.00979518169</v>
      </c>
      <c r="CS91" s="787">
        <v>568500.18999999994</v>
      </c>
      <c r="CT91" s="787">
        <v>8452.99</v>
      </c>
      <c r="CU91" s="787">
        <v>91</v>
      </c>
      <c r="CV91" s="787">
        <v>560138.19999999995</v>
      </c>
      <c r="CW91" s="787">
        <v>0</v>
      </c>
      <c r="CX91" s="787">
        <v>6957.29</v>
      </c>
      <c r="CY91" s="787">
        <v>4500.1000000000004</v>
      </c>
      <c r="CZ91" s="787">
        <v>0</v>
      </c>
      <c r="DA91" s="787">
        <v>0</v>
      </c>
      <c r="DB91" s="787">
        <v>571595.59</v>
      </c>
      <c r="DC91" s="787">
        <v>0</v>
      </c>
      <c r="DD91" s="787">
        <v>0</v>
      </c>
      <c r="DE91" s="787">
        <v>0</v>
      </c>
      <c r="DF91" s="787">
        <v>0</v>
      </c>
      <c r="DG91" s="787"/>
      <c r="DH91" s="787"/>
      <c r="DI91" s="787"/>
      <c r="DJ91" s="787">
        <v>0</v>
      </c>
      <c r="DK91" s="787">
        <v>0</v>
      </c>
      <c r="DL91" s="787">
        <v>0</v>
      </c>
      <c r="DM91" s="787">
        <v>0</v>
      </c>
      <c r="DN91" s="787">
        <v>0</v>
      </c>
      <c r="DO91" s="787">
        <v>0</v>
      </c>
      <c r="DP91" s="787">
        <v>-205557.75</v>
      </c>
      <c r="DQ91" s="787">
        <v>-2596</v>
      </c>
      <c r="DR91" s="787">
        <v>0</v>
      </c>
      <c r="DS91" s="787">
        <v>0</v>
      </c>
      <c r="DT91" s="787">
        <v>-208153.75</v>
      </c>
      <c r="DU91" s="787">
        <v>0</v>
      </c>
      <c r="DV91" s="787">
        <v>0</v>
      </c>
      <c r="DW91" s="787">
        <v>1562.34</v>
      </c>
      <c r="DX91" s="787">
        <v>0</v>
      </c>
      <c r="DY91" s="787">
        <v>0</v>
      </c>
      <c r="DZ91" s="787">
        <v>0</v>
      </c>
      <c r="EA91" s="787">
        <v>-0.17020481824874878</v>
      </c>
      <c r="EC91" s="788">
        <v>24767.759999999998</v>
      </c>
      <c r="EE91">
        <f>_xlfn.XLOOKUP(C91,'[1]Cfwd Analysis'!$C:$C,'[1]Cfwd Analysis'!$I:$I,0,0)</f>
        <v>340236.24979518168</v>
      </c>
      <c r="EF91" s="788">
        <f t="shared" si="1"/>
        <v>0</v>
      </c>
    </row>
    <row r="92" spans="1:136" ht="15.6" hidden="1">
      <c r="A92" s="782" t="s">
        <v>1385</v>
      </c>
      <c r="B92" s="782" t="s">
        <v>686</v>
      </c>
      <c r="C92" s="783">
        <v>2321</v>
      </c>
      <c r="D92" s="784" t="s">
        <v>687</v>
      </c>
      <c r="E92" s="785" t="s">
        <v>521</v>
      </c>
      <c r="F92" s="786">
        <v>46094</v>
      </c>
      <c r="G92" s="785" t="s">
        <v>5</v>
      </c>
      <c r="H92" s="785" t="s">
        <v>698</v>
      </c>
      <c r="I92" s="787">
        <v>1253029.0223890988</v>
      </c>
      <c r="J92" s="787">
        <v>0</v>
      </c>
      <c r="K92" s="787">
        <v>173754.75666666665</v>
      </c>
      <c r="L92" s="787">
        <v>0</v>
      </c>
      <c r="M92" s="787">
        <v>191255</v>
      </c>
      <c r="N92" s="787">
        <v>22644.29</v>
      </c>
      <c r="O92" s="787">
        <v>0</v>
      </c>
      <c r="P92" s="787">
        <v>0</v>
      </c>
      <c r="Q92" s="787">
        <v>26636.526979999981</v>
      </c>
      <c r="R92" s="787">
        <v>0</v>
      </c>
      <c r="S92" s="787">
        <v>0</v>
      </c>
      <c r="T92" s="787">
        <v>0</v>
      </c>
      <c r="U92" s="787">
        <v>12937.32</v>
      </c>
      <c r="V92" s="787">
        <v>9700.09</v>
      </c>
      <c r="W92" s="787">
        <v>0</v>
      </c>
      <c r="X92" s="787">
        <v>1689957.0060357656</v>
      </c>
      <c r="Y92" s="787">
        <v>694847.62</v>
      </c>
      <c r="Z92" s="787">
        <v>0</v>
      </c>
      <c r="AA92" s="787">
        <v>389782.31</v>
      </c>
      <c r="AB92" s="787">
        <v>52322.049999999996</v>
      </c>
      <c r="AC92" s="787">
        <v>87041.58</v>
      </c>
      <c r="AD92" s="787">
        <v>0</v>
      </c>
      <c r="AE92" s="787">
        <v>41955.19</v>
      </c>
      <c r="AF92" s="787">
        <v>5451.63</v>
      </c>
      <c r="AG92" s="787">
        <v>2907.68</v>
      </c>
      <c r="AH92" s="787">
        <v>0</v>
      </c>
      <c r="AI92" s="787">
        <v>0</v>
      </c>
      <c r="AJ92" s="787">
        <v>10992.49</v>
      </c>
      <c r="AK92" s="787">
        <v>2763.17</v>
      </c>
      <c r="AL92" s="787">
        <v>2376.83</v>
      </c>
      <c r="AM92" s="787">
        <v>8652.48</v>
      </c>
      <c r="AN92" s="787">
        <v>16138.48</v>
      </c>
      <c r="AO92" s="787">
        <v>15754.439999999997</v>
      </c>
      <c r="AP92" s="787">
        <v>9797.59</v>
      </c>
      <c r="AQ92" s="787">
        <v>29717.4</v>
      </c>
      <c r="AR92" s="787">
        <v>236.92</v>
      </c>
      <c r="AS92" s="787">
        <v>0</v>
      </c>
      <c r="AT92" s="787">
        <v>52842.69</v>
      </c>
      <c r="AU92" s="787">
        <v>0</v>
      </c>
      <c r="AV92" s="787">
        <v>0</v>
      </c>
      <c r="AW92" s="787">
        <v>1680.35</v>
      </c>
      <c r="AX92" s="787">
        <v>60.93</v>
      </c>
      <c r="AY92" s="787">
        <v>0</v>
      </c>
      <c r="AZ92" s="787">
        <v>21476.61</v>
      </c>
      <c r="BA92" s="787">
        <v>5139.75</v>
      </c>
      <c r="BB92" s="787">
        <v>854.19</v>
      </c>
      <c r="BC92" s="787">
        <v>84913.76999999999</v>
      </c>
      <c r="BD92" s="787">
        <v>82179.010000000009</v>
      </c>
      <c r="BE92" s="787">
        <v>7578.36</v>
      </c>
      <c r="BF92" s="787">
        <v>67025.88</v>
      </c>
      <c r="BG92" s="787">
        <v>0</v>
      </c>
      <c r="BH92" s="787">
        <v>0</v>
      </c>
      <c r="BI92" s="787">
        <v>0</v>
      </c>
      <c r="BJ92" s="787">
        <v>1694489.4</v>
      </c>
      <c r="BK92" s="787">
        <v>385866.67999999924</v>
      </c>
      <c r="BL92" s="787">
        <v>-4532.3939642342739</v>
      </c>
      <c r="BM92" s="787">
        <v>381334.28603576496</v>
      </c>
      <c r="BN92" s="787">
        <v>6047.5</v>
      </c>
      <c r="BO92" s="787">
        <v>0</v>
      </c>
      <c r="BP92" s="787">
        <v>0</v>
      </c>
      <c r="BQ92" s="787">
        <v>6047.5</v>
      </c>
      <c r="BR92" s="787">
        <v>0</v>
      </c>
      <c r="BS92" s="787">
        <v>0</v>
      </c>
      <c r="BT92" s="787">
        <v>0</v>
      </c>
      <c r="BU92" s="787">
        <v>0</v>
      </c>
      <c r="BV92" s="787">
        <v>0</v>
      </c>
      <c r="BW92" s="787">
        <v>0</v>
      </c>
      <c r="BX92" s="787">
        <v>7281</v>
      </c>
      <c r="BY92" s="787">
        <v>0</v>
      </c>
      <c r="BZ92" s="787">
        <v>7281</v>
      </c>
      <c r="CA92" s="787">
        <v>6066.4500000000007</v>
      </c>
      <c r="CB92" s="787">
        <v>-1233.5</v>
      </c>
      <c r="CC92" s="787">
        <v>4832.9500000000007</v>
      </c>
      <c r="CD92" s="787">
        <v>0</v>
      </c>
      <c r="CE92" s="787">
        <v>0</v>
      </c>
      <c r="CF92" s="787">
        <v>0</v>
      </c>
      <c r="CG92" s="787">
        <v>0</v>
      </c>
      <c r="CH92" s="787">
        <v>0</v>
      </c>
      <c r="CI92" s="787">
        <v>0</v>
      </c>
      <c r="CJ92" s="787">
        <v>0</v>
      </c>
      <c r="CK92" s="787">
        <v>0</v>
      </c>
      <c r="CL92" s="787">
        <v>0</v>
      </c>
      <c r="CM92" s="787">
        <v>381334.28603576496</v>
      </c>
      <c r="CN92" s="787">
        <v>0</v>
      </c>
      <c r="CO92" s="787">
        <v>4832.5</v>
      </c>
      <c r="CP92" s="787">
        <v>0.4500000000007276</v>
      </c>
      <c r="CQ92" s="787">
        <v>0</v>
      </c>
      <c r="CR92" s="787">
        <v>386167.23603576497</v>
      </c>
      <c r="CS92" s="787">
        <v>574267.5</v>
      </c>
      <c r="CT92" s="787">
        <v>0</v>
      </c>
      <c r="CU92" s="787">
        <v>0</v>
      </c>
      <c r="CV92" s="787">
        <v>574267.5</v>
      </c>
      <c r="CW92" s="787">
        <v>0</v>
      </c>
      <c r="CX92" s="787">
        <v>3788.59</v>
      </c>
      <c r="CY92" s="787">
        <v>437.41</v>
      </c>
      <c r="CZ92" s="787">
        <v>0</v>
      </c>
      <c r="DA92" s="787">
        <v>0</v>
      </c>
      <c r="DB92" s="787">
        <v>578493.5</v>
      </c>
      <c r="DC92" s="787">
        <v>0</v>
      </c>
      <c r="DD92" s="787">
        <v>0</v>
      </c>
      <c r="DE92" s="787">
        <v>0</v>
      </c>
      <c r="DF92" s="787">
        <v>0</v>
      </c>
      <c r="DG92" s="787"/>
      <c r="DH92" s="787"/>
      <c r="DI92" s="787"/>
      <c r="DJ92" s="787">
        <v>0</v>
      </c>
      <c r="DK92" s="787">
        <v>0</v>
      </c>
      <c r="DL92" s="787">
        <v>1640</v>
      </c>
      <c r="DM92" s="787">
        <v>0</v>
      </c>
      <c r="DN92" s="787">
        <v>0</v>
      </c>
      <c r="DO92" s="787">
        <v>0</v>
      </c>
      <c r="DP92" s="787">
        <v>-137150.23000000001</v>
      </c>
      <c r="DQ92" s="787">
        <v>-55630.239999999998</v>
      </c>
      <c r="DR92" s="787">
        <v>0</v>
      </c>
      <c r="DS92" s="787">
        <v>0</v>
      </c>
      <c r="DT92" s="787">
        <v>-191140.47</v>
      </c>
      <c r="DU92" s="787">
        <v>0</v>
      </c>
      <c r="DV92" s="787">
        <v>0</v>
      </c>
      <c r="DW92" s="787">
        <v>0</v>
      </c>
      <c r="DX92" s="787">
        <v>0</v>
      </c>
      <c r="DY92" s="787">
        <v>0</v>
      </c>
      <c r="DZ92" s="787">
        <v>-1186.25</v>
      </c>
      <c r="EA92" s="787">
        <v>0.45603576494613662</v>
      </c>
      <c r="EE92">
        <f>_xlfn.XLOOKUP(C92,'[1]Cfwd Analysis'!$C:$C,'[1]Cfwd Analysis'!$I:$I,0,0)</f>
        <v>381334.28603576496</v>
      </c>
      <c r="EF92" s="788">
        <f t="shared" si="1"/>
        <v>0</v>
      </c>
    </row>
    <row r="93" spans="1:136" ht="15.6" hidden="1">
      <c r="A93" s="782" t="s">
        <v>1386</v>
      </c>
      <c r="B93" s="782" t="s">
        <v>866</v>
      </c>
      <c r="C93" s="783">
        <v>2189</v>
      </c>
      <c r="D93" s="784" t="s">
        <v>867</v>
      </c>
      <c r="E93" s="785" t="s">
        <v>521</v>
      </c>
      <c r="F93" s="786" t="s">
        <v>1315</v>
      </c>
      <c r="G93" s="785" t="s">
        <v>5</v>
      </c>
      <c r="H93" s="785" t="s">
        <v>910</v>
      </c>
      <c r="I93" s="787">
        <v>1581906.1980181492</v>
      </c>
      <c r="J93" s="787">
        <v>0</v>
      </c>
      <c r="K93" s="787">
        <v>66088.796666666662</v>
      </c>
      <c r="L93" s="787">
        <v>0</v>
      </c>
      <c r="M93" s="787">
        <v>181800</v>
      </c>
      <c r="N93" s="787">
        <v>49365.57</v>
      </c>
      <c r="O93" s="787">
        <v>0</v>
      </c>
      <c r="P93" s="787">
        <v>0</v>
      </c>
      <c r="Q93" s="787">
        <v>13086.75</v>
      </c>
      <c r="R93" s="787">
        <v>2931.92</v>
      </c>
      <c r="S93" s="787">
        <v>0</v>
      </c>
      <c r="T93" s="787">
        <v>0</v>
      </c>
      <c r="U93" s="787">
        <v>8030.78</v>
      </c>
      <c r="V93" s="787">
        <v>0</v>
      </c>
      <c r="W93" s="787">
        <v>0</v>
      </c>
      <c r="X93" s="787">
        <v>1903210.0146848159</v>
      </c>
      <c r="Y93" s="787">
        <v>724052.77</v>
      </c>
      <c r="Z93" s="787">
        <v>0</v>
      </c>
      <c r="AA93" s="787">
        <v>260913.22</v>
      </c>
      <c r="AB93" s="787">
        <v>50259.119999999995</v>
      </c>
      <c r="AC93" s="787">
        <v>7057.38</v>
      </c>
      <c r="AD93" s="787">
        <v>0</v>
      </c>
      <c r="AE93" s="787">
        <v>98802.45</v>
      </c>
      <c r="AF93" s="787">
        <v>4142.78</v>
      </c>
      <c r="AG93" s="787">
        <v>7141.96</v>
      </c>
      <c r="AH93" s="787">
        <v>0</v>
      </c>
      <c r="AI93" s="787">
        <v>0</v>
      </c>
      <c r="AJ93" s="787">
        <v>6368.46</v>
      </c>
      <c r="AK93" s="787">
        <v>230</v>
      </c>
      <c r="AL93" s="787">
        <v>62716.09</v>
      </c>
      <c r="AM93" s="787">
        <v>4863.4399999999996</v>
      </c>
      <c r="AN93" s="787">
        <v>35826.629999999997</v>
      </c>
      <c r="AO93" s="787">
        <v>31534.81</v>
      </c>
      <c r="AP93" s="787">
        <v>10059.299999999999</v>
      </c>
      <c r="AQ93" s="787">
        <v>35761.040000000001</v>
      </c>
      <c r="AR93" s="787">
        <v>0</v>
      </c>
      <c r="AS93" s="787">
        <v>0</v>
      </c>
      <c r="AT93" s="787">
        <v>0</v>
      </c>
      <c r="AU93" s="787">
        <v>489.43</v>
      </c>
      <c r="AV93" s="787">
        <v>575.22</v>
      </c>
      <c r="AW93" s="787">
        <v>0</v>
      </c>
      <c r="AX93" s="787">
        <v>0</v>
      </c>
      <c r="AY93" s="787">
        <v>0</v>
      </c>
      <c r="AZ93" s="787">
        <v>20239.05</v>
      </c>
      <c r="BA93" s="787">
        <v>5139.75</v>
      </c>
      <c r="BB93" s="787">
        <v>0</v>
      </c>
      <c r="BC93" s="787">
        <v>127135.53</v>
      </c>
      <c r="BD93" s="787">
        <v>251058.56</v>
      </c>
      <c r="BE93" s="787">
        <v>17513.43</v>
      </c>
      <c r="BF93" s="787">
        <v>120972.44</v>
      </c>
      <c r="BG93" s="787">
        <v>0</v>
      </c>
      <c r="BH93" s="787">
        <v>0</v>
      </c>
      <c r="BI93" s="787">
        <v>0</v>
      </c>
      <c r="BJ93" s="787">
        <v>1882852.8599999999</v>
      </c>
      <c r="BK93" s="787">
        <v>-481557.54000000155</v>
      </c>
      <c r="BL93" s="787">
        <v>20357.154684816021</v>
      </c>
      <c r="BM93" s="787">
        <v>-461200.38531518553</v>
      </c>
      <c r="BN93" s="787">
        <v>6724.75</v>
      </c>
      <c r="BO93" s="787">
        <v>0</v>
      </c>
      <c r="BP93" s="787">
        <v>0</v>
      </c>
      <c r="BQ93" s="787">
        <v>6724.75</v>
      </c>
      <c r="BR93" s="787">
        <v>0</v>
      </c>
      <c r="BS93" s="787">
        <v>0</v>
      </c>
      <c r="BT93" s="787">
        <v>0</v>
      </c>
      <c r="BU93" s="787">
        <v>0</v>
      </c>
      <c r="BV93" s="787">
        <v>0</v>
      </c>
      <c r="BW93" s="787">
        <v>0</v>
      </c>
      <c r="BX93" s="787">
        <v>0</v>
      </c>
      <c r="BY93" s="787">
        <v>0</v>
      </c>
      <c r="BZ93" s="787">
        <v>0</v>
      </c>
      <c r="CA93" s="787">
        <v>3803.01</v>
      </c>
      <c r="CB93" s="787">
        <v>6724.75</v>
      </c>
      <c r="CC93" s="787">
        <v>10527.76</v>
      </c>
      <c r="CD93" s="787">
        <v>0</v>
      </c>
      <c r="CE93" s="787">
        <v>0</v>
      </c>
      <c r="CF93" s="787">
        <v>0</v>
      </c>
      <c r="CG93" s="787">
        <v>0</v>
      </c>
      <c r="CH93" s="787">
        <v>0</v>
      </c>
      <c r="CI93" s="787">
        <v>0</v>
      </c>
      <c r="CJ93" s="787">
        <v>0</v>
      </c>
      <c r="CK93" s="787">
        <v>0</v>
      </c>
      <c r="CL93" s="787">
        <v>0</v>
      </c>
      <c r="CM93" s="787">
        <v>0</v>
      </c>
      <c r="CN93" s="787">
        <v>-461200.38531518553</v>
      </c>
      <c r="CO93" s="787">
        <v>10527.76</v>
      </c>
      <c r="CP93" s="787">
        <v>0</v>
      </c>
      <c r="CQ93" s="787">
        <v>0</v>
      </c>
      <c r="CR93" s="787">
        <v>-450672.62531518552</v>
      </c>
      <c r="CS93" s="787">
        <v>-255432.15</v>
      </c>
      <c r="CT93" s="787">
        <v>55270.03</v>
      </c>
      <c r="CU93" s="787">
        <v>0</v>
      </c>
      <c r="CV93" s="787">
        <v>-310702.18</v>
      </c>
      <c r="CW93" s="787">
        <v>0</v>
      </c>
      <c r="CX93" s="787">
        <v>9075.5400000000009</v>
      </c>
      <c r="CY93" s="787">
        <v>1818.2</v>
      </c>
      <c r="CZ93" s="787">
        <v>0</v>
      </c>
      <c r="DA93" s="787">
        <v>0</v>
      </c>
      <c r="DB93" s="787">
        <v>-299808.44</v>
      </c>
      <c r="DC93" s="787">
        <v>0</v>
      </c>
      <c r="DD93" s="787">
        <v>0</v>
      </c>
      <c r="DE93" s="787">
        <v>0</v>
      </c>
      <c r="DF93" s="787">
        <v>0</v>
      </c>
      <c r="DG93" s="787"/>
      <c r="DH93" s="787"/>
      <c r="DI93" s="787"/>
      <c r="DJ93" s="787">
        <v>0</v>
      </c>
      <c r="DK93" s="787">
        <v>0</v>
      </c>
      <c r="DL93" s="787">
        <v>0</v>
      </c>
      <c r="DM93" s="787">
        <v>0</v>
      </c>
      <c r="DN93" s="787">
        <v>0</v>
      </c>
      <c r="DO93" s="787">
        <v>0</v>
      </c>
      <c r="DP93" s="787">
        <v>-115457.32</v>
      </c>
      <c r="DQ93" s="787">
        <v>-35976.58</v>
      </c>
      <c r="DR93" s="787">
        <v>0</v>
      </c>
      <c r="DS93" s="787">
        <v>0</v>
      </c>
      <c r="DT93" s="787">
        <v>-151433.90000000002</v>
      </c>
      <c r="DU93" s="787">
        <v>569.72</v>
      </c>
      <c r="DV93" s="787">
        <v>0</v>
      </c>
      <c r="DW93" s="787">
        <v>0</v>
      </c>
      <c r="DX93" s="787">
        <v>0</v>
      </c>
      <c r="DY93" s="787">
        <v>0</v>
      </c>
      <c r="DZ93" s="787">
        <v>0</v>
      </c>
      <c r="EA93" s="787">
        <v>-5.3151855245232582E-3</v>
      </c>
      <c r="EC93" s="788">
        <v>10527.76</v>
      </c>
      <c r="EE93">
        <f>_xlfn.XLOOKUP(C93,'[1]Cfwd Analysis'!$C:$C,'[1]Cfwd Analysis'!$I:$I,0,0)</f>
        <v>-461200.38531518553</v>
      </c>
      <c r="EF93" s="788">
        <f t="shared" si="1"/>
        <v>0</v>
      </c>
    </row>
    <row r="94" spans="1:136" ht="15.6" hidden="1">
      <c r="A94" s="782" t="s">
        <v>1387</v>
      </c>
      <c r="B94" s="782" t="s">
        <v>868</v>
      </c>
      <c r="C94" s="783">
        <v>7060</v>
      </c>
      <c r="D94" s="784" t="s">
        <v>869</v>
      </c>
      <c r="E94" s="785" t="s">
        <v>521</v>
      </c>
      <c r="F94" s="786">
        <v>46094</v>
      </c>
      <c r="G94" s="785" t="s">
        <v>5</v>
      </c>
      <c r="H94" s="785" t="s">
        <v>912</v>
      </c>
      <c r="I94" s="787">
        <v>1376632.29</v>
      </c>
      <c r="J94" s="787">
        <v>0</v>
      </c>
      <c r="K94" s="787">
        <v>2400006.2599999998</v>
      </c>
      <c r="L94" s="787">
        <v>0</v>
      </c>
      <c r="M94" s="787">
        <v>110895</v>
      </c>
      <c r="N94" s="787">
        <v>104062.81999999999</v>
      </c>
      <c r="O94" s="787">
        <v>700</v>
      </c>
      <c r="P94" s="787">
        <v>0</v>
      </c>
      <c r="Q94" s="787">
        <v>20948.79</v>
      </c>
      <c r="R94" s="787">
        <v>0</v>
      </c>
      <c r="S94" s="787">
        <v>0</v>
      </c>
      <c r="T94" s="787">
        <v>0</v>
      </c>
      <c r="U94" s="787">
        <v>604</v>
      </c>
      <c r="V94" s="787">
        <v>0</v>
      </c>
      <c r="W94" s="787">
        <v>0</v>
      </c>
      <c r="X94" s="787">
        <v>4013849.1599999997</v>
      </c>
      <c r="Y94" s="787">
        <v>1329204.3899999999</v>
      </c>
      <c r="Z94" s="787">
        <v>0</v>
      </c>
      <c r="AA94" s="787">
        <v>1474902.0699999998</v>
      </c>
      <c r="AB94" s="787">
        <v>44758.62</v>
      </c>
      <c r="AC94" s="787">
        <v>143359.63</v>
      </c>
      <c r="AD94" s="787">
        <v>0</v>
      </c>
      <c r="AE94" s="787">
        <v>24254.920000000002</v>
      </c>
      <c r="AF94" s="787">
        <v>3916.65</v>
      </c>
      <c r="AG94" s="787">
        <v>10671.94</v>
      </c>
      <c r="AH94" s="787">
        <v>0</v>
      </c>
      <c r="AI94" s="787">
        <v>0</v>
      </c>
      <c r="AJ94" s="787">
        <v>8025.71</v>
      </c>
      <c r="AK94" s="787">
        <v>549.99</v>
      </c>
      <c r="AL94" s="787">
        <v>30401.759999999998</v>
      </c>
      <c r="AM94" s="787">
        <v>11932.426666666666</v>
      </c>
      <c r="AN94" s="787">
        <v>39174.759999999995</v>
      </c>
      <c r="AO94" s="787">
        <v>0</v>
      </c>
      <c r="AP94" s="787">
        <v>5674.75</v>
      </c>
      <c r="AQ94" s="787">
        <v>31767.705000000002</v>
      </c>
      <c r="AR94" s="787">
        <v>0</v>
      </c>
      <c r="AS94" s="787">
        <v>3381.5</v>
      </c>
      <c r="AT94" s="787">
        <v>6179.25</v>
      </c>
      <c r="AU94" s="787">
        <v>14297.53</v>
      </c>
      <c r="AV94" s="787">
        <v>1404.46</v>
      </c>
      <c r="AW94" s="787">
        <v>217.89</v>
      </c>
      <c r="AX94" s="787">
        <v>10725</v>
      </c>
      <c r="AY94" s="787">
        <v>0</v>
      </c>
      <c r="AZ94" s="787">
        <v>12794.519999999999</v>
      </c>
      <c r="BA94" s="787">
        <v>4849.47</v>
      </c>
      <c r="BB94" s="787">
        <v>10552.97</v>
      </c>
      <c r="BC94" s="787">
        <v>55240.4</v>
      </c>
      <c r="BD94" s="787">
        <v>149479.25</v>
      </c>
      <c r="BE94" s="787">
        <v>132017.71</v>
      </c>
      <c r="BF94" s="787">
        <v>31038.78</v>
      </c>
      <c r="BG94" s="787">
        <v>0</v>
      </c>
      <c r="BH94" s="787">
        <v>0</v>
      </c>
      <c r="BI94" s="787">
        <v>0</v>
      </c>
      <c r="BJ94" s="787">
        <v>3590774.0516666663</v>
      </c>
      <c r="BK94" s="787">
        <v>-157003.14999998829</v>
      </c>
      <c r="BL94" s="787">
        <v>423075.1083333334</v>
      </c>
      <c r="BM94" s="787">
        <v>266071.95833334513</v>
      </c>
      <c r="BN94" s="787">
        <v>9214.3799999999992</v>
      </c>
      <c r="BO94" s="787">
        <v>0</v>
      </c>
      <c r="BP94" s="787">
        <v>0</v>
      </c>
      <c r="BQ94" s="787">
        <v>9214.3799999999992</v>
      </c>
      <c r="BR94" s="787">
        <v>0</v>
      </c>
      <c r="BS94" s="787">
        <v>10810</v>
      </c>
      <c r="BT94" s="787">
        <v>1764.79</v>
      </c>
      <c r="BU94" s="787">
        <v>0</v>
      </c>
      <c r="BV94" s="787">
        <v>0</v>
      </c>
      <c r="BW94" s="787">
        <v>0</v>
      </c>
      <c r="BX94" s="787">
        <v>8600.2800000000007</v>
      </c>
      <c r="BY94" s="787">
        <v>0</v>
      </c>
      <c r="BZ94" s="787">
        <v>21175.07</v>
      </c>
      <c r="CA94" s="787">
        <v>85432.59</v>
      </c>
      <c r="CB94" s="787">
        <v>-11960.69</v>
      </c>
      <c r="CC94" s="787">
        <v>73471.899999999994</v>
      </c>
      <c r="CD94" s="787">
        <v>0</v>
      </c>
      <c r="CE94" s="787">
        <v>0</v>
      </c>
      <c r="CF94" s="787">
        <v>0</v>
      </c>
      <c r="CG94" s="787">
        <v>0</v>
      </c>
      <c r="CH94" s="787">
        <v>0</v>
      </c>
      <c r="CI94" s="787">
        <v>0</v>
      </c>
      <c r="CJ94" s="787">
        <v>0</v>
      </c>
      <c r="CK94" s="787">
        <v>0</v>
      </c>
      <c r="CL94" s="787">
        <v>0</v>
      </c>
      <c r="CM94" s="787">
        <v>266071.95833334513</v>
      </c>
      <c r="CN94" s="787">
        <v>0</v>
      </c>
      <c r="CO94" s="787">
        <v>73471.899999999994</v>
      </c>
      <c r="CP94" s="787">
        <v>0</v>
      </c>
      <c r="CQ94" s="787">
        <v>0</v>
      </c>
      <c r="CR94" s="787">
        <v>339543.85833334515</v>
      </c>
      <c r="CS94" s="787">
        <v>668513.12</v>
      </c>
      <c r="CT94" s="787">
        <v>0</v>
      </c>
      <c r="CU94" s="787">
        <v>0</v>
      </c>
      <c r="CV94" s="787">
        <v>668513.12</v>
      </c>
      <c r="CW94" s="787">
        <v>0</v>
      </c>
      <c r="CX94" s="787">
        <v>7843.89</v>
      </c>
      <c r="CY94" s="787">
        <v>1706.26</v>
      </c>
      <c r="CZ94" s="787">
        <v>0</v>
      </c>
      <c r="DA94" s="787">
        <v>2</v>
      </c>
      <c r="DB94" s="787">
        <v>678065.27</v>
      </c>
      <c r="DC94" s="787">
        <v>0</v>
      </c>
      <c r="DD94" s="787">
        <v>0</v>
      </c>
      <c r="DE94" s="787">
        <v>0</v>
      </c>
      <c r="DF94" s="787">
        <v>0</v>
      </c>
      <c r="DG94" s="787"/>
      <c r="DH94" s="787"/>
      <c r="DI94" s="787"/>
      <c r="DJ94" s="787">
        <v>0</v>
      </c>
      <c r="DK94" s="787">
        <v>0</v>
      </c>
      <c r="DL94" s="787">
        <v>16519.810000000001</v>
      </c>
      <c r="DM94" s="787">
        <v>0</v>
      </c>
      <c r="DN94" s="787">
        <v>0</v>
      </c>
      <c r="DO94" s="787">
        <v>550</v>
      </c>
      <c r="DP94" s="787">
        <v>-287969.44</v>
      </c>
      <c r="DQ94" s="787">
        <v>-20925.18</v>
      </c>
      <c r="DR94" s="787">
        <v>0</v>
      </c>
      <c r="DS94" s="787">
        <v>0</v>
      </c>
      <c r="DT94" s="787">
        <v>-291824.81</v>
      </c>
      <c r="DU94" s="787">
        <v>3792</v>
      </c>
      <c r="DV94" s="787">
        <v>0</v>
      </c>
      <c r="DW94" s="787">
        <v>0</v>
      </c>
      <c r="DX94" s="787">
        <v>0</v>
      </c>
      <c r="DY94" s="787">
        <v>296.95</v>
      </c>
      <c r="DZ94" s="787">
        <v>-50785.55</v>
      </c>
      <c r="EA94" s="787">
        <v>-1.6666548908688128E-3</v>
      </c>
      <c r="EC94" s="788">
        <v>73471.899999999994</v>
      </c>
      <c r="EE94">
        <f>_xlfn.XLOOKUP(C94,'[1]Cfwd Analysis'!$C:$C,'[1]Cfwd Analysis'!$I:$I,0,0)</f>
        <v>266071.95833334513</v>
      </c>
      <c r="EF94" s="788">
        <f t="shared" si="1"/>
        <v>0</v>
      </c>
    </row>
    <row r="95" spans="1:136" ht="15.6" hidden="1">
      <c r="A95" s="782" t="s">
        <v>1388</v>
      </c>
      <c r="B95" s="782" t="s">
        <v>900</v>
      </c>
      <c r="C95" s="783">
        <v>1024</v>
      </c>
      <c r="D95" s="784" t="s">
        <v>901</v>
      </c>
      <c r="E95" s="785" t="s">
        <v>521</v>
      </c>
      <c r="F95" s="786" t="s">
        <v>1305</v>
      </c>
      <c r="G95" s="785" t="s">
        <v>5</v>
      </c>
      <c r="H95" s="785" t="s">
        <v>916</v>
      </c>
      <c r="I95" s="787">
        <v>602975.22846703755</v>
      </c>
      <c r="J95" s="787">
        <v>0</v>
      </c>
      <c r="K95" s="787">
        <v>9337.1633999999995</v>
      </c>
      <c r="L95" s="787">
        <v>0</v>
      </c>
      <c r="M95" s="787">
        <v>0</v>
      </c>
      <c r="N95" s="787">
        <v>0</v>
      </c>
      <c r="O95" s="787">
        <v>0</v>
      </c>
      <c r="P95" s="787">
        <v>0</v>
      </c>
      <c r="Q95" s="787">
        <v>0</v>
      </c>
      <c r="R95" s="787">
        <v>0</v>
      </c>
      <c r="S95" s="787">
        <v>0.15813296288251877</v>
      </c>
      <c r="T95" s="787">
        <v>0</v>
      </c>
      <c r="U95" s="787">
        <v>2958.81</v>
      </c>
      <c r="V95" s="787">
        <v>124529.91</v>
      </c>
      <c r="W95" s="787">
        <v>0</v>
      </c>
      <c r="X95" s="787">
        <v>739801.27000000048</v>
      </c>
      <c r="Y95" s="787">
        <v>214663.81</v>
      </c>
      <c r="Z95" s="787">
        <v>0</v>
      </c>
      <c r="AA95" s="787">
        <v>109360.34000000001</v>
      </c>
      <c r="AB95" s="787">
        <v>0</v>
      </c>
      <c r="AC95" s="787">
        <v>50483.13</v>
      </c>
      <c r="AD95" s="787">
        <v>8184.26</v>
      </c>
      <c r="AE95" s="787">
        <v>51586.32</v>
      </c>
      <c r="AF95" s="787">
        <v>14796.76</v>
      </c>
      <c r="AG95" s="787">
        <v>2999</v>
      </c>
      <c r="AH95" s="787">
        <v>0</v>
      </c>
      <c r="AI95" s="787">
        <v>3291.75</v>
      </c>
      <c r="AJ95" s="787">
        <v>28351.79</v>
      </c>
      <c r="AK95" s="787">
        <v>1074.17</v>
      </c>
      <c r="AL95" s="787">
        <v>436.06</v>
      </c>
      <c r="AM95" s="787">
        <v>3257.69</v>
      </c>
      <c r="AN95" s="787">
        <v>9840.5</v>
      </c>
      <c r="AO95" s="787">
        <v>0</v>
      </c>
      <c r="AP95" s="787">
        <v>25040.639999999999</v>
      </c>
      <c r="AQ95" s="787">
        <v>24566.560000000001</v>
      </c>
      <c r="AR95" s="787">
        <v>412</v>
      </c>
      <c r="AS95" s="787">
        <v>0</v>
      </c>
      <c r="AT95" s="787">
        <v>3613.41</v>
      </c>
      <c r="AU95" s="787">
        <v>0</v>
      </c>
      <c r="AV95" s="787">
        <v>0</v>
      </c>
      <c r="AW95" s="787">
        <v>0</v>
      </c>
      <c r="AX95" s="787">
        <v>0</v>
      </c>
      <c r="AY95" s="787">
        <v>0</v>
      </c>
      <c r="AZ95" s="787">
        <v>16433.45</v>
      </c>
      <c r="BA95" s="787">
        <v>3291.75</v>
      </c>
      <c r="BB95" s="787">
        <v>0</v>
      </c>
      <c r="BC95" s="787">
        <v>15978.62</v>
      </c>
      <c r="BD95" s="787">
        <v>87951.28</v>
      </c>
      <c r="BE95" s="787">
        <v>0</v>
      </c>
      <c r="BF95" s="787">
        <v>120098.78</v>
      </c>
      <c r="BG95" s="787">
        <v>0</v>
      </c>
      <c r="BH95" s="787">
        <v>-0.34000000054948032</v>
      </c>
      <c r="BI95" s="787">
        <v>0</v>
      </c>
      <c r="BJ95" s="787">
        <v>795711.72999999952</v>
      </c>
      <c r="BK95" s="787">
        <v>-494440.36</v>
      </c>
      <c r="BL95" s="787">
        <v>-55910.459999999031</v>
      </c>
      <c r="BM95" s="787">
        <v>-550350.81999999902</v>
      </c>
      <c r="BN95" s="787">
        <v>4556.88</v>
      </c>
      <c r="BO95" s="787">
        <v>0</v>
      </c>
      <c r="BP95" s="787">
        <v>0</v>
      </c>
      <c r="BQ95" s="787">
        <v>4556.88</v>
      </c>
      <c r="BR95" s="787">
        <v>0</v>
      </c>
      <c r="BS95" s="787">
        <v>18350.75</v>
      </c>
      <c r="BT95" s="787">
        <v>0</v>
      </c>
      <c r="BU95" s="787">
        <v>0</v>
      </c>
      <c r="BV95" s="787">
        <v>0</v>
      </c>
      <c r="BW95" s="787">
        <v>0</v>
      </c>
      <c r="BX95" s="787">
        <v>0</v>
      </c>
      <c r="BY95" s="787">
        <v>0</v>
      </c>
      <c r="BZ95" s="787">
        <v>18350.75</v>
      </c>
      <c r="CA95" s="787">
        <v>17941</v>
      </c>
      <c r="CB95" s="787">
        <v>-13793.869999999999</v>
      </c>
      <c r="CC95" s="787">
        <v>4147.130000000001</v>
      </c>
      <c r="CD95" s="787">
        <v>0</v>
      </c>
      <c r="CE95" s="787">
        <v>0</v>
      </c>
      <c r="CF95" s="787">
        <v>0</v>
      </c>
      <c r="CG95" s="787">
        <v>0</v>
      </c>
      <c r="CH95" s="787">
        <v>0</v>
      </c>
      <c r="CI95" s="787">
        <v>0</v>
      </c>
      <c r="CJ95" s="787">
        <v>0</v>
      </c>
      <c r="CK95" s="787">
        <v>0</v>
      </c>
      <c r="CL95" s="787">
        <v>0</v>
      </c>
      <c r="CM95" s="787">
        <v>0</v>
      </c>
      <c r="CN95" s="787">
        <v>-550350.81999999902</v>
      </c>
      <c r="CO95" s="787">
        <v>4147</v>
      </c>
      <c r="CP95" s="787">
        <v>0.13000000000101863</v>
      </c>
      <c r="CQ95" s="787">
        <v>0</v>
      </c>
      <c r="CR95" s="787">
        <v>-546203.68999999901</v>
      </c>
      <c r="CS95" s="787">
        <v>293900.55</v>
      </c>
      <c r="CT95" s="787">
        <v>13994.460000000001</v>
      </c>
      <c r="CU95" s="787">
        <v>0</v>
      </c>
      <c r="CV95" s="787">
        <v>279906.08999999997</v>
      </c>
      <c r="CW95" s="787">
        <v>0</v>
      </c>
      <c r="CX95" s="787">
        <v>3282.07</v>
      </c>
      <c r="CY95" s="787">
        <v>3203.1</v>
      </c>
      <c r="CZ95" s="787">
        <v>0</v>
      </c>
      <c r="DA95" s="787">
        <v>0</v>
      </c>
      <c r="DB95" s="787">
        <v>286391.25999999995</v>
      </c>
      <c r="DC95" s="787">
        <v>0</v>
      </c>
      <c r="DD95" s="787">
        <v>0</v>
      </c>
      <c r="DE95" s="787">
        <v>0</v>
      </c>
      <c r="DF95" s="787">
        <v>0</v>
      </c>
      <c r="DG95" s="787"/>
      <c r="DH95" s="787"/>
      <c r="DI95" s="787"/>
      <c r="DJ95" s="787">
        <v>-783345.67057691596</v>
      </c>
      <c r="DK95" s="787">
        <v>-783345.67057691596</v>
      </c>
      <c r="DL95" s="787">
        <v>0</v>
      </c>
      <c r="DM95" s="787">
        <v>0</v>
      </c>
      <c r="DN95" s="787">
        <v>0</v>
      </c>
      <c r="DO95" s="787">
        <v>0</v>
      </c>
      <c r="DP95" s="787">
        <v>-41080.519999999997</v>
      </c>
      <c r="DQ95" s="787">
        <v>0</v>
      </c>
      <c r="DR95" s="787">
        <v>0</v>
      </c>
      <c r="DS95" s="787">
        <v>0</v>
      </c>
      <c r="DT95" s="787">
        <v>-41080.519999999997</v>
      </c>
      <c r="DU95" s="787">
        <v>0</v>
      </c>
      <c r="DV95" s="787">
        <v>0</v>
      </c>
      <c r="DW95" s="787">
        <v>0</v>
      </c>
      <c r="DX95" s="787">
        <v>0</v>
      </c>
      <c r="DY95" s="787">
        <v>0</v>
      </c>
      <c r="DZ95" s="787">
        <v>-8168.76</v>
      </c>
      <c r="EA95" s="787">
        <v>5.7691696565598249E-4</v>
      </c>
      <c r="EE95">
        <f>_xlfn.XLOOKUP(C95,'[1]Cfwd Analysis'!$C:$C,'[1]Cfwd Analysis'!$I:$I,0,0)</f>
        <v>-550350.81999999902</v>
      </c>
      <c r="EF95" s="788">
        <f t="shared" si="1"/>
        <v>0</v>
      </c>
    </row>
    <row r="96" spans="1:136" ht="15.6" hidden="1">
      <c r="A96" s="782" t="s">
        <v>1389</v>
      </c>
      <c r="B96" s="782" t="s">
        <v>688</v>
      </c>
      <c r="C96" s="783">
        <v>7062</v>
      </c>
      <c r="D96" s="784" t="s">
        <v>689</v>
      </c>
      <c r="E96" s="785" t="s">
        <v>521</v>
      </c>
      <c r="F96" s="786">
        <v>46094</v>
      </c>
      <c r="G96" s="785" t="s">
        <v>5</v>
      </c>
      <c r="H96" s="785" t="s">
        <v>700</v>
      </c>
      <c r="I96" s="787">
        <v>1563938.1586956519</v>
      </c>
      <c r="J96" s="787">
        <v>0</v>
      </c>
      <c r="K96" s="787">
        <v>3743545.5537355398</v>
      </c>
      <c r="L96" s="787">
        <v>0</v>
      </c>
      <c r="M96" s="787">
        <v>126125</v>
      </c>
      <c r="N96" s="787">
        <v>14849</v>
      </c>
      <c r="O96" s="787">
        <v>0</v>
      </c>
      <c r="P96" s="787">
        <v>0</v>
      </c>
      <c r="Q96" s="787">
        <v>562161.89448999998</v>
      </c>
      <c r="R96" s="787">
        <v>1613.23</v>
      </c>
      <c r="S96" s="787">
        <v>0</v>
      </c>
      <c r="T96" s="787">
        <v>0</v>
      </c>
      <c r="U96" s="787">
        <v>7504.1900000000005</v>
      </c>
      <c r="V96" s="787">
        <v>0</v>
      </c>
      <c r="W96" s="787">
        <v>0</v>
      </c>
      <c r="X96" s="787">
        <v>6019737.0269211922</v>
      </c>
      <c r="Y96" s="787">
        <v>1680893.84</v>
      </c>
      <c r="Z96" s="787">
        <v>0</v>
      </c>
      <c r="AA96" s="787">
        <v>1330163.6499999999</v>
      </c>
      <c r="AB96" s="787">
        <v>234057.75</v>
      </c>
      <c r="AC96" s="787">
        <v>247060.08</v>
      </c>
      <c r="AD96" s="787">
        <v>18366.560000000001</v>
      </c>
      <c r="AE96" s="787">
        <v>294852.13</v>
      </c>
      <c r="AF96" s="787">
        <v>22175</v>
      </c>
      <c r="AG96" s="787">
        <v>26415</v>
      </c>
      <c r="AH96" s="787">
        <v>0</v>
      </c>
      <c r="AI96" s="787">
        <v>0</v>
      </c>
      <c r="AJ96" s="787">
        <v>121129</v>
      </c>
      <c r="AK96" s="787">
        <v>42717</v>
      </c>
      <c r="AL96" s="787">
        <v>69167.95</v>
      </c>
      <c r="AM96" s="787">
        <v>10919.65</v>
      </c>
      <c r="AN96" s="787">
        <v>95805.239999999991</v>
      </c>
      <c r="AO96" s="787">
        <v>0</v>
      </c>
      <c r="AP96" s="787">
        <v>60889.130000000005</v>
      </c>
      <c r="AQ96" s="787">
        <v>144547</v>
      </c>
      <c r="AR96" s="787">
        <v>15913</v>
      </c>
      <c r="AS96" s="787">
        <v>0</v>
      </c>
      <c r="AT96" s="787">
        <v>8737</v>
      </c>
      <c r="AU96" s="787">
        <v>13391</v>
      </c>
      <c r="AV96" s="787">
        <v>32689</v>
      </c>
      <c r="AW96" s="787">
        <v>23989.51</v>
      </c>
      <c r="AX96" s="787">
        <v>1585</v>
      </c>
      <c r="AY96" s="787">
        <v>11833.65</v>
      </c>
      <c r="AZ96" s="787">
        <v>11124.76</v>
      </c>
      <c r="BA96" s="787">
        <v>3291.75</v>
      </c>
      <c r="BB96" s="787">
        <v>116498.49</v>
      </c>
      <c r="BC96" s="787">
        <v>67149.13</v>
      </c>
      <c r="BD96" s="787">
        <v>55784.5</v>
      </c>
      <c r="BE96" s="787">
        <v>734095.21</v>
      </c>
      <c r="BF96" s="787">
        <v>55350.15</v>
      </c>
      <c r="BG96" s="787">
        <v>0</v>
      </c>
      <c r="BH96" s="787">
        <v>0</v>
      </c>
      <c r="BI96" s="787">
        <v>0</v>
      </c>
      <c r="BJ96" s="787">
        <v>5550591.1300000008</v>
      </c>
      <c r="BK96" s="787">
        <v>805759.3399999988</v>
      </c>
      <c r="BL96" s="787">
        <v>469145.89692119136</v>
      </c>
      <c r="BM96" s="787">
        <v>1274905.2369211903</v>
      </c>
      <c r="BN96" s="787">
        <v>10935.63</v>
      </c>
      <c r="BO96" s="787">
        <v>0</v>
      </c>
      <c r="BP96" s="787">
        <v>0</v>
      </c>
      <c r="BQ96" s="787">
        <v>10935.63</v>
      </c>
      <c r="BR96" s="787">
        <v>0</v>
      </c>
      <c r="BS96" s="787">
        <v>0</v>
      </c>
      <c r="BT96" s="787">
        <v>8880</v>
      </c>
      <c r="BU96" s="787">
        <v>0</v>
      </c>
      <c r="BV96" s="787">
        <v>0</v>
      </c>
      <c r="BW96" s="787">
        <v>0</v>
      </c>
      <c r="BX96" s="787">
        <v>0</v>
      </c>
      <c r="BY96" s="787">
        <v>0</v>
      </c>
      <c r="BZ96" s="787">
        <v>8880</v>
      </c>
      <c r="CA96" s="787">
        <v>53477.34</v>
      </c>
      <c r="CB96" s="787">
        <v>2055.6299999999992</v>
      </c>
      <c r="CC96" s="787">
        <v>55532.969999999994</v>
      </c>
      <c r="CD96" s="787">
        <v>0</v>
      </c>
      <c r="CE96" s="787">
        <v>0</v>
      </c>
      <c r="CF96" s="787">
        <v>0</v>
      </c>
      <c r="CG96" s="787">
        <v>0</v>
      </c>
      <c r="CH96" s="787">
        <v>0</v>
      </c>
      <c r="CI96" s="787">
        <v>0</v>
      </c>
      <c r="CJ96" s="787">
        <v>0</v>
      </c>
      <c r="CK96" s="787">
        <v>0</v>
      </c>
      <c r="CL96" s="787">
        <v>0</v>
      </c>
      <c r="CM96" s="787">
        <v>1274905.2369211903</v>
      </c>
      <c r="CN96" s="787">
        <v>0</v>
      </c>
      <c r="CO96" s="787">
        <v>55532.969999999994</v>
      </c>
      <c r="CP96" s="787">
        <v>0</v>
      </c>
      <c r="CQ96" s="787">
        <v>0</v>
      </c>
      <c r="CR96" s="787">
        <v>1330438.2069211903</v>
      </c>
      <c r="CS96" s="787">
        <v>1809000.85</v>
      </c>
      <c r="CT96" s="787">
        <v>0</v>
      </c>
      <c r="CU96" s="787">
        <v>0</v>
      </c>
      <c r="CV96" s="787">
        <v>1809000.85</v>
      </c>
      <c r="CW96" s="787">
        <v>0</v>
      </c>
      <c r="CX96" s="787">
        <v>29547.79</v>
      </c>
      <c r="CY96" s="787">
        <v>24532.86</v>
      </c>
      <c r="CZ96" s="787">
        <v>0</v>
      </c>
      <c r="DA96" s="787">
        <v>0</v>
      </c>
      <c r="DB96" s="787">
        <v>1863081.5000000002</v>
      </c>
      <c r="DC96" s="787">
        <v>0</v>
      </c>
      <c r="DD96" s="787">
        <v>0</v>
      </c>
      <c r="DE96" s="787">
        <v>0</v>
      </c>
      <c r="DF96" s="787">
        <v>0</v>
      </c>
      <c r="DG96" s="787"/>
      <c r="DH96" s="787"/>
      <c r="DI96" s="787"/>
      <c r="DJ96" s="787">
        <v>0</v>
      </c>
      <c r="DK96" s="787">
        <v>0</v>
      </c>
      <c r="DL96" s="787">
        <v>8040.06</v>
      </c>
      <c r="DM96" s="787">
        <v>0</v>
      </c>
      <c r="DN96" s="787">
        <v>4445.3500000000004</v>
      </c>
      <c r="DO96" s="787">
        <v>0</v>
      </c>
      <c r="DP96" s="787">
        <v>-120433.93</v>
      </c>
      <c r="DQ96" s="787">
        <v>-31650.13</v>
      </c>
      <c r="DR96" s="787">
        <v>0</v>
      </c>
      <c r="DS96" s="787">
        <v>0</v>
      </c>
      <c r="DT96" s="787">
        <v>-139598.65</v>
      </c>
      <c r="DU96" s="787">
        <v>0</v>
      </c>
      <c r="DV96" s="787">
        <v>0</v>
      </c>
      <c r="DW96" s="787">
        <v>0</v>
      </c>
      <c r="DX96" s="787">
        <v>0</v>
      </c>
      <c r="DY96" s="787">
        <v>0</v>
      </c>
      <c r="DZ96" s="787">
        <v>-393044.57</v>
      </c>
      <c r="EA96" s="787">
        <v>-7.3078810004517436E-2</v>
      </c>
      <c r="EC96" s="788">
        <v>55532.969999999994</v>
      </c>
      <c r="EE96">
        <f>_xlfn.XLOOKUP(C96,'[1]Cfwd Analysis'!$C:$C,'[1]Cfwd Analysis'!$I:$I,0,0)</f>
        <v>1274905.2369211903</v>
      </c>
      <c r="EF96" s="788">
        <f t="shared" si="1"/>
        <v>0</v>
      </c>
    </row>
    <row r="97" spans="1:136" ht="15.6" hidden="1">
      <c r="A97" s="782" t="s">
        <v>1390</v>
      </c>
      <c r="B97" s="782" t="s">
        <v>690</v>
      </c>
      <c r="C97" s="783">
        <v>2462</v>
      </c>
      <c r="D97" s="784" t="s">
        <v>691</v>
      </c>
      <c r="E97" s="785" t="s">
        <v>521</v>
      </c>
      <c r="F97" s="786">
        <v>46094</v>
      </c>
      <c r="G97" s="785" t="s">
        <v>5</v>
      </c>
      <c r="H97" s="785" t="s">
        <v>702</v>
      </c>
      <c r="I97" s="787">
        <v>2204716.4199999995</v>
      </c>
      <c r="J97" s="787">
        <v>0</v>
      </c>
      <c r="K97" s="787">
        <v>60872.800000000003</v>
      </c>
      <c r="L97" s="787">
        <v>0</v>
      </c>
      <c r="M97" s="787">
        <v>49445</v>
      </c>
      <c r="N97" s="787">
        <v>886863</v>
      </c>
      <c r="O97" s="787">
        <v>250</v>
      </c>
      <c r="P97" s="787">
        <v>29332.5</v>
      </c>
      <c r="Q97" s="787">
        <v>264721.58</v>
      </c>
      <c r="R97" s="787">
        <v>63475.11</v>
      </c>
      <c r="S97" s="787">
        <v>0</v>
      </c>
      <c r="T97" s="787">
        <v>0</v>
      </c>
      <c r="U97" s="787">
        <v>65491.39</v>
      </c>
      <c r="V97" s="787">
        <v>17704.97</v>
      </c>
      <c r="W97" s="787">
        <v>0</v>
      </c>
      <c r="X97" s="787">
        <v>3642872.7699999996</v>
      </c>
      <c r="Y97" s="787">
        <v>1297668.93</v>
      </c>
      <c r="Z97" s="787">
        <v>0</v>
      </c>
      <c r="AA97" s="787">
        <v>355105.81</v>
      </c>
      <c r="AB97" s="787">
        <v>24648.47</v>
      </c>
      <c r="AC97" s="787">
        <v>172117.83</v>
      </c>
      <c r="AD97" s="787">
        <v>0</v>
      </c>
      <c r="AE97" s="787">
        <v>147386.33000000002</v>
      </c>
      <c r="AF97" s="787">
        <v>2388.21</v>
      </c>
      <c r="AG97" s="787">
        <v>1018.5</v>
      </c>
      <c r="AH97" s="787">
        <v>0</v>
      </c>
      <c r="AI97" s="787">
        <v>0</v>
      </c>
      <c r="AJ97" s="787">
        <v>14158.15</v>
      </c>
      <c r="AK97" s="787">
        <v>4804.97</v>
      </c>
      <c r="AL97" s="787">
        <v>55000.9</v>
      </c>
      <c r="AM97" s="787">
        <v>10583.29</v>
      </c>
      <c r="AN97" s="787">
        <v>47970.61</v>
      </c>
      <c r="AO97" s="787">
        <v>58214.420000000006</v>
      </c>
      <c r="AP97" s="787">
        <v>7134.7699999999995</v>
      </c>
      <c r="AQ97" s="787">
        <v>104358</v>
      </c>
      <c r="AR97" s="787">
        <v>0</v>
      </c>
      <c r="AS97" s="787">
        <v>0</v>
      </c>
      <c r="AT97" s="787">
        <v>5070.82</v>
      </c>
      <c r="AU97" s="787">
        <v>39580.01</v>
      </c>
      <c r="AV97" s="787">
        <v>6.13</v>
      </c>
      <c r="AW97" s="787">
        <v>0</v>
      </c>
      <c r="AX97" s="787">
        <v>0</v>
      </c>
      <c r="AY97" s="787">
        <v>0</v>
      </c>
      <c r="AZ97" s="787">
        <v>51101.08</v>
      </c>
      <c r="BA97" s="787">
        <v>11394</v>
      </c>
      <c r="BB97" s="787">
        <v>3103.5</v>
      </c>
      <c r="BC97" s="787">
        <v>194908.3</v>
      </c>
      <c r="BD97" s="787">
        <v>14255</v>
      </c>
      <c r="BE97" s="787">
        <v>288387.01</v>
      </c>
      <c r="BF97" s="787">
        <v>336740.83</v>
      </c>
      <c r="BG97" s="787">
        <v>0</v>
      </c>
      <c r="BH97" s="787">
        <v>0</v>
      </c>
      <c r="BI97" s="787">
        <v>0</v>
      </c>
      <c r="BJ97" s="787">
        <v>3247105.8699999992</v>
      </c>
      <c r="BK97" s="787">
        <v>624319.06999999913</v>
      </c>
      <c r="BL97" s="787">
        <v>395766.90000000037</v>
      </c>
      <c r="BM97" s="787">
        <v>1020085.9699999995</v>
      </c>
      <c r="BN97" s="787">
        <v>8770</v>
      </c>
      <c r="BO97" s="787">
        <v>0</v>
      </c>
      <c r="BP97" s="787">
        <v>0</v>
      </c>
      <c r="BQ97" s="787">
        <v>8770</v>
      </c>
      <c r="BR97" s="787">
        <v>0</v>
      </c>
      <c r="BS97" s="787">
        <v>0</v>
      </c>
      <c r="BT97" s="787">
        <v>13161</v>
      </c>
      <c r="BU97" s="787">
        <v>0</v>
      </c>
      <c r="BV97" s="787">
        <v>0</v>
      </c>
      <c r="BW97" s="787">
        <v>0</v>
      </c>
      <c r="BX97" s="787">
        <v>0</v>
      </c>
      <c r="BY97" s="787">
        <v>0</v>
      </c>
      <c r="BZ97" s="787">
        <v>13161</v>
      </c>
      <c r="CA97" s="787">
        <v>4390.83</v>
      </c>
      <c r="CB97" s="787">
        <v>-4391</v>
      </c>
      <c r="CC97" s="787">
        <v>-0.17000000000007276</v>
      </c>
      <c r="CD97" s="787">
        <v>0</v>
      </c>
      <c r="CE97" s="787">
        <v>0</v>
      </c>
      <c r="CF97" s="787">
        <v>0</v>
      </c>
      <c r="CG97" s="787">
        <v>0</v>
      </c>
      <c r="CH97" s="787">
        <v>0</v>
      </c>
      <c r="CI97" s="787">
        <v>0</v>
      </c>
      <c r="CJ97" s="787">
        <v>0</v>
      </c>
      <c r="CK97" s="787">
        <v>0</v>
      </c>
      <c r="CL97" s="787">
        <v>0</v>
      </c>
      <c r="CM97" s="787">
        <v>1020085.9699999995</v>
      </c>
      <c r="CN97" s="787">
        <v>0</v>
      </c>
      <c r="CO97" s="787">
        <v>0.3</v>
      </c>
      <c r="CP97" s="787">
        <v>-0.47000000000007275</v>
      </c>
      <c r="CQ97" s="787">
        <v>0</v>
      </c>
      <c r="CR97" s="787">
        <v>1020085.7999999996</v>
      </c>
      <c r="CS97" s="787">
        <v>1294308.44</v>
      </c>
      <c r="CT97" s="787">
        <v>14477.06</v>
      </c>
      <c r="CU97" s="787">
        <v>0</v>
      </c>
      <c r="CV97" s="787">
        <v>1279831.3799999999</v>
      </c>
      <c r="CW97" s="787">
        <v>0</v>
      </c>
      <c r="CX97" s="787">
        <v>5006.24</v>
      </c>
      <c r="CY97" s="787">
        <v>2506.0500000000002</v>
      </c>
      <c r="CZ97" s="787">
        <v>0</v>
      </c>
      <c r="DA97" s="787">
        <v>0</v>
      </c>
      <c r="DB97" s="787">
        <v>1287343.67</v>
      </c>
      <c r="DC97" s="787">
        <v>1430.21</v>
      </c>
      <c r="DD97" s="787">
        <v>0</v>
      </c>
      <c r="DE97" s="787">
        <v>0</v>
      </c>
      <c r="DF97" s="787">
        <v>1430.21</v>
      </c>
      <c r="DG97" s="787"/>
      <c r="DH97" s="787"/>
      <c r="DI97" s="787"/>
      <c r="DJ97" s="787">
        <v>0</v>
      </c>
      <c r="DK97" s="787">
        <v>1430.21</v>
      </c>
      <c r="DL97" s="787">
        <v>5248.8</v>
      </c>
      <c r="DM97" s="787">
        <v>0</v>
      </c>
      <c r="DN97" s="787">
        <v>6305.14</v>
      </c>
      <c r="DO97" s="787">
        <v>0</v>
      </c>
      <c r="DP97" s="787">
        <v>-28365.72</v>
      </c>
      <c r="DQ97" s="787">
        <v>-48013.99</v>
      </c>
      <c r="DR97" s="787">
        <v>-15196.96</v>
      </c>
      <c r="DS97" s="787">
        <v>0</v>
      </c>
      <c r="DT97" s="787">
        <v>-80022.73</v>
      </c>
      <c r="DU97" s="787">
        <v>1880.74</v>
      </c>
      <c r="DV97" s="787">
        <v>13458.82</v>
      </c>
      <c r="DW97" s="787">
        <v>-2292.2199999999998</v>
      </c>
      <c r="DX97" s="787">
        <v>0</v>
      </c>
      <c r="DY97" s="787">
        <v>0</v>
      </c>
      <c r="DZ97" s="787">
        <v>-201712.41</v>
      </c>
      <c r="EA97" s="787">
        <v>-0.28000000037718564</v>
      </c>
      <c r="EE97">
        <f>_xlfn.XLOOKUP(C97,'[1]Cfwd Analysis'!$C:$C,'[1]Cfwd Analysis'!$I:$I,0,0)</f>
        <v>1020085.9699999995</v>
      </c>
      <c r="EF97" s="788">
        <f t="shared" si="1"/>
        <v>0</v>
      </c>
    </row>
    <row r="98" spans="1:136" ht="15.6" hidden="1">
      <c r="A98" s="782" t="s">
        <v>1391</v>
      </c>
      <c r="B98" s="782" t="s">
        <v>692</v>
      </c>
      <c r="C98" s="783">
        <v>7012</v>
      </c>
      <c r="D98" s="784" t="s">
        <v>693</v>
      </c>
      <c r="E98" s="785" t="s">
        <v>521</v>
      </c>
      <c r="F98" s="786" t="s">
        <v>1310</v>
      </c>
      <c r="G98" s="785" t="s">
        <v>5</v>
      </c>
      <c r="H98" s="785" t="s">
        <v>704</v>
      </c>
      <c r="I98" s="787">
        <v>716036.79760869569</v>
      </c>
      <c r="J98" s="787">
        <v>0</v>
      </c>
      <c r="K98" s="787">
        <v>842916.07459745416</v>
      </c>
      <c r="L98" s="787">
        <v>0</v>
      </c>
      <c r="M98" s="787">
        <v>51510</v>
      </c>
      <c r="N98" s="787">
        <v>18532</v>
      </c>
      <c r="O98" s="787">
        <v>0</v>
      </c>
      <c r="P98" s="787">
        <v>0</v>
      </c>
      <c r="Q98" s="787">
        <v>202234.49</v>
      </c>
      <c r="R98" s="787">
        <v>0</v>
      </c>
      <c r="S98" s="787">
        <v>0</v>
      </c>
      <c r="T98" s="787">
        <v>0</v>
      </c>
      <c r="U98" s="787">
        <v>0</v>
      </c>
      <c r="V98" s="787">
        <v>0</v>
      </c>
      <c r="W98" s="787">
        <v>0</v>
      </c>
      <c r="X98" s="787">
        <v>1831229.3622061498</v>
      </c>
      <c r="Y98" s="787">
        <v>696182.52</v>
      </c>
      <c r="Z98" s="787">
        <v>0</v>
      </c>
      <c r="AA98" s="787">
        <v>657531.99</v>
      </c>
      <c r="AB98" s="787">
        <v>0</v>
      </c>
      <c r="AC98" s="787">
        <v>299955.07</v>
      </c>
      <c r="AD98" s="787">
        <v>0</v>
      </c>
      <c r="AE98" s="787">
        <v>16737.259999999998</v>
      </c>
      <c r="AF98" s="787">
        <v>1261.02</v>
      </c>
      <c r="AG98" s="787">
        <v>21454.05</v>
      </c>
      <c r="AH98" s="787">
        <v>0</v>
      </c>
      <c r="AI98" s="787">
        <v>0</v>
      </c>
      <c r="AJ98" s="787">
        <v>35816.97</v>
      </c>
      <c r="AK98" s="787">
        <v>2762.48</v>
      </c>
      <c r="AL98" s="787">
        <v>302.76</v>
      </c>
      <c r="AM98" s="787">
        <v>5281.68</v>
      </c>
      <c r="AN98" s="787">
        <v>34761.19</v>
      </c>
      <c r="AO98" s="787">
        <v>0</v>
      </c>
      <c r="AP98" s="787">
        <v>76211.59</v>
      </c>
      <c r="AQ98" s="787">
        <v>29044.06</v>
      </c>
      <c r="AR98" s="787">
        <v>0</v>
      </c>
      <c r="AS98" s="787">
        <v>0</v>
      </c>
      <c r="AT98" s="787">
        <v>66803.570000000007</v>
      </c>
      <c r="AU98" s="787">
        <v>0</v>
      </c>
      <c r="AV98" s="787">
        <v>0</v>
      </c>
      <c r="AW98" s="787">
        <v>3861</v>
      </c>
      <c r="AX98" s="787">
        <v>0</v>
      </c>
      <c r="AY98" s="787">
        <v>515</v>
      </c>
      <c r="AZ98" s="787">
        <v>221324.12</v>
      </c>
      <c r="BA98" s="787">
        <v>3487.75</v>
      </c>
      <c r="BB98" s="787">
        <v>0</v>
      </c>
      <c r="BC98" s="787">
        <v>54954.990000000005</v>
      </c>
      <c r="BD98" s="787">
        <v>70465</v>
      </c>
      <c r="BE98" s="787">
        <v>21414.57</v>
      </c>
      <c r="BF98" s="787">
        <v>42521.34</v>
      </c>
      <c r="BG98" s="787">
        <v>0</v>
      </c>
      <c r="BH98" s="787">
        <v>0</v>
      </c>
      <c r="BI98" s="787">
        <v>0</v>
      </c>
      <c r="BJ98" s="787">
        <v>2362649.98</v>
      </c>
      <c r="BK98" s="787">
        <v>-131472.62000000011</v>
      </c>
      <c r="BL98" s="787">
        <v>-531420.61779385014</v>
      </c>
      <c r="BM98" s="787">
        <v>-662893.23779385025</v>
      </c>
      <c r="BN98" s="787">
        <v>7098.25</v>
      </c>
      <c r="BO98" s="787">
        <v>0</v>
      </c>
      <c r="BP98" s="787">
        <v>0</v>
      </c>
      <c r="BQ98" s="787">
        <v>7098.25</v>
      </c>
      <c r="BR98" s="787">
        <v>0</v>
      </c>
      <c r="BS98" s="787">
        <v>0</v>
      </c>
      <c r="BT98" s="787">
        <v>0</v>
      </c>
      <c r="BU98" s="787">
        <v>0</v>
      </c>
      <c r="BV98" s="787">
        <v>0</v>
      </c>
      <c r="BW98" s="787">
        <v>0</v>
      </c>
      <c r="BX98" s="787">
        <v>0</v>
      </c>
      <c r="BY98" s="787">
        <v>0</v>
      </c>
      <c r="BZ98" s="787">
        <v>0</v>
      </c>
      <c r="CA98" s="787">
        <v>38628</v>
      </c>
      <c r="CB98" s="787">
        <v>7098.25</v>
      </c>
      <c r="CC98" s="787">
        <v>45726.25</v>
      </c>
      <c r="CD98" s="787">
        <v>0</v>
      </c>
      <c r="CE98" s="787">
        <v>0</v>
      </c>
      <c r="CF98" s="787">
        <v>0</v>
      </c>
      <c r="CG98" s="787">
        <v>0</v>
      </c>
      <c r="CH98" s="787">
        <v>0</v>
      </c>
      <c r="CI98" s="787">
        <v>0</v>
      </c>
      <c r="CJ98" s="787">
        <v>0</v>
      </c>
      <c r="CK98" s="787">
        <v>0</v>
      </c>
      <c r="CL98" s="787">
        <v>0</v>
      </c>
      <c r="CM98" s="787">
        <v>0</v>
      </c>
      <c r="CN98" s="787">
        <v>-662893.23779385025</v>
      </c>
      <c r="CO98" s="787">
        <v>45726</v>
      </c>
      <c r="CP98" s="787">
        <v>0.25</v>
      </c>
      <c r="CQ98" s="787">
        <v>0</v>
      </c>
      <c r="CR98" s="787">
        <v>-617166.98779385025</v>
      </c>
      <c r="CS98" s="787">
        <v>-437635.79</v>
      </c>
      <c r="CT98" s="787">
        <v>1772</v>
      </c>
      <c r="CU98" s="787">
        <v>0</v>
      </c>
      <c r="CV98" s="787">
        <v>-439407.79</v>
      </c>
      <c r="CW98" s="787">
        <v>0</v>
      </c>
      <c r="CX98" s="787">
        <v>12880.32</v>
      </c>
      <c r="CY98" s="787">
        <v>993.55</v>
      </c>
      <c r="CZ98" s="787">
        <v>0</v>
      </c>
      <c r="DA98" s="787">
        <v>0</v>
      </c>
      <c r="DB98" s="787">
        <v>-425533.92</v>
      </c>
      <c r="DC98" s="787">
        <v>0</v>
      </c>
      <c r="DD98" s="787">
        <v>0</v>
      </c>
      <c r="DE98" s="787">
        <v>0</v>
      </c>
      <c r="DF98" s="787">
        <v>0</v>
      </c>
      <c r="DG98" s="787"/>
      <c r="DH98" s="787"/>
      <c r="DI98" s="787"/>
      <c r="DJ98" s="787">
        <v>0</v>
      </c>
      <c r="DK98" s="787">
        <v>0</v>
      </c>
      <c r="DL98" s="787">
        <v>0</v>
      </c>
      <c r="DM98" s="787">
        <v>0</v>
      </c>
      <c r="DN98" s="787">
        <v>0</v>
      </c>
      <c r="DO98" s="787">
        <v>0</v>
      </c>
      <c r="DP98" s="787">
        <v>-3650</v>
      </c>
      <c r="DQ98" s="787">
        <v>-15698.26</v>
      </c>
      <c r="DR98" s="787">
        <v>0</v>
      </c>
      <c r="DS98" s="787">
        <v>0</v>
      </c>
      <c r="DT98" s="787">
        <v>-19348.260000000002</v>
      </c>
      <c r="DU98" s="787">
        <v>0</v>
      </c>
      <c r="DV98" s="787">
        <v>0</v>
      </c>
      <c r="DW98" s="787">
        <v>0</v>
      </c>
      <c r="DX98" s="787">
        <v>0</v>
      </c>
      <c r="DY98" s="787">
        <v>0</v>
      </c>
      <c r="DZ98" s="787">
        <v>-172284.49</v>
      </c>
      <c r="EA98" s="787">
        <v>-0.31779385032132268</v>
      </c>
      <c r="EE98">
        <f>_xlfn.XLOOKUP(C98,'[1]Cfwd Analysis'!$C:$C,'[1]Cfwd Analysis'!$I:$I,0,0)</f>
        <v>-662893.23779385025</v>
      </c>
      <c r="EF98" s="788">
        <f t="shared" si="1"/>
        <v>0</v>
      </c>
    </row>
    <row r="99" spans="1:136" ht="15.6" hidden="1">
      <c r="A99" s="782" t="s">
        <v>1392</v>
      </c>
      <c r="B99" s="782" t="s">
        <v>694</v>
      </c>
      <c r="C99" s="783">
        <v>2127</v>
      </c>
      <c r="D99" s="784" t="s">
        <v>695</v>
      </c>
      <c r="E99" s="785" t="s">
        <v>521</v>
      </c>
      <c r="F99" s="786">
        <v>46091</v>
      </c>
      <c r="G99" s="785" t="s">
        <v>5</v>
      </c>
      <c r="H99" s="785" t="s">
        <v>708</v>
      </c>
      <c r="I99" s="787">
        <v>2889375.915215339</v>
      </c>
      <c r="J99" s="787">
        <v>0</v>
      </c>
      <c r="K99" s="787">
        <v>274963.11213296402</v>
      </c>
      <c r="L99" s="787">
        <v>0</v>
      </c>
      <c r="M99" s="787">
        <v>406735</v>
      </c>
      <c r="N99" s="787">
        <v>82239.820000000007</v>
      </c>
      <c r="O99" s="787">
        <v>0</v>
      </c>
      <c r="P99" s="787">
        <v>0</v>
      </c>
      <c r="Q99" s="787">
        <v>14397.37</v>
      </c>
      <c r="R99" s="787">
        <v>0</v>
      </c>
      <c r="S99" s="787">
        <v>0</v>
      </c>
      <c r="T99" s="787">
        <v>0</v>
      </c>
      <c r="U99" s="787">
        <v>4769.6499999999996</v>
      </c>
      <c r="V99" s="787">
        <v>111173.75</v>
      </c>
      <c r="W99" s="787">
        <v>0</v>
      </c>
      <c r="X99" s="787">
        <v>3783654.6173483031</v>
      </c>
      <c r="Y99" s="787">
        <v>1536395.57</v>
      </c>
      <c r="Z99" s="787">
        <v>0</v>
      </c>
      <c r="AA99" s="787">
        <v>489986.1</v>
      </c>
      <c r="AB99" s="787">
        <v>0</v>
      </c>
      <c r="AC99" s="787">
        <v>206621.88</v>
      </c>
      <c r="AD99" s="787">
        <v>0</v>
      </c>
      <c r="AE99" s="787">
        <v>93920.25</v>
      </c>
      <c r="AF99" s="787">
        <v>3524.42</v>
      </c>
      <c r="AG99" s="787">
        <v>6083.08</v>
      </c>
      <c r="AH99" s="787">
        <v>0</v>
      </c>
      <c r="AI99" s="787">
        <v>11748.6</v>
      </c>
      <c r="AJ99" s="787">
        <v>405</v>
      </c>
      <c r="AK99" s="787">
        <v>0</v>
      </c>
      <c r="AL99" s="787">
        <v>0</v>
      </c>
      <c r="AM99" s="787">
        <v>30857.96</v>
      </c>
      <c r="AN99" s="787">
        <v>101688.91</v>
      </c>
      <c r="AO99" s="787">
        <v>62170.739999999983</v>
      </c>
      <c r="AP99" s="787">
        <v>6566.86</v>
      </c>
      <c r="AQ99" s="787">
        <v>23860.94</v>
      </c>
      <c r="AR99" s="787">
        <v>0</v>
      </c>
      <c r="AS99" s="787">
        <v>0</v>
      </c>
      <c r="AT99" s="787">
        <v>30951.040000000001</v>
      </c>
      <c r="AU99" s="787">
        <v>0</v>
      </c>
      <c r="AV99" s="787">
        <v>468.49</v>
      </c>
      <c r="AW99" s="787">
        <v>215.82</v>
      </c>
      <c r="AX99" s="787">
        <v>0</v>
      </c>
      <c r="AY99" s="787">
        <v>0</v>
      </c>
      <c r="AZ99" s="787">
        <v>33598.81</v>
      </c>
      <c r="BA99" s="787">
        <v>0</v>
      </c>
      <c r="BB99" s="787">
        <v>2575</v>
      </c>
      <c r="BC99" s="787">
        <v>198546.91</v>
      </c>
      <c r="BD99" s="787">
        <v>271482.49</v>
      </c>
      <c r="BE99" s="787">
        <v>10953.599999999997</v>
      </c>
      <c r="BF99" s="787">
        <v>375468.51</v>
      </c>
      <c r="BG99" s="787">
        <v>0</v>
      </c>
      <c r="BH99" s="787">
        <v>0</v>
      </c>
      <c r="BI99" s="787">
        <v>0</v>
      </c>
      <c r="BJ99" s="787">
        <v>3498090.9800000004</v>
      </c>
      <c r="BK99" s="787">
        <v>314028.36000000092</v>
      </c>
      <c r="BL99" s="787">
        <v>285563.63734830264</v>
      </c>
      <c r="BM99" s="787">
        <v>599591.99734830356</v>
      </c>
      <c r="BN99" s="787">
        <v>9059.1299999999992</v>
      </c>
      <c r="BO99" s="787">
        <v>0</v>
      </c>
      <c r="BP99" s="787">
        <v>0</v>
      </c>
      <c r="BQ99" s="787">
        <v>9059.1299999999992</v>
      </c>
      <c r="BR99" s="787">
        <v>0</v>
      </c>
      <c r="BS99" s="787">
        <v>0</v>
      </c>
      <c r="BT99" s="787">
        <v>0</v>
      </c>
      <c r="BU99" s="787">
        <v>0</v>
      </c>
      <c r="BV99" s="787">
        <v>0</v>
      </c>
      <c r="BW99" s="787">
        <v>0</v>
      </c>
      <c r="BX99" s="787">
        <v>0</v>
      </c>
      <c r="BY99" s="787">
        <v>0</v>
      </c>
      <c r="BZ99" s="787">
        <v>0</v>
      </c>
      <c r="CA99" s="787">
        <v>45956.78</v>
      </c>
      <c r="CB99" s="787">
        <v>9059.1299999999992</v>
      </c>
      <c r="CC99" s="787">
        <v>55015.909999999996</v>
      </c>
      <c r="CD99" s="787">
        <v>0</v>
      </c>
      <c r="CE99" s="787">
        <v>0</v>
      </c>
      <c r="CF99" s="787">
        <v>0</v>
      </c>
      <c r="CG99" s="787">
        <v>0</v>
      </c>
      <c r="CH99" s="787">
        <v>0</v>
      </c>
      <c r="CI99" s="787">
        <v>0</v>
      </c>
      <c r="CJ99" s="787">
        <v>0</v>
      </c>
      <c r="CK99" s="787">
        <v>0</v>
      </c>
      <c r="CL99" s="787">
        <v>0</v>
      </c>
      <c r="CM99" s="787">
        <v>599591.99734830356</v>
      </c>
      <c r="CN99" s="787">
        <v>0</v>
      </c>
      <c r="CO99" s="787">
        <v>55015.909999999996</v>
      </c>
      <c r="CP99" s="787">
        <v>0</v>
      </c>
      <c r="CQ99" s="787">
        <v>0</v>
      </c>
      <c r="CR99" s="787">
        <v>654607.90734830359</v>
      </c>
      <c r="CS99" s="787">
        <v>1064240.3700000001</v>
      </c>
      <c r="CT99" s="787">
        <v>115855.5</v>
      </c>
      <c r="CU99" s="787">
        <v>0</v>
      </c>
      <c r="CV99" s="787">
        <v>948384.87000000011</v>
      </c>
      <c r="CW99" s="787">
        <v>0</v>
      </c>
      <c r="CX99" s="787">
        <v>2683.51</v>
      </c>
      <c r="CY99" s="787">
        <v>12437.25</v>
      </c>
      <c r="CZ99" s="787">
        <v>0</v>
      </c>
      <c r="DA99" s="787">
        <v>0</v>
      </c>
      <c r="DB99" s="787">
        <v>963505.63000000012</v>
      </c>
      <c r="DC99" s="787">
        <v>1222.72</v>
      </c>
      <c r="DD99" s="787">
        <v>0</v>
      </c>
      <c r="DE99" s="787">
        <v>0</v>
      </c>
      <c r="DF99" s="787">
        <v>1222.72</v>
      </c>
      <c r="DG99" s="787"/>
      <c r="DH99" s="787"/>
      <c r="DI99" s="787"/>
      <c r="DJ99" s="787">
        <v>0</v>
      </c>
      <c r="DK99" s="787">
        <v>1222.72</v>
      </c>
      <c r="DL99" s="787">
        <v>0</v>
      </c>
      <c r="DM99" s="787">
        <v>0</v>
      </c>
      <c r="DN99" s="787">
        <v>0</v>
      </c>
      <c r="DO99" s="787">
        <v>0</v>
      </c>
      <c r="DP99" s="787">
        <v>-68743</v>
      </c>
      <c r="DQ99" s="787">
        <v>0</v>
      </c>
      <c r="DR99" s="787">
        <v>0</v>
      </c>
      <c r="DS99" s="787">
        <v>0</v>
      </c>
      <c r="DT99" s="787">
        <v>-68743</v>
      </c>
      <c r="DU99" s="787">
        <v>0</v>
      </c>
      <c r="DV99" s="787">
        <v>0</v>
      </c>
      <c r="DW99" s="787">
        <v>0</v>
      </c>
      <c r="DX99" s="787">
        <v>0</v>
      </c>
      <c r="DY99" s="787">
        <v>0</v>
      </c>
      <c r="DZ99" s="787">
        <v>-241377.37</v>
      </c>
      <c r="EA99" s="787">
        <v>-7.2651696507818997E-2</v>
      </c>
      <c r="EC99" s="788">
        <v>55015.909999999996</v>
      </c>
      <c r="EE99">
        <f>_xlfn.XLOOKUP(C99,'[1]Cfwd Analysis'!$C:$C,'[1]Cfwd Analysis'!$I:$I,0,0)</f>
        <v>599591.99734830356</v>
      </c>
      <c r="EF99" s="788">
        <f t="shared" si="1"/>
        <v>0</v>
      </c>
    </row>
    <row r="100" spans="1:136" ht="15.6" hidden="1">
      <c r="A100" s="782" t="s">
        <v>1393</v>
      </c>
      <c r="B100" s="782" t="s">
        <v>696</v>
      </c>
      <c r="C100" s="783">
        <v>2129</v>
      </c>
      <c r="D100" s="784" t="s">
        <v>697</v>
      </c>
      <c r="E100" s="785" t="s">
        <v>521</v>
      </c>
      <c r="F100" s="786">
        <v>46094</v>
      </c>
      <c r="G100" s="785" t="s">
        <v>5</v>
      </c>
      <c r="H100" s="785" t="s">
        <v>710</v>
      </c>
      <c r="I100" s="787">
        <v>1563132.8585769134</v>
      </c>
      <c r="J100" s="787">
        <v>0</v>
      </c>
      <c r="K100" s="787">
        <v>216098.36</v>
      </c>
      <c r="L100" s="787">
        <v>0</v>
      </c>
      <c r="M100" s="787">
        <v>112060</v>
      </c>
      <c r="N100" s="787">
        <v>105749.86</v>
      </c>
      <c r="O100" s="787">
        <v>0</v>
      </c>
      <c r="P100" s="787">
        <v>0</v>
      </c>
      <c r="Q100" s="787">
        <v>49278.400000000001</v>
      </c>
      <c r="R100" s="787">
        <v>0</v>
      </c>
      <c r="S100" s="787">
        <v>0</v>
      </c>
      <c r="T100" s="787">
        <v>0</v>
      </c>
      <c r="U100" s="787">
        <v>7598.22</v>
      </c>
      <c r="V100" s="787">
        <v>2617.7199999999998</v>
      </c>
      <c r="W100" s="787">
        <v>0</v>
      </c>
      <c r="X100" s="787">
        <v>2056535.4185769132</v>
      </c>
      <c r="Y100" s="787">
        <v>990577.67</v>
      </c>
      <c r="Z100" s="787">
        <v>0</v>
      </c>
      <c r="AA100" s="787">
        <v>191276.61</v>
      </c>
      <c r="AB100" s="787">
        <v>70518.320000000007</v>
      </c>
      <c r="AC100" s="787">
        <v>161304.85999999999</v>
      </c>
      <c r="AD100" s="787">
        <v>0</v>
      </c>
      <c r="AE100" s="787">
        <v>52474.77</v>
      </c>
      <c r="AF100" s="787">
        <v>9049.09</v>
      </c>
      <c r="AG100" s="787">
        <v>5245.53</v>
      </c>
      <c r="AH100" s="787">
        <v>0</v>
      </c>
      <c r="AI100" s="787">
        <v>0</v>
      </c>
      <c r="AJ100" s="787">
        <v>10843.28</v>
      </c>
      <c r="AK100" s="787">
        <v>4033.29</v>
      </c>
      <c r="AL100" s="787">
        <v>15488.31</v>
      </c>
      <c r="AM100" s="787">
        <v>2899.28</v>
      </c>
      <c r="AN100" s="787">
        <v>73901.709999999992</v>
      </c>
      <c r="AO100" s="787">
        <v>17553.499999999996</v>
      </c>
      <c r="AP100" s="787">
        <v>10578.81</v>
      </c>
      <c r="AQ100" s="787">
        <v>33016.400000000001</v>
      </c>
      <c r="AR100" s="787">
        <v>2491.16</v>
      </c>
      <c r="AS100" s="787">
        <v>0</v>
      </c>
      <c r="AT100" s="787">
        <v>2823.1</v>
      </c>
      <c r="AU100" s="787">
        <v>0</v>
      </c>
      <c r="AV100" s="787">
        <v>0</v>
      </c>
      <c r="AW100" s="787">
        <v>0</v>
      </c>
      <c r="AX100" s="787">
        <v>670.48</v>
      </c>
      <c r="AY100" s="787">
        <v>0</v>
      </c>
      <c r="AZ100" s="787">
        <v>18591.03</v>
      </c>
      <c r="BA100" s="787">
        <v>7128</v>
      </c>
      <c r="BB100" s="787">
        <v>0</v>
      </c>
      <c r="BC100" s="787">
        <v>81525</v>
      </c>
      <c r="BD100" s="787">
        <v>209864.68</v>
      </c>
      <c r="BE100" s="787">
        <v>15774.95</v>
      </c>
      <c r="BF100" s="787">
        <v>72254.86</v>
      </c>
      <c r="BG100" s="787">
        <v>0</v>
      </c>
      <c r="BH100" s="787">
        <v>0</v>
      </c>
      <c r="BI100" s="787">
        <v>0</v>
      </c>
      <c r="BJ100" s="787">
        <v>2059884.6900000002</v>
      </c>
      <c r="BK100" s="787">
        <v>50081.93357843082</v>
      </c>
      <c r="BL100" s="787">
        <v>-3349.2714230869897</v>
      </c>
      <c r="BM100" s="787">
        <v>46732.662155343831</v>
      </c>
      <c r="BN100" s="787">
        <v>6970</v>
      </c>
      <c r="BO100" s="787">
        <v>0</v>
      </c>
      <c r="BP100" s="787">
        <v>0</v>
      </c>
      <c r="BQ100" s="787">
        <v>6970</v>
      </c>
      <c r="BR100" s="787">
        <v>0</v>
      </c>
      <c r="BS100" s="787">
        <v>3562.19</v>
      </c>
      <c r="BT100" s="787">
        <v>0</v>
      </c>
      <c r="BU100" s="787">
        <v>0</v>
      </c>
      <c r="BV100" s="787">
        <v>0</v>
      </c>
      <c r="BW100" s="787">
        <v>0</v>
      </c>
      <c r="BX100" s="787">
        <v>0</v>
      </c>
      <c r="BY100" s="787">
        <v>0</v>
      </c>
      <c r="BZ100" s="787">
        <v>3562.19</v>
      </c>
      <c r="CA100" s="787">
        <v>30406.470000000008</v>
      </c>
      <c r="CB100" s="787">
        <v>3407.81</v>
      </c>
      <c r="CC100" s="787">
        <v>33814.280000000006</v>
      </c>
      <c r="CD100" s="787">
        <v>0</v>
      </c>
      <c r="CE100" s="787">
        <v>0</v>
      </c>
      <c r="CF100" s="787">
        <v>0</v>
      </c>
      <c r="CG100" s="787">
        <v>0</v>
      </c>
      <c r="CH100" s="787">
        <v>0</v>
      </c>
      <c r="CI100" s="787">
        <v>0</v>
      </c>
      <c r="CJ100" s="787">
        <v>0</v>
      </c>
      <c r="CK100" s="787">
        <v>0</v>
      </c>
      <c r="CL100" s="787">
        <v>0</v>
      </c>
      <c r="CM100" s="787">
        <v>46732.662155343831</v>
      </c>
      <c r="CN100" s="787">
        <v>0</v>
      </c>
      <c r="CO100" s="787">
        <v>33814</v>
      </c>
      <c r="CP100" s="787">
        <v>0.2800000000061118</v>
      </c>
      <c r="CQ100" s="787">
        <v>0</v>
      </c>
      <c r="CR100" s="787">
        <v>80546.94215534383</v>
      </c>
      <c r="CS100" s="787">
        <v>372371.08</v>
      </c>
      <c r="CT100" s="787">
        <v>139901.26</v>
      </c>
      <c r="CU100" s="787">
        <v>14594.35</v>
      </c>
      <c r="CV100" s="787">
        <v>247064.17</v>
      </c>
      <c r="CW100" s="787">
        <v>0</v>
      </c>
      <c r="CX100" s="787">
        <v>9145.01</v>
      </c>
      <c r="CY100" s="787">
        <v>6450.03</v>
      </c>
      <c r="CZ100" s="787">
        <v>14527.67</v>
      </c>
      <c r="DA100" s="787">
        <v>0</v>
      </c>
      <c r="DB100" s="787">
        <v>277186.88</v>
      </c>
      <c r="DC100" s="787">
        <v>14537.81</v>
      </c>
      <c r="DD100" s="787">
        <v>0</v>
      </c>
      <c r="DE100" s="787">
        <v>0</v>
      </c>
      <c r="DF100" s="787">
        <v>14537.81</v>
      </c>
      <c r="DG100" s="787"/>
      <c r="DH100" s="787"/>
      <c r="DI100" s="787"/>
      <c r="DJ100" s="787">
        <v>-60000</v>
      </c>
      <c r="DK100" s="787">
        <v>-45462.19</v>
      </c>
      <c r="DL100" s="787">
        <v>244.9</v>
      </c>
      <c r="DM100" s="787">
        <v>9905.06</v>
      </c>
      <c r="DN100" s="787">
        <v>7699.38</v>
      </c>
      <c r="DO100" s="787">
        <v>0</v>
      </c>
      <c r="DP100" s="787">
        <v>-14922.29</v>
      </c>
      <c r="DQ100" s="787">
        <v>0</v>
      </c>
      <c r="DR100" s="787">
        <v>0</v>
      </c>
      <c r="DS100" s="787">
        <v>0</v>
      </c>
      <c r="DT100" s="787">
        <v>2927.0499999999993</v>
      </c>
      <c r="DU100" s="787">
        <v>0</v>
      </c>
      <c r="DV100" s="787">
        <v>0</v>
      </c>
      <c r="DW100" s="787">
        <v>0</v>
      </c>
      <c r="DX100" s="787">
        <v>0</v>
      </c>
      <c r="DY100" s="787">
        <v>0</v>
      </c>
      <c r="DZ100" s="787">
        <v>-154104.9</v>
      </c>
      <c r="EA100" s="787">
        <v>0.10215534383314662</v>
      </c>
      <c r="EE100">
        <f>_xlfn.XLOOKUP(C100,'[1]Cfwd Analysis'!$C:$C,'[1]Cfwd Analysis'!$I:$I,0,0)</f>
        <v>46732.662155343831</v>
      </c>
      <c r="EF100" s="788">
        <f t="shared" si="1"/>
        <v>0</v>
      </c>
    </row>
    <row r="101" spans="1:136" ht="15.6" hidden="1">
      <c r="A101" s="782" t="s">
        <v>1394</v>
      </c>
      <c r="B101" s="782" t="s">
        <v>698</v>
      </c>
      <c r="C101" s="783">
        <v>2128</v>
      </c>
      <c r="D101" s="784" t="s">
        <v>699</v>
      </c>
      <c r="E101" s="785" t="s">
        <v>521</v>
      </c>
      <c r="F101" s="786">
        <v>46094</v>
      </c>
      <c r="G101" s="785" t="s">
        <v>5</v>
      </c>
      <c r="H101" s="785" t="s">
        <v>712</v>
      </c>
      <c r="I101" s="787">
        <v>2138370.1925619049</v>
      </c>
      <c r="J101" s="787">
        <v>0</v>
      </c>
      <c r="K101" s="787">
        <v>156792.47999999998</v>
      </c>
      <c r="L101" s="787">
        <v>0</v>
      </c>
      <c r="M101" s="787">
        <v>217710</v>
      </c>
      <c r="N101" s="787">
        <v>18882.93</v>
      </c>
      <c r="O101" s="787">
        <v>0</v>
      </c>
      <c r="P101" s="787">
        <v>0</v>
      </c>
      <c r="Q101" s="787">
        <v>113879.27</v>
      </c>
      <c r="R101" s="787">
        <v>38885.14</v>
      </c>
      <c r="S101" s="787">
        <v>0</v>
      </c>
      <c r="T101" s="787">
        <v>0</v>
      </c>
      <c r="U101" s="787">
        <v>23291.86</v>
      </c>
      <c r="V101" s="787">
        <v>4676.8100000000004</v>
      </c>
      <c r="W101" s="787">
        <v>0</v>
      </c>
      <c r="X101" s="787">
        <v>2712488.6825619051</v>
      </c>
      <c r="Y101" s="787">
        <v>1303368.32</v>
      </c>
      <c r="Z101" s="787">
        <v>0</v>
      </c>
      <c r="AA101" s="787">
        <v>226615.03</v>
      </c>
      <c r="AB101" s="787">
        <v>28396.85</v>
      </c>
      <c r="AC101" s="787">
        <v>130773.79</v>
      </c>
      <c r="AD101" s="787">
        <v>151066.43</v>
      </c>
      <c r="AE101" s="787">
        <v>42894.73</v>
      </c>
      <c r="AF101" s="787">
        <v>6194.41</v>
      </c>
      <c r="AG101" s="787">
        <v>6725.96</v>
      </c>
      <c r="AH101" s="787">
        <v>0</v>
      </c>
      <c r="AI101" s="787">
        <v>0</v>
      </c>
      <c r="AJ101" s="787">
        <v>32963.99</v>
      </c>
      <c r="AK101" s="787">
        <v>8499.75</v>
      </c>
      <c r="AL101" s="787">
        <v>30166.89</v>
      </c>
      <c r="AM101" s="787">
        <v>5847.81</v>
      </c>
      <c r="AN101" s="787">
        <v>69828.010000000009</v>
      </c>
      <c r="AO101" s="787">
        <v>22148.34</v>
      </c>
      <c r="AP101" s="787">
        <v>18723.230000000003</v>
      </c>
      <c r="AQ101" s="787">
        <v>89633.43</v>
      </c>
      <c r="AR101" s="787">
        <v>0</v>
      </c>
      <c r="AS101" s="787">
        <v>0</v>
      </c>
      <c r="AT101" s="787">
        <v>19734.310000000001</v>
      </c>
      <c r="AU101" s="787">
        <v>0</v>
      </c>
      <c r="AV101" s="787">
        <v>0</v>
      </c>
      <c r="AW101" s="787">
        <v>2684.71</v>
      </c>
      <c r="AX101" s="787">
        <v>300</v>
      </c>
      <c r="AY101" s="787">
        <v>0</v>
      </c>
      <c r="AZ101" s="787">
        <v>48388.43</v>
      </c>
      <c r="BA101" s="787">
        <v>10121</v>
      </c>
      <c r="BB101" s="787">
        <v>8473</v>
      </c>
      <c r="BC101" s="787">
        <v>82437.710000000006</v>
      </c>
      <c r="BD101" s="787">
        <v>33831.9</v>
      </c>
      <c r="BE101" s="787">
        <v>57644.189999999995</v>
      </c>
      <c r="BF101" s="787">
        <v>183443.97</v>
      </c>
      <c r="BG101" s="787">
        <v>0</v>
      </c>
      <c r="BH101" s="787">
        <v>0</v>
      </c>
      <c r="BI101" s="787">
        <v>0</v>
      </c>
      <c r="BJ101" s="787">
        <v>2620906.1900000004</v>
      </c>
      <c r="BK101" s="787">
        <v>213519.83208333323</v>
      </c>
      <c r="BL101" s="787">
        <v>91582.492561904714</v>
      </c>
      <c r="BM101" s="787">
        <v>305102.32464523794</v>
      </c>
      <c r="BN101" s="787">
        <v>8128.75</v>
      </c>
      <c r="BO101" s="787">
        <v>0</v>
      </c>
      <c r="BP101" s="787">
        <v>0</v>
      </c>
      <c r="BQ101" s="787">
        <v>8128.75</v>
      </c>
      <c r="BR101" s="787">
        <v>0</v>
      </c>
      <c r="BS101" s="787">
        <v>8095.87</v>
      </c>
      <c r="BT101" s="787">
        <v>0</v>
      </c>
      <c r="BU101" s="787">
        <v>0</v>
      </c>
      <c r="BV101" s="787">
        <v>0</v>
      </c>
      <c r="BW101" s="787">
        <v>11235.99</v>
      </c>
      <c r="BX101" s="787">
        <v>16584.88</v>
      </c>
      <c r="BY101" s="787">
        <v>0</v>
      </c>
      <c r="BZ101" s="787">
        <v>35916.740000000005</v>
      </c>
      <c r="CA101" s="787">
        <v>76166.37</v>
      </c>
      <c r="CB101" s="787">
        <v>-27787.990000000005</v>
      </c>
      <c r="CC101" s="787">
        <v>48378.37999999999</v>
      </c>
      <c r="CD101" s="787">
        <v>0</v>
      </c>
      <c r="CE101" s="787">
        <v>0</v>
      </c>
      <c r="CF101" s="787">
        <v>0</v>
      </c>
      <c r="CG101" s="787">
        <v>0</v>
      </c>
      <c r="CH101" s="787">
        <v>0</v>
      </c>
      <c r="CI101" s="787">
        <v>0</v>
      </c>
      <c r="CJ101" s="787">
        <v>0</v>
      </c>
      <c r="CK101" s="787">
        <v>0</v>
      </c>
      <c r="CL101" s="787">
        <v>0</v>
      </c>
      <c r="CM101" s="787">
        <v>305102.32464523794</v>
      </c>
      <c r="CN101" s="787">
        <v>0</v>
      </c>
      <c r="CO101" s="787">
        <v>48378</v>
      </c>
      <c r="CP101" s="787">
        <v>0.3799999999901047</v>
      </c>
      <c r="CQ101" s="787">
        <v>0</v>
      </c>
      <c r="CR101" s="787">
        <v>353480.70464523794</v>
      </c>
      <c r="CS101" s="787">
        <v>486930.05</v>
      </c>
      <c r="CT101" s="787">
        <v>82842.2</v>
      </c>
      <c r="CU101" s="787">
        <v>1424.86</v>
      </c>
      <c r="CV101" s="787">
        <v>405512.70999999996</v>
      </c>
      <c r="CW101" s="787">
        <v>0</v>
      </c>
      <c r="CX101" s="787">
        <v>8765.98</v>
      </c>
      <c r="CY101" s="787">
        <v>9009.06</v>
      </c>
      <c r="CZ101" s="787">
        <v>33232.050000000003</v>
      </c>
      <c r="DA101" s="787">
        <v>0</v>
      </c>
      <c r="DB101" s="787">
        <v>456519.79999999993</v>
      </c>
      <c r="DC101" s="787">
        <v>1505.26</v>
      </c>
      <c r="DD101" s="787">
        <v>0</v>
      </c>
      <c r="DE101" s="787">
        <v>0</v>
      </c>
      <c r="DF101" s="787">
        <v>1505.26</v>
      </c>
      <c r="DG101" s="787"/>
      <c r="DH101" s="787"/>
      <c r="DI101" s="787"/>
      <c r="DJ101" s="787">
        <v>0</v>
      </c>
      <c r="DK101" s="787">
        <v>1505.26</v>
      </c>
      <c r="DL101" s="787">
        <v>81525</v>
      </c>
      <c r="DM101" s="787">
        <v>0</v>
      </c>
      <c r="DN101" s="787">
        <v>7774.94</v>
      </c>
      <c r="DO101" s="787">
        <v>0</v>
      </c>
      <c r="DP101" s="787">
        <v>-35768.959999999999</v>
      </c>
      <c r="DQ101" s="787">
        <v>0</v>
      </c>
      <c r="DR101" s="787">
        <v>0</v>
      </c>
      <c r="DS101" s="787">
        <v>0</v>
      </c>
      <c r="DT101" s="787">
        <v>53530.98</v>
      </c>
      <c r="DU101" s="787">
        <v>0</v>
      </c>
      <c r="DV101" s="787">
        <v>0</v>
      </c>
      <c r="DW101" s="787">
        <v>0</v>
      </c>
      <c r="DX101" s="787">
        <v>0</v>
      </c>
      <c r="DY101" s="787">
        <v>0</v>
      </c>
      <c r="DZ101" s="787">
        <v>-158075</v>
      </c>
      <c r="EA101" s="787">
        <v>-0.33535476197721437</v>
      </c>
      <c r="EE101">
        <f>_xlfn.XLOOKUP(C101,'[1]Cfwd Analysis'!$C:$C,'[1]Cfwd Analysis'!$I:$I,0,0)</f>
        <v>305102.32464523794</v>
      </c>
      <c r="EF101" s="788">
        <f t="shared" si="1"/>
        <v>0</v>
      </c>
    </row>
    <row r="102" spans="1:136" ht="15.6" hidden="1">
      <c r="A102" s="782" t="s">
        <v>1395</v>
      </c>
      <c r="B102" s="782" t="s">
        <v>700</v>
      </c>
      <c r="C102" s="783">
        <v>2420</v>
      </c>
      <c r="D102" s="784" t="s">
        <v>701</v>
      </c>
      <c r="E102" s="785" t="s">
        <v>521</v>
      </c>
      <c r="F102" s="786">
        <v>46093</v>
      </c>
      <c r="G102" s="785" t="s">
        <v>5</v>
      </c>
      <c r="H102" s="785" t="s">
        <v>714</v>
      </c>
      <c r="I102" s="787">
        <v>2171148.64</v>
      </c>
      <c r="J102" s="787">
        <v>0</v>
      </c>
      <c r="K102" s="787">
        <v>155172.65666666668</v>
      </c>
      <c r="L102" s="787">
        <v>0</v>
      </c>
      <c r="M102" s="787">
        <v>45965</v>
      </c>
      <c r="N102" s="787">
        <v>104152.37000000001</v>
      </c>
      <c r="O102" s="787">
        <v>1417.16</v>
      </c>
      <c r="P102" s="787">
        <v>5250</v>
      </c>
      <c r="Q102" s="787">
        <v>276271.32999999996</v>
      </c>
      <c r="R102" s="787">
        <v>14378.060000000001</v>
      </c>
      <c r="S102" s="787">
        <v>0</v>
      </c>
      <c r="T102" s="787">
        <v>0</v>
      </c>
      <c r="U102" s="787">
        <v>53058.479999999996</v>
      </c>
      <c r="V102" s="787">
        <v>21899.73</v>
      </c>
      <c r="W102" s="787">
        <v>0</v>
      </c>
      <c r="X102" s="787">
        <v>2848713.4266666672</v>
      </c>
      <c r="Y102" s="787">
        <v>1259856.19</v>
      </c>
      <c r="Z102" s="787">
        <v>0</v>
      </c>
      <c r="AA102" s="787">
        <v>523540.84</v>
      </c>
      <c r="AB102" s="787">
        <v>46295.79</v>
      </c>
      <c r="AC102" s="787">
        <v>132812.38</v>
      </c>
      <c r="AD102" s="787">
        <v>0</v>
      </c>
      <c r="AE102" s="787">
        <v>196536.83000000002</v>
      </c>
      <c r="AF102" s="787">
        <v>16215.050000000001</v>
      </c>
      <c r="AG102" s="787">
        <v>11489.52</v>
      </c>
      <c r="AH102" s="787">
        <v>0</v>
      </c>
      <c r="AI102" s="787">
        <v>0</v>
      </c>
      <c r="AJ102" s="787">
        <v>26162.550000000003</v>
      </c>
      <c r="AK102" s="787">
        <v>5572.88</v>
      </c>
      <c r="AL102" s="787">
        <v>62646.559999999998</v>
      </c>
      <c r="AM102" s="787">
        <v>8879.23</v>
      </c>
      <c r="AN102" s="787">
        <v>42373.17</v>
      </c>
      <c r="AO102" s="787">
        <v>24535.639999999996</v>
      </c>
      <c r="AP102" s="787">
        <v>13007.34</v>
      </c>
      <c r="AQ102" s="787">
        <v>102768.33</v>
      </c>
      <c r="AR102" s="787">
        <v>0</v>
      </c>
      <c r="AS102" s="787">
        <v>0</v>
      </c>
      <c r="AT102" s="787">
        <v>2546.7399999999998</v>
      </c>
      <c r="AU102" s="787">
        <v>5993.61</v>
      </c>
      <c r="AV102" s="787">
        <v>1169.6199999999999</v>
      </c>
      <c r="AW102" s="787">
        <v>1255.42</v>
      </c>
      <c r="AX102" s="787">
        <v>17591.79</v>
      </c>
      <c r="AY102" s="787">
        <v>0</v>
      </c>
      <c r="AZ102" s="787">
        <v>64674.149999999994</v>
      </c>
      <c r="BA102" s="787">
        <v>9748.2000000000007</v>
      </c>
      <c r="BB102" s="787">
        <v>18632.66</v>
      </c>
      <c r="BC102" s="787">
        <v>99510.78</v>
      </c>
      <c r="BD102" s="787">
        <v>99563.38</v>
      </c>
      <c r="BE102" s="787">
        <v>40048.9</v>
      </c>
      <c r="BF102" s="787">
        <v>35926.959999999999</v>
      </c>
      <c r="BG102" s="787">
        <v>0</v>
      </c>
      <c r="BH102" s="787">
        <v>0</v>
      </c>
      <c r="BI102" s="787">
        <v>0</v>
      </c>
      <c r="BJ102" s="787">
        <v>2869354.51</v>
      </c>
      <c r="BK102" s="787">
        <v>284740</v>
      </c>
      <c r="BL102" s="787">
        <v>-20641.083333332557</v>
      </c>
      <c r="BM102" s="787">
        <v>264098.91666666744</v>
      </c>
      <c r="BN102" s="787">
        <v>8736.25</v>
      </c>
      <c r="BO102" s="787">
        <v>0</v>
      </c>
      <c r="BP102" s="787">
        <v>0</v>
      </c>
      <c r="BQ102" s="787">
        <v>8736.25</v>
      </c>
      <c r="BR102" s="787">
        <v>0</v>
      </c>
      <c r="BS102" s="787">
        <v>5900</v>
      </c>
      <c r="BT102" s="787">
        <v>575.96</v>
      </c>
      <c r="BU102" s="787">
        <v>0</v>
      </c>
      <c r="BV102" s="787">
        <v>0</v>
      </c>
      <c r="BW102" s="787">
        <v>0</v>
      </c>
      <c r="BX102" s="787">
        <v>5052.29</v>
      </c>
      <c r="BY102" s="787">
        <v>0</v>
      </c>
      <c r="BZ102" s="787">
        <v>11528.25</v>
      </c>
      <c r="CA102" s="787">
        <v>7014</v>
      </c>
      <c r="CB102" s="787">
        <v>-2792</v>
      </c>
      <c r="CC102" s="787">
        <v>4222</v>
      </c>
      <c r="CD102" s="787">
        <v>0</v>
      </c>
      <c r="CE102" s="787">
        <v>0</v>
      </c>
      <c r="CF102" s="787">
        <v>0</v>
      </c>
      <c r="CG102" s="787">
        <v>0</v>
      </c>
      <c r="CH102" s="787">
        <v>0</v>
      </c>
      <c r="CI102" s="787">
        <v>0</v>
      </c>
      <c r="CJ102" s="787">
        <v>0</v>
      </c>
      <c r="CK102" s="787">
        <v>0</v>
      </c>
      <c r="CL102" s="787">
        <v>0</v>
      </c>
      <c r="CM102" s="787">
        <v>264098.91666666744</v>
      </c>
      <c r="CN102" s="787">
        <v>0</v>
      </c>
      <c r="CO102" s="787">
        <v>4222</v>
      </c>
      <c r="CP102" s="787">
        <v>0</v>
      </c>
      <c r="CQ102" s="787">
        <v>0</v>
      </c>
      <c r="CR102" s="787">
        <v>268320.91666666744</v>
      </c>
      <c r="CS102" s="787">
        <v>490723.94</v>
      </c>
      <c r="CT102" s="787">
        <v>13371.73</v>
      </c>
      <c r="CU102" s="787">
        <v>0</v>
      </c>
      <c r="CV102" s="787">
        <v>477352.21</v>
      </c>
      <c r="CW102" s="787">
        <v>0</v>
      </c>
      <c r="CX102" s="787">
        <v>8398.52</v>
      </c>
      <c r="CY102" s="787">
        <v>8213.58</v>
      </c>
      <c r="CZ102" s="787">
        <v>0</v>
      </c>
      <c r="DA102" s="787">
        <v>0</v>
      </c>
      <c r="DB102" s="787">
        <v>493964.31000000006</v>
      </c>
      <c r="DC102" s="787">
        <v>0</v>
      </c>
      <c r="DD102" s="787">
        <v>0</v>
      </c>
      <c r="DE102" s="787">
        <v>0</v>
      </c>
      <c r="DF102" s="787">
        <v>0</v>
      </c>
      <c r="DG102" s="787"/>
      <c r="DH102" s="787"/>
      <c r="DI102" s="787"/>
      <c r="DJ102" s="787">
        <v>0</v>
      </c>
      <c r="DK102" s="787">
        <v>0</v>
      </c>
      <c r="DL102" s="787">
        <v>5554.47</v>
      </c>
      <c r="DM102" s="787">
        <v>0</v>
      </c>
      <c r="DN102" s="787">
        <v>3600</v>
      </c>
      <c r="DO102" s="787">
        <v>0</v>
      </c>
      <c r="DP102" s="787">
        <v>-242941.4</v>
      </c>
      <c r="DQ102" s="787">
        <v>0</v>
      </c>
      <c r="DR102" s="787">
        <v>0</v>
      </c>
      <c r="DS102" s="787">
        <v>0</v>
      </c>
      <c r="DT102" s="787">
        <v>-233786.93</v>
      </c>
      <c r="DU102" s="787">
        <v>0</v>
      </c>
      <c r="DV102" s="787">
        <v>8143.19</v>
      </c>
      <c r="DW102" s="787">
        <v>0</v>
      </c>
      <c r="DX102" s="787">
        <v>0</v>
      </c>
      <c r="DY102" s="787">
        <v>0</v>
      </c>
      <c r="DZ102" s="787">
        <v>0</v>
      </c>
      <c r="EA102" s="787">
        <v>0.34666666737757623</v>
      </c>
      <c r="EE102">
        <f>_xlfn.XLOOKUP(C102,'[1]Cfwd Analysis'!$C:$C,'[1]Cfwd Analysis'!$I:$I,0,0)</f>
        <v>264098.91666666744</v>
      </c>
      <c r="EF102" s="788">
        <f t="shared" si="1"/>
        <v>0</v>
      </c>
    </row>
    <row r="103" spans="1:136" ht="15.6" hidden="1">
      <c r="A103" s="782" t="s">
        <v>1396</v>
      </c>
      <c r="B103" s="782" t="s">
        <v>902</v>
      </c>
      <c r="C103" s="783">
        <v>2004</v>
      </c>
      <c r="D103" s="784" t="s">
        <v>903</v>
      </c>
      <c r="E103" s="785" t="s">
        <v>521</v>
      </c>
      <c r="F103" s="786">
        <v>46091</v>
      </c>
      <c r="G103" s="785" t="s">
        <v>5</v>
      </c>
      <c r="H103" s="785" t="s">
        <v>924</v>
      </c>
      <c r="I103" s="787">
        <v>1830615.0869879385</v>
      </c>
      <c r="J103" s="787">
        <v>0</v>
      </c>
      <c r="K103" s="787">
        <v>58664.673333333325</v>
      </c>
      <c r="L103" s="787">
        <v>0</v>
      </c>
      <c r="M103" s="787">
        <v>194490</v>
      </c>
      <c r="N103" s="787">
        <v>74880.350000000006</v>
      </c>
      <c r="O103" s="787">
        <v>0</v>
      </c>
      <c r="P103" s="787">
        <v>8289.99</v>
      </c>
      <c r="Q103" s="787">
        <v>67372.790000000008</v>
      </c>
      <c r="R103" s="787">
        <v>13652.79</v>
      </c>
      <c r="S103" s="787">
        <v>0</v>
      </c>
      <c r="T103" s="787">
        <v>0</v>
      </c>
      <c r="U103" s="787">
        <v>0</v>
      </c>
      <c r="V103" s="787">
        <v>2815.29</v>
      </c>
      <c r="W103" s="787">
        <v>0</v>
      </c>
      <c r="X103" s="787">
        <v>2250780.970321272</v>
      </c>
      <c r="Y103" s="787">
        <v>1012285.95</v>
      </c>
      <c r="Z103" s="787">
        <v>0</v>
      </c>
      <c r="AA103" s="787">
        <v>268688.19</v>
      </c>
      <c r="AB103" s="787">
        <v>56292.49</v>
      </c>
      <c r="AC103" s="787">
        <v>114527.28</v>
      </c>
      <c r="AD103" s="787">
        <v>0</v>
      </c>
      <c r="AE103" s="787">
        <v>103403.37</v>
      </c>
      <c r="AF103" s="787">
        <v>5123.21</v>
      </c>
      <c r="AG103" s="787">
        <v>3919.5</v>
      </c>
      <c r="AH103" s="787">
        <v>0</v>
      </c>
      <c r="AI103" s="787">
        <v>0</v>
      </c>
      <c r="AJ103" s="787">
        <v>3789.41</v>
      </c>
      <c r="AK103" s="787">
        <v>11000</v>
      </c>
      <c r="AL103" s="787">
        <v>81913.009999999995</v>
      </c>
      <c r="AM103" s="787">
        <v>8288.93</v>
      </c>
      <c r="AN103" s="787">
        <v>61260.32</v>
      </c>
      <c r="AO103" s="787">
        <v>23631.700000000008</v>
      </c>
      <c r="AP103" s="787">
        <v>13632.26</v>
      </c>
      <c r="AQ103" s="787">
        <v>32337.81</v>
      </c>
      <c r="AR103" s="787">
        <v>4268.2700000000004</v>
      </c>
      <c r="AS103" s="787">
        <v>0</v>
      </c>
      <c r="AT103" s="787">
        <v>0</v>
      </c>
      <c r="AU103" s="787">
        <v>21870.720000000001</v>
      </c>
      <c r="AV103" s="787">
        <v>0</v>
      </c>
      <c r="AW103" s="787">
        <v>0</v>
      </c>
      <c r="AX103" s="787">
        <v>8010</v>
      </c>
      <c r="AY103" s="787">
        <v>0</v>
      </c>
      <c r="AZ103" s="787">
        <v>5364.11</v>
      </c>
      <c r="BA103" s="787">
        <v>5429.58</v>
      </c>
      <c r="BB103" s="787">
        <v>20778</v>
      </c>
      <c r="BC103" s="787">
        <v>136398.79</v>
      </c>
      <c r="BD103" s="787">
        <v>118333.32</v>
      </c>
      <c r="BE103" s="787">
        <v>12517.380000000001</v>
      </c>
      <c r="BF103" s="787">
        <v>38407.42</v>
      </c>
      <c r="BG103" s="787">
        <v>0</v>
      </c>
      <c r="BH103" s="787">
        <v>0</v>
      </c>
      <c r="BI103" s="787">
        <v>0</v>
      </c>
      <c r="BJ103" s="787">
        <v>2171471.0199999996</v>
      </c>
      <c r="BK103" s="787">
        <v>-61147.049999999319</v>
      </c>
      <c r="BL103" s="787">
        <v>79309.950321272481</v>
      </c>
      <c r="BM103" s="787">
        <v>18162.900321273162</v>
      </c>
      <c r="BN103" s="787">
        <v>7633.75</v>
      </c>
      <c r="BO103" s="787">
        <v>0</v>
      </c>
      <c r="BP103" s="787">
        <v>0</v>
      </c>
      <c r="BQ103" s="787">
        <v>7633.75</v>
      </c>
      <c r="BR103" s="787">
        <v>0</v>
      </c>
      <c r="BS103" s="787">
        <v>19618.89</v>
      </c>
      <c r="BT103" s="787">
        <v>1608.8</v>
      </c>
      <c r="BU103" s="787">
        <v>0</v>
      </c>
      <c r="BV103" s="787">
        <v>0</v>
      </c>
      <c r="BW103" s="787">
        <v>0</v>
      </c>
      <c r="BX103" s="787">
        <v>3554</v>
      </c>
      <c r="BY103" s="787">
        <v>3244</v>
      </c>
      <c r="BZ103" s="787">
        <v>28025.69</v>
      </c>
      <c r="CA103" s="787">
        <v>39010.620000000003</v>
      </c>
      <c r="CB103" s="787">
        <v>-20391.939999999999</v>
      </c>
      <c r="CC103" s="787">
        <v>18618.680000000004</v>
      </c>
      <c r="CD103" s="787">
        <v>0</v>
      </c>
      <c r="CE103" s="787">
        <v>0</v>
      </c>
      <c r="CF103" s="787">
        <v>0</v>
      </c>
      <c r="CG103" s="787">
        <v>0</v>
      </c>
      <c r="CH103" s="787">
        <v>0</v>
      </c>
      <c r="CI103" s="787">
        <v>0</v>
      </c>
      <c r="CJ103" s="787">
        <v>0</v>
      </c>
      <c r="CK103" s="787">
        <v>0</v>
      </c>
      <c r="CL103" s="787">
        <v>0</v>
      </c>
      <c r="CM103" s="787">
        <v>18162.900321273162</v>
      </c>
      <c r="CN103" s="787">
        <v>0</v>
      </c>
      <c r="CO103" s="787">
        <v>18618.68</v>
      </c>
      <c r="CP103" s="787">
        <v>0</v>
      </c>
      <c r="CQ103" s="787">
        <v>0</v>
      </c>
      <c r="CR103" s="787">
        <v>36781.58032127317</v>
      </c>
      <c r="CS103" s="787">
        <v>270524.76</v>
      </c>
      <c r="CT103" s="787">
        <v>0</v>
      </c>
      <c r="CU103" s="787">
        <v>0</v>
      </c>
      <c r="CV103" s="787">
        <v>270524.76</v>
      </c>
      <c r="CW103" s="787">
        <v>0</v>
      </c>
      <c r="CX103" s="787">
        <v>10047.01</v>
      </c>
      <c r="CY103" s="787">
        <v>3234.51</v>
      </c>
      <c r="CZ103" s="787">
        <v>0</v>
      </c>
      <c r="DA103" s="787">
        <v>0</v>
      </c>
      <c r="DB103" s="787">
        <v>283806.28000000003</v>
      </c>
      <c r="DC103" s="787">
        <v>0</v>
      </c>
      <c r="DD103" s="787">
        <v>0</v>
      </c>
      <c r="DE103" s="787">
        <v>0</v>
      </c>
      <c r="DF103" s="787">
        <v>0</v>
      </c>
      <c r="DG103" s="787"/>
      <c r="DH103" s="787"/>
      <c r="DI103" s="787"/>
      <c r="DJ103" s="787">
        <v>0</v>
      </c>
      <c r="DK103" s="787">
        <v>0</v>
      </c>
      <c r="DL103" s="787">
        <v>0</v>
      </c>
      <c r="DM103" s="787">
        <v>0</v>
      </c>
      <c r="DN103" s="787">
        <v>0</v>
      </c>
      <c r="DO103" s="787">
        <v>0</v>
      </c>
      <c r="DP103" s="787">
        <v>-170474.1</v>
      </c>
      <c r="DQ103" s="787">
        <v>-49168.02</v>
      </c>
      <c r="DR103" s="787">
        <v>0</v>
      </c>
      <c r="DS103" s="787">
        <v>0</v>
      </c>
      <c r="DT103" s="787">
        <v>-219642.12</v>
      </c>
      <c r="DU103" s="787">
        <v>0</v>
      </c>
      <c r="DV103" s="787">
        <v>0</v>
      </c>
      <c r="DW103" s="787">
        <v>0</v>
      </c>
      <c r="DX103" s="787">
        <v>0</v>
      </c>
      <c r="DY103" s="787">
        <v>0</v>
      </c>
      <c r="DZ103" s="787">
        <v>-27383</v>
      </c>
      <c r="EA103" s="787">
        <v>0.42032127313723322</v>
      </c>
      <c r="EE103">
        <f>_xlfn.XLOOKUP(C103,'[1]Cfwd Analysis'!$C:$C,'[1]Cfwd Analysis'!$I:$I,0,0)</f>
        <v>18162.900321273162</v>
      </c>
      <c r="EF103" s="788">
        <f t="shared" si="1"/>
        <v>0</v>
      </c>
    </row>
    <row r="104" spans="1:136" ht="15.6" hidden="1">
      <c r="A104" s="782" t="s">
        <v>1397</v>
      </c>
      <c r="B104" s="782" t="s">
        <v>702</v>
      </c>
      <c r="C104" s="783">
        <v>1012</v>
      </c>
      <c r="D104" s="784" t="s">
        <v>703</v>
      </c>
      <c r="E104" s="785" t="s">
        <v>521</v>
      </c>
      <c r="F104" s="786">
        <v>46094</v>
      </c>
      <c r="G104" s="785" t="s">
        <v>5</v>
      </c>
      <c r="H104" s="785" t="s">
        <v>716</v>
      </c>
      <c r="I104" s="787">
        <v>750279.424097087</v>
      </c>
      <c r="J104" s="787">
        <v>0</v>
      </c>
      <c r="K104" s="787">
        <v>7573.3291977839335</v>
      </c>
      <c r="L104" s="787">
        <v>0</v>
      </c>
      <c r="M104" s="787">
        <v>0</v>
      </c>
      <c r="N104" s="787">
        <v>0</v>
      </c>
      <c r="O104" s="787">
        <v>0</v>
      </c>
      <c r="P104" s="787">
        <v>0</v>
      </c>
      <c r="Q104" s="787">
        <v>33013.32</v>
      </c>
      <c r="R104" s="787">
        <v>0</v>
      </c>
      <c r="S104" s="787">
        <v>0</v>
      </c>
      <c r="T104" s="787">
        <v>0</v>
      </c>
      <c r="U104" s="787">
        <v>8184.5</v>
      </c>
      <c r="V104" s="787">
        <v>36741.760000000002</v>
      </c>
      <c r="W104" s="787">
        <v>0</v>
      </c>
      <c r="X104" s="787">
        <v>835792.33329487091</v>
      </c>
      <c r="Y104" s="787">
        <v>282498.14</v>
      </c>
      <c r="Z104" s="787">
        <v>0</v>
      </c>
      <c r="AA104" s="787">
        <v>140237.5</v>
      </c>
      <c r="AB104" s="787">
        <v>0</v>
      </c>
      <c r="AC104" s="787">
        <v>34168.61</v>
      </c>
      <c r="AD104" s="787">
        <v>0</v>
      </c>
      <c r="AE104" s="787">
        <v>23946.940000000002</v>
      </c>
      <c r="AF104" s="787">
        <v>2106.8000000000002</v>
      </c>
      <c r="AG104" s="787">
        <v>3765.5</v>
      </c>
      <c r="AH104" s="787">
        <v>0</v>
      </c>
      <c r="AI104" s="787">
        <v>0</v>
      </c>
      <c r="AJ104" s="787">
        <v>59467.07</v>
      </c>
      <c r="AK104" s="787">
        <v>2475</v>
      </c>
      <c r="AL104" s="787">
        <v>16679.060000000001</v>
      </c>
      <c r="AM104" s="787">
        <v>866.76</v>
      </c>
      <c r="AN104" s="787">
        <v>8657.4</v>
      </c>
      <c r="AO104" s="787">
        <v>0</v>
      </c>
      <c r="AP104" s="787">
        <v>21278.22</v>
      </c>
      <c r="AQ104" s="787">
        <v>33521.15</v>
      </c>
      <c r="AR104" s="787">
        <v>0</v>
      </c>
      <c r="AS104" s="787">
        <v>0</v>
      </c>
      <c r="AT104" s="787">
        <v>116.67</v>
      </c>
      <c r="AU104" s="787">
        <v>642.5</v>
      </c>
      <c r="AV104" s="787">
        <v>3457.92</v>
      </c>
      <c r="AW104" s="787">
        <v>5899.93</v>
      </c>
      <c r="AX104" s="787">
        <v>175</v>
      </c>
      <c r="AY104" s="787">
        <v>0</v>
      </c>
      <c r="AZ104" s="787">
        <v>53992.270000000004</v>
      </c>
      <c r="BA104" s="787">
        <v>3291.75</v>
      </c>
      <c r="BB104" s="787">
        <v>0</v>
      </c>
      <c r="BC104" s="787">
        <v>2082.46</v>
      </c>
      <c r="BD104" s="787">
        <v>122224.92</v>
      </c>
      <c r="BE104" s="787">
        <v>4545.75</v>
      </c>
      <c r="BF104" s="787">
        <v>77343.77</v>
      </c>
      <c r="BG104" s="787">
        <v>0</v>
      </c>
      <c r="BH104" s="787">
        <v>0</v>
      </c>
      <c r="BI104" s="787">
        <v>0</v>
      </c>
      <c r="BJ104" s="787">
        <v>903441.0900000002</v>
      </c>
      <c r="BK104" s="787">
        <v>495607.77999999974</v>
      </c>
      <c r="BL104" s="787">
        <v>-67648.756705129286</v>
      </c>
      <c r="BM104" s="787">
        <v>427959.02329487045</v>
      </c>
      <c r="BN104" s="787">
        <v>4938.25</v>
      </c>
      <c r="BO104" s="787">
        <v>0</v>
      </c>
      <c r="BP104" s="787">
        <v>0</v>
      </c>
      <c r="BQ104" s="787">
        <v>4938.25</v>
      </c>
      <c r="BR104" s="787">
        <v>0</v>
      </c>
      <c r="BS104" s="787">
        <v>0</v>
      </c>
      <c r="BT104" s="787">
        <v>0</v>
      </c>
      <c r="BU104" s="787">
        <v>0</v>
      </c>
      <c r="BV104" s="787">
        <v>0</v>
      </c>
      <c r="BW104" s="787">
        <v>0</v>
      </c>
      <c r="BX104" s="787">
        <v>5514</v>
      </c>
      <c r="BY104" s="787">
        <v>0</v>
      </c>
      <c r="BZ104" s="787">
        <v>5514</v>
      </c>
      <c r="CA104" s="787">
        <v>45458.95</v>
      </c>
      <c r="CB104" s="787">
        <v>-575.75</v>
      </c>
      <c r="CC104" s="787">
        <v>44883.199999999997</v>
      </c>
      <c r="CD104" s="787">
        <v>0</v>
      </c>
      <c r="CE104" s="787">
        <v>0</v>
      </c>
      <c r="CF104" s="787">
        <v>0</v>
      </c>
      <c r="CG104" s="787">
        <v>0</v>
      </c>
      <c r="CH104" s="787">
        <v>0</v>
      </c>
      <c r="CI104" s="787">
        <v>0</v>
      </c>
      <c r="CJ104" s="787">
        <v>0</v>
      </c>
      <c r="CK104" s="787">
        <v>0</v>
      </c>
      <c r="CL104" s="787">
        <v>0</v>
      </c>
      <c r="CM104" s="787">
        <v>427959.02329487045</v>
      </c>
      <c r="CN104" s="787">
        <v>0</v>
      </c>
      <c r="CO104" s="787">
        <v>44883</v>
      </c>
      <c r="CP104" s="787">
        <v>0.19999999999708962</v>
      </c>
      <c r="CQ104" s="787">
        <v>0</v>
      </c>
      <c r="CR104" s="787">
        <v>472842.22329487046</v>
      </c>
      <c r="CS104" s="787">
        <v>539954.05000000005</v>
      </c>
      <c r="CT104" s="787">
        <v>0</v>
      </c>
      <c r="CU104" s="787">
        <v>0</v>
      </c>
      <c r="CV104" s="787">
        <v>539954.05000000005</v>
      </c>
      <c r="CW104" s="787">
        <v>-200</v>
      </c>
      <c r="CX104" s="787">
        <v>4514.01</v>
      </c>
      <c r="CY104" s="787">
        <v>3222.98</v>
      </c>
      <c r="CZ104" s="787">
        <v>0</v>
      </c>
      <c r="DA104" s="787">
        <v>0</v>
      </c>
      <c r="DB104" s="787">
        <v>547491.04</v>
      </c>
      <c r="DC104" s="787">
        <v>0</v>
      </c>
      <c r="DD104" s="787">
        <v>0</v>
      </c>
      <c r="DE104" s="787">
        <v>0</v>
      </c>
      <c r="DF104" s="787">
        <v>0</v>
      </c>
      <c r="DG104" s="787"/>
      <c r="DH104" s="787"/>
      <c r="DI104" s="787"/>
      <c r="DJ104" s="787">
        <v>0</v>
      </c>
      <c r="DK104" s="787">
        <v>0</v>
      </c>
      <c r="DL104" s="787">
        <v>0</v>
      </c>
      <c r="DM104" s="787">
        <v>0</v>
      </c>
      <c r="DN104" s="787">
        <v>0</v>
      </c>
      <c r="DO104" s="787">
        <v>0</v>
      </c>
      <c r="DP104" s="787">
        <v>-66341.72</v>
      </c>
      <c r="DQ104" s="787">
        <v>0</v>
      </c>
      <c r="DR104" s="787">
        <v>0</v>
      </c>
      <c r="DS104" s="787">
        <v>0</v>
      </c>
      <c r="DT104" s="787">
        <v>-66341.72</v>
      </c>
      <c r="DU104" s="787">
        <v>0</v>
      </c>
      <c r="DV104" s="787">
        <v>0</v>
      </c>
      <c r="DW104" s="787">
        <v>0</v>
      </c>
      <c r="DX104" s="787">
        <v>0</v>
      </c>
      <c r="DY104" s="787">
        <v>0</v>
      </c>
      <c r="DZ104" s="787">
        <v>-8306.7099999999991</v>
      </c>
      <c r="EA104" s="787">
        <v>-0.38670512958196923</v>
      </c>
      <c r="EE104">
        <f>_xlfn.XLOOKUP(C104,'[1]Cfwd Analysis'!$C:$C,'[1]Cfwd Analysis'!$I:$I,0,0)</f>
        <v>427959.02329487045</v>
      </c>
      <c r="EF104" s="788">
        <f t="shared" si="1"/>
        <v>0</v>
      </c>
    </row>
    <row r="105" spans="1:136" ht="15.6" hidden="1">
      <c r="A105" s="782" t="s">
        <v>1398</v>
      </c>
      <c r="B105" s="782" t="s">
        <v>704</v>
      </c>
      <c r="C105" s="783">
        <v>2133</v>
      </c>
      <c r="D105" s="784" t="s">
        <v>705</v>
      </c>
      <c r="E105" s="785" t="s">
        <v>521</v>
      </c>
      <c r="F105" s="786">
        <v>46094</v>
      </c>
      <c r="G105" s="785" t="s">
        <v>5</v>
      </c>
      <c r="H105" s="785" t="s">
        <v>718</v>
      </c>
      <c r="I105" s="787">
        <v>2794745.0667297249</v>
      </c>
      <c r="J105" s="787">
        <v>0</v>
      </c>
      <c r="K105" s="787">
        <v>135211.31666666665</v>
      </c>
      <c r="L105" s="787">
        <v>0</v>
      </c>
      <c r="M105" s="787">
        <v>318780</v>
      </c>
      <c r="N105" s="787">
        <v>76762.789999999994</v>
      </c>
      <c r="O105" s="787">
        <v>0</v>
      </c>
      <c r="P105" s="787">
        <v>0</v>
      </c>
      <c r="Q105" s="787">
        <v>14182</v>
      </c>
      <c r="R105" s="787">
        <v>19250</v>
      </c>
      <c r="S105" s="787">
        <v>0</v>
      </c>
      <c r="T105" s="787">
        <v>0</v>
      </c>
      <c r="U105" s="787">
        <v>21831</v>
      </c>
      <c r="V105" s="787">
        <v>0</v>
      </c>
      <c r="W105" s="787">
        <v>0</v>
      </c>
      <c r="X105" s="787">
        <v>3380762.1733963918</v>
      </c>
      <c r="Y105" s="787">
        <v>1183033.18</v>
      </c>
      <c r="Z105" s="787">
        <v>0</v>
      </c>
      <c r="AA105" s="787">
        <v>504193.55000000005</v>
      </c>
      <c r="AB105" s="787">
        <v>0</v>
      </c>
      <c r="AC105" s="787">
        <v>200255.62</v>
      </c>
      <c r="AD105" s="787">
        <v>94700.4</v>
      </c>
      <c r="AE105" s="787">
        <v>96365.23000000001</v>
      </c>
      <c r="AF105" s="787">
        <v>8369.64</v>
      </c>
      <c r="AG105" s="787">
        <v>10956</v>
      </c>
      <c r="AH105" s="787">
        <v>0</v>
      </c>
      <c r="AI105" s="787">
        <v>0</v>
      </c>
      <c r="AJ105" s="787">
        <v>16872.509999999998</v>
      </c>
      <c r="AK105" s="787">
        <v>0</v>
      </c>
      <c r="AL105" s="787">
        <v>0</v>
      </c>
      <c r="AM105" s="787">
        <v>18445.36</v>
      </c>
      <c r="AN105" s="787">
        <v>56375.39</v>
      </c>
      <c r="AO105" s="787">
        <v>46374.719999999994</v>
      </c>
      <c r="AP105" s="787">
        <v>12645.49</v>
      </c>
      <c r="AQ105" s="787">
        <v>159639.99</v>
      </c>
      <c r="AR105" s="787">
        <v>0</v>
      </c>
      <c r="AS105" s="787">
        <v>0</v>
      </c>
      <c r="AT105" s="787">
        <v>0</v>
      </c>
      <c r="AU105" s="787">
        <v>0</v>
      </c>
      <c r="AV105" s="787">
        <v>0</v>
      </c>
      <c r="AW105" s="787">
        <v>0</v>
      </c>
      <c r="AX105" s="787">
        <v>0</v>
      </c>
      <c r="AY105" s="787">
        <v>0</v>
      </c>
      <c r="AZ105" s="787">
        <v>18569.38</v>
      </c>
      <c r="BA105" s="787">
        <v>11654.94</v>
      </c>
      <c r="BB105" s="787">
        <v>0</v>
      </c>
      <c r="BC105" s="787">
        <v>71285.070000000007</v>
      </c>
      <c r="BD105" s="787">
        <v>204380.88</v>
      </c>
      <c r="BE105" s="787">
        <v>11195.420000000002</v>
      </c>
      <c r="BF105" s="787">
        <v>63127.1</v>
      </c>
      <c r="BG105" s="787">
        <v>438336</v>
      </c>
      <c r="BH105" s="787">
        <v>0</v>
      </c>
      <c r="BI105" s="787">
        <v>0</v>
      </c>
      <c r="BJ105" s="787">
        <v>3226775.8699999996</v>
      </c>
      <c r="BK105" s="787">
        <v>351829.37999999971</v>
      </c>
      <c r="BL105" s="787">
        <v>153986.30339639215</v>
      </c>
      <c r="BM105" s="787">
        <v>505815.68339639186</v>
      </c>
      <c r="BN105" s="787">
        <v>8601.25</v>
      </c>
      <c r="BO105" s="787">
        <v>0</v>
      </c>
      <c r="BP105" s="787">
        <v>0</v>
      </c>
      <c r="BQ105" s="787">
        <v>8601.25</v>
      </c>
      <c r="BR105" s="787">
        <v>0</v>
      </c>
      <c r="BS105" s="787">
        <v>0</v>
      </c>
      <c r="BT105" s="787">
        <v>0</v>
      </c>
      <c r="BU105" s="787">
        <v>0</v>
      </c>
      <c r="BV105" s="787">
        <v>0</v>
      </c>
      <c r="BW105" s="787">
        <v>30501.71</v>
      </c>
      <c r="BX105" s="787">
        <v>0</v>
      </c>
      <c r="BY105" s="787">
        <v>0</v>
      </c>
      <c r="BZ105" s="787">
        <v>30501.71</v>
      </c>
      <c r="CA105" s="787">
        <v>40863.799999999996</v>
      </c>
      <c r="CB105" s="787">
        <v>-21900.46</v>
      </c>
      <c r="CC105" s="787">
        <v>18963.339999999997</v>
      </c>
      <c r="CD105" s="787">
        <v>0</v>
      </c>
      <c r="CE105" s="787">
        <v>0</v>
      </c>
      <c r="CF105" s="787">
        <v>0</v>
      </c>
      <c r="CG105" s="787">
        <v>0</v>
      </c>
      <c r="CH105" s="787">
        <v>0</v>
      </c>
      <c r="CI105" s="787">
        <v>0</v>
      </c>
      <c r="CJ105" s="787">
        <v>0</v>
      </c>
      <c r="CK105" s="787">
        <v>0</v>
      </c>
      <c r="CL105" s="787">
        <v>0</v>
      </c>
      <c r="CM105" s="787">
        <v>505815.68339639186</v>
      </c>
      <c r="CN105" s="787">
        <v>0</v>
      </c>
      <c r="CO105" s="787">
        <v>18963</v>
      </c>
      <c r="CP105" s="787">
        <v>0.33999999999650754</v>
      </c>
      <c r="CQ105" s="787">
        <v>0</v>
      </c>
      <c r="CR105" s="787">
        <v>524779.02339639177</v>
      </c>
      <c r="CS105" s="787">
        <v>522036.75</v>
      </c>
      <c r="CT105" s="787">
        <v>39803.879999999997</v>
      </c>
      <c r="CU105" s="787">
        <v>0</v>
      </c>
      <c r="CV105" s="787">
        <v>482232.87</v>
      </c>
      <c r="CW105" s="787">
        <v>0</v>
      </c>
      <c r="CX105" s="787">
        <v>9240.83</v>
      </c>
      <c r="CY105" s="787">
        <v>4185.53</v>
      </c>
      <c r="CZ105" s="787">
        <v>0</v>
      </c>
      <c r="DA105" s="787">
        <v>0</v>
      </c>
      <c r="DB105" s="787">
        <v>495659.23000000004</v>
      </c>
      <c r="DC105" s="787">
        <v>234045.2</v>
      </c>
      <c r="DD105" s="787">
        <v>0</v>
      </c>
      <c r="DE105" s="787">
        <v>0</v>
      </c>
      <c r="DF105" s="787">
        <v>234045.2</v>
      </c>
      <c r="DG105" s="787"/>
      <c r="DH105" s="787"/>
      <c r="DI105" s="787"/>
      <c r="DJ105" s="787">
        <v>0</v>
      </c>
      <c r="DK105" s="787">
        <v>234045.2</v>
      </c>
      <c r="DL105" s="787">
        <v>0</v>
      </c>
      <c r="DM105" s="787">
        <v>0</v>
      </c>
      <c r="DN105" s="787">
        <v>0</v>
      </c>
      <c r="DO105" s="787">
        <v>0</v>
      </c>
      <c r="DP105" s="787">
        <v>-178774.62</v>
      </c>
      <c r="DQ105" s="787">
        <v>-26157.279999999999</v>
      </c>
      <c r="DR105" s="787">
        <v>0</v>
      </c>
      <c r="DS105" s="787">
        <v>0</v>
      </c>
      <c r="DT105" s="787">
        <v>-204931.9</v>
      </c>
      <c r="DU105" s="787">
        <v>6</v>
      </c>
      <c r="DV105" s="787">
        <v>0</v>
      </c>
      <c r="DW105" s="787">
        <v>0</v>
      </c>
      <c r="DX105" s="787">
        <v>0</v>
      </c>
      <c r="DY105" s="787">
        <v>0</v>
      </c>
      <c r="DZ105" s="787">
        <v>0</v>
      </c>
      <c r="EA105" s="787">
        <v>0.49339639174286276</v>
      </c>
      <c r="EE105">
        <f>_xlfn.XLOOKUP(C105,'[1]Cfwd Analysis'!$C:$C,'[1]Cfwd Analysis'!$I:$I,0,0)</f>
        <v>505815.68339639186</v>
      </c>
      <c r="EF105" s="788">
        <f t="shared" si="1"/>
        <v>0</v>
      </c>
    </row>
    <row r="106" spans="1:136" ht="15.6" hidden="1">
      <c r="A106" s="782" t="s">
        <v>1399</v>
      </c>
      <c r="B106" s="782" t="s">
        <v>708</v>
      </c>
      <c r="C106" s="783">
        <v>2406</v>
      </c>
      <c r="D106" s="784" t="s">
        <v>709</v>
      </c>
      <c r="E106" s="785" t="s">
        <v>521</v>
      </c>
      <c r="F106" s="786">
        <v>46094</v>
      </c>
      <c r="G106" s="785" t="s">
        <v>5</v>
      </c>
      <c r="H106" s="785" t="s">
        <v>720</v>
      </c>
      <c r="I106" s="787">
        <v>1305436.2672000004</v>
      </c>
      <c r="J106" s="787">
        <v>0</v>
      </c>
      <c r="K106" s="787">
        <v>74463.003333333327</v>
      </c>
      <c r="L106" s="787">
        <v>0</v>
      </c>
      <c r="M106" s="787">
        <v>150700</v>
      </c>
      <c r="N106" s="787">
        <v>40729.93</v>
      </c>
      <c r="O106" s="787">
        <v>0</v>
      </c>
      <c r="P106" s="787">
        <v>0</v>
      </c>
      <c r="Q106" s="787">
        <v>127888.07</v>
      </c>
      <c r="R106" s="787">
        <v>0</v>
      </c>
      <c r="S106" s="787">
        <v>0</v>
      </c>
      <c r="T106" s="787">
        <v>0</v>
      </c>
      <c r="U106" s="787">
        <v>16178</v>
      </c>
      <c r="V106" s="787">
        <v>0</v>
      </c>
      <c r="W106" s="787">
        <v>0</v>
      </c>
      <c r="X106" s="787">
        <v>1715395.2705333338</v>
      </c>
      <c r="Y106" s="787">
        <v>814188.78</v>
      </c>
      <c r="Z106" s="787">
        <v>0</v>
      </c>
      <c r="AA106" s="787">
        <v>344420.81</v>
      </c>
      <c r="AB106" s="787">
        <v>36469.879999999997</v>
      </c>
      <c r="AC106" s="787">
        <v>133325.21</v>
      </c>
      <c r="AD106" s="787">
        <v>0</v>
      </c>
      <c r="AE106" s="787">
        <v>49478.32</v>
      </c>
      <c r="AF106" s="787">
        <v>10412</v>
      </c>
      <c r="AG106" s="787">
        <v>0</v>
      </c>
      <c r="AH106" s="787">
        <v>0</v>
      </c>
      <c r="AI106" s="787">
        <v>0</v>
      </c>
      <c r="AJ106" s="787">
        <v>29868.9</v>
      </c>
      <c r="AK106" s="787">
        <v>1350</v>
      </c>
      <c r="AL106" s="787">
        <v>1250</v>
      </c>
      <c r="AM106" s="787">
        <v>3249</v>
      </c>
      <c r="AN106" s="787">
        <v>18389.419999999998</v>
      </c>
      <c r="AO106" s="787">
        <v>12359.449999999999</v>
      </c>
      <c r="AP106" s="787">
        <v>5114.28</v>
      </c>
      <c r="AQ106" s="787">
        <v>32898</v>
      </c>
      <c r="AR106" s="787">
        <v>0</v>
      </c>
      <c r="AS106" s="787">
        <v>0</v>
      </c>
      <c r="AT106" s="787">
        <v>0</v>
      </c>
      <c r="AU106" s="787">
        <v>0</v>
      </c>
      <c r="AV106" s="787">
        <v>0</v>
      </c>
      <c r="AW106" s="787">
        <v>0</v>
      </c>
      <c r="AX106" s="787">
        <v>0</v>
      </c>
      <c r="AY106" s="787">
        <v>0</v>
      </c>
      <c r="AZ106" s="787">
        <v>31980</v>
      </c>
      <c r="BA106" s="787">
        <v>5139.75</v>
      </c>
      <c r="BB106" s="787">
        <v>0</v>
      </c>
      <c r="BC106" s="787">
        <v>59970</v>
      </c>
      <c r="BD106" s="787">
        <v>6842</v>
      </c>
      <c r="BE106" s="787">
        <v>9788.16</v>
      </c>
      <c r="BF106" s="787">
        <v>141400</v>
      </c>
      <c r="BG106" s="787">
        <v>0</v>
      </c>
      <c r="BH106" s="787">
        <v>0</v>
      </c>
      <c r="BI106" s="787">
        <v>0</v>
      </c>
      <c r="BJ106" s="787">
        <v>1747893.9599999997</v>
      </c>
      <c r="BK106" s="787">
        <v>192586.37999999989</v>
      </c>
      <c r="BL106" s="787">
        <v>-32498.689466665965</v>
      </c>
      <c r="BM106" s="787">
        <v>160087.69053333392</v>
      </c>
      <c r="BN106" s="787">
        <v>6283.75</v>
      </c>
      <c r="BO106" s="787">
        <v>0</v>
      </c>
      <c r="BP106" s="787">
        <v>0</v>
      </c>
      <c r="BQ106" s="787">
        <v>6283.75</v>
      </c>
      <c r="BR106" s="787">
        <v>0</v>
      </c>
      <c r="BS106" s="787">
        <v>0</v>
      </c>
      <c r="BT106" s="787">
        <v>0</v>
      </c>
      <c r="BU106" s="787">
        <v>0</v>
      </c>
      <c r="BV106" s="787">
        <v>0</v>
      </c>
      <c r="BW106" s="787">
        <v>0</v>
      </c>
      <c r="BX106" s="787">
        <v>0</v>
      </c>
      <c r="BY106" s="787">
        <v>0</v>
      </c>
      <c r="BZ106" s="787">
        <v>0</v>
      </c>
      <c r="CA106" s="787">
        <v>8218</v>
      </c>
      <c r="CB106" s="787">
        <v>6283.75</v>
      </c>
      <c r="CC106" s="787">
        <v>14501.75</v>
      </c>
      <c r="CD106" s="787">
        <v>0</v>
      </c>
      <c r="CE106" s="787">
        <v>0</v>
      </c>
      <c r="CF106" s="787">
        <v>0</v>
      </c>
      <c r="CG106" s="787">
        <v>0</v>
      </c>
      <c r="CH106" s="787">
        <v>0</v>
      </c>
      <c r="CI106" s="787">
        <v>0</v>
      </c>
      <c r="CJ106" s="787">
        <v>0</v>
      </c>
      <c r="CK106" s="787">
        <v>0</v>
      </c>
      <c r="CL106" s="787">
        <v>0</v>
      </c>
      <c r="CM106" s="787">
        <v>160087.69053333392</v>
      </c>
      <c r="CN106" s="787">
        <v>0</v>
      </c>
      <c r="CO106" s="787">
        <v>14501.75</v>
      </c>
      <c r="CP106" s="787">
        <v>0</v>
      </c>
      <c r="CQ106" s="787">
        <v>0</v>
      </c>
      <c r="CR106" s="787">
        <v>174589.44053333392</v>
      </c>
      <c r="CS106" s="787">
        <v>326306.36</v>
      </c>
      <c r="CT106" s="787">
        <v>0</v>
      </c>
      <c r="CU106" s="787">
        <v>0</v>
      </c>
      <c r="CV106" s="787">
        <v>326306.36</v>
      </c>
      <c r="CW106" s="787">
        <v>0</v>
      </c>
      <c r="CX106" s="787">
        <v>9007.8700000000008</v>
      </c>
      <c r="CY106" s="787">
        <v>2498.5300000000002</v>
      </c>
      <c r="CZ106" s="787">
        <v>2524.88</v>
      </c>
      <c r="DA106" s="787">
        <v>0</v>
      </c>
      <c r="DB106" s="787">
        <v>340337.64</v>
      </c>
      <c r="DC106" s="787">
        <v>0</v>
      </c>
      <c r="DD106" s="787">
        <v>0</v>
      </c>
      <c r="DE106" s="787">
        <v>0</v>
      </c>
      <c r="DF106" s="787">
        <v>0</v>
      </c>
      <c r="DG106" s="787"/>
      <c r="DH106" s="787"/>
      <c r="DI106" s="787"/>
      <c r="DJ106" s="787">
        <v>0</v>
      </c>
      <c r="DK106" s="787">
        <v>0</v>
      </c>
      <c r="DL106" s="787">
        <v>0</v>
      </c>
      <c r="DM106" s="787">
        <v>0</v>
      </c>
      <c r="DN106" s="787">
        <v>0</v>
      </c>
      <c r="DO106" s="787">
        <v>0</v>
      </c>
      <c r="DP106" s="787">
        <v>-140634.34</v>
      </c>
      <c r="DQ106" s="787">
        <v>-1204.28</v>
      </c>
      <c r="DR106" s="787">
        <v>0</v>
      </c>
      <c r="DS106" s="787">
        <v>0</v>
      </c>
      <c r="DT106" s="787">
        <v>-141838.62</v>
      </c>
      <c r="DU106" s="787">
        <v>0</v>
      </c>
      <c r="DV106" s="787">
        <v>0</v>
      </c>
      <c r="DW106" s="787">
        <v>-72.849999999999994</v>
      </c>
      <c r="DX106" s="787">
        <v>0</v>
      </c>
      <c r="DY106" s="787">
        <v>0</v>
      </c>
      <c r="DZ106" s="787">
        <v>-23837.15</v>
      </c>
      <c r="EA106" s="787">
        <v>0.42053333390504122</v>
      </c>
      <c r="EE106">
        <f>_xlfn.XLOOKUP(C106,'[1]Cfwd Analysis'!$C:$C,'[1]Cfwd Analysis'!$I:$I,0,0)</f>
        <v>160087.69053333392</v>
      </c>
      <c r="EF106" s="788">
        <f t="shared" si="1"/>
        <v>0</v>
      </c>
    </row>
    <row r="107" spans="1:136" ht="15.6" hidden="1">
      <c r="A107" s="782" t="s">
        <v>1400</v>
      </c>
      <c r="B107" s="782" t="s">
        <v>710</v>
      </c>
      <c r="C107" s="783">
        <v>2416</v>
      </c>
      <c r="D107" s="784" t="s">
        <v>711</v>
      </c>
      <c r="E107" s="785" t="s">
        <v>521</v>
      </c>
      <c r="F107" s="786">
        <v>46091</v>
      </c>
      <c r="G107" s="785" t="s">
        <v>5</v>
      </c>
      <c r="H107" s="785" t="s">
        <v>722</v>
      </c>
      <c r="I107" s="787">
        <v>2190120.7999999993</v>
      </c>
      <c r="J107" s="787">
        <v>0</v>
      </c>
      <c r="K107" s="787">
        <v>95159.333333333328</v>
      </c>
      <c r="L107" s="787">
        <v>0</v>
      </c>
      <c r="M107" s="787">
        <v>66525</v>
      </c>
      <c r="N107" s="787">
        <v>96225</v>
      </c>
      <c r="O107" s="787">
        <v>31774.34</v>
      </c>
      <c r="P107" s="787">
        <v>22481</v>
      </c>
      <c r="Q107" s="787">
        <v>227951.35999999999</v>
      </c>
      <c r="R107" s="787">
        <v>65852.36</v>
      </c>
      <c r="S107" s="787">
        <v>0</v>
      </c>
      <c r="T107" s="787">
        <v>0</v>
      </c>
      <c r="U107" s="787">
        <v>53299.09</v>
      </c>
      <c r="V107" s="787">
        <v>7525</v>
      </c>
      <c r="W107" s="787">
        <v>0</v>
      </c>
      <c r="X107" s="787">
        <v>2856913.2833333323</v>
      </c>
      <c r="Y107" s="787">
        <v>1159434.6399999999</v>
      </c>
      <c r="Z107" s="787">
        <v>0</v>
      </c>
      <c r="AA107" s="787">
        <v>385211.58999999997</v>
      </c>
      <c r="AB107" s="787">
        <v>23045.54</v>
      </c>
      <c r="AC107" s="787">
        <v>129567.83</v>
      </c>
      <c r="AD107" s="787">
        <v>0</v>
      </c>
      <c r="AE107" s="787">
        <v>153621.9</v>
      </c>
      <c r="AF107" s="787">
        <v>1259.9000000000001</v>
      </c>
      <c r="AG107" s="787">
        <v>4182.96</v>
      </c>
      <c r="AH107" s="787">
        <v>0</v>
      </c>
      <c r="AI107" s="787">
        <v>0</v>
      </c>
      <c r="AJ107" s="787">
        <v>20277.7</v>
      </c>
      <c r="AK107" s="787">
        <v>5352.17</v>
      </c>
      <c r="AL107" s="787">
        <v>59784.88</v>
      </c>
      <c r="AM107" s="787">
        <v>6038.5700000000006</v>
      </c>
      <c r="AN107" s="787">
        <v>40371</v>
      </c>
      <c r="AO107" s="787">
        <v>32594.799999999999</v>
      </c>
      <c r="AP107" s="787">
        <v>4923.8599999999997</v>
      </c>
      <c r="AQ107" s="787">
        <v>85301.11</v>
      </c>
      <c r="AR107" s="787">
        <v>27776.69</v>
      </c>
      <c r="AS107" s="787">
        <v>0</v>
      </c>
      <c r="AT107" s="787">
        <v>0</v>
      </c>
      <c r="AU107" s="787">
        <v>0</v>
      </c>
      <c r="AV107" s="787">
        <v>0</v>
      </c>
      <c r="AW107" s="787">
        <v>0</v>
      </c>
      <c r="AX107" s="787">
        <v>0</v>
      </c>
      <c r="AY107" s="787">
        <v>0</v>
      </c>
      <c r="AZ107" s="787">
        <v>23846.82</v>
      </c>
      <c r="BA107" s="787">
        <v>11448</v>
      </c>
      <c r="BB107" s="787">
        <v>0</v>
      </c>
      <c r="BC107" s="787">
        <v>143602.65</v>
      </c>
      <c r="BD107" s="787">
        <v>239013.7</v>
      </c>
      <c r="BE107" s="787">
        <v>35457.920000000006</v>
      </c>
      <c r="BF107" s="787">
        <v>206863.44</v>
      </c>
      <c r="BG107" s="787">
        <v>0</v>
      </c>
      <c r="BH107" s="787">
        <v>0</v>
      </c>
      <c r="BI107" s="787">
        <v>0</v>
      </c>
      <c r="BJ107" s="787">
        <v>2798977.6699999995</v>
      </c>
      <c r="BK107" s="787">
        <v>57711.910000000149</v>
      </c>
      <c r="BL107" s="787">
        <v>57935.613333332818</v>
      </c>
      <c r="BM107" s="787">
        <v>115647.52333333297</v>
      </c>
      <c r="BN107" s="787">
        <v>8466.25</v>
      </c>
      <c r="BO107" s="787">
        <v>0</v>
      </c>
      <c r="BP107" s="787">
        <v>0</v>
      </c>
      <c r="BQ107" s="787">
        <v>8466.25</v>
      </c>
      <c r="BR107" s="787">
        <v>0</v>
      </c>
      <c r="BS107" s="787">
        <v>0</v>
      </c>
      <c r="BT107" s="787">
        <v>0</v>
      </c>
      <c r="BU107" s="787">
        <v>0</v>
      </c>
      <c r="BV107" s="787">
        <v>0</v>
      </c>
      <c r="BW107" s="787">
        <v>0</v>
      </c>
      <c r="BX107" s="787">
        <v>0</v>
      </c>
      <c r="BY107" s="787">
        <v>0</v>
      </c>
      <c r="BZ107" s="787">
        <v>0</v>
      </c>
      <c r="CA107" s="787">
        <v>19658</v>
      </c>
      <c r="CB107" s="787">
        <v>8466.25</v>
      </c>
      <c r="CC107" s="787">
        <v>28124.25</v>
      </c>
      <c r="CD107" s="787">
        <v>0</v>
      </c>
      <c r="CE107" s="787">
        <v>0</v>
      </c>
      <c r="CF107" s="787">
        <v>0</v>
      </c>
      <c r="CG107" s="787">
        <v>0</v>
      </c>
      <c r="CH107" s="787">
        <v>0</v>
      </c>
      <c r="CI107" s="787">
        <v>0</v>
      </c>
      <c r="CJ107" s="787">
        <v>0</v>
      </c>
      <c r="CK107" s="787">
        <v>0</v>
      </c>
      <c r="CL107" s="787">
        <v>0</v>
      </c>
      <c r="CM107" s="787">
        <v>115647.52333333297</v>
      </c>
      <c r="CN107" s="787">
        <v>0</v>
      </c>
      <c r="CO107" s="787">
        <v>28124.25</v>
      </c>
      <c r="CP107" s="787">
        <v>0</v>
      </c>
      <c r="CQ107" s="787">
        <v>0</v>
      </c>
      <c r="CR107" s="787">
        <v>143771.77333333297</v>
      </c>
      <c r="CS107" s="787">
        <v>330735.82999999996</v>
      </c>
      <c r="CT107" s="787">
        <v>148227.96</v>
      </c>
      <c r="CU107" s="787">
        <v>68446.22</v>
      </c>
      <c r="CV107" s="787">
        <v>250954.08999999997</v>
      </c>
      <c r="CW107" s="787">
        <v>0</v>
      </c>
      <c r="CX107" s="787">
        <v>26106.04</v>
      </c>
      <c r="CY107" s="787">
        <v>7896.88</v>
      </c>
      <c r="CZ107" s="787">
        <v>0</v>
      </c>
      <c r="DA107" s="787">
        <v>0</v>
      </c>
      <c r="DB107" s="787">
        <v>284957.00999999995</v>
      </c>
      <c r="DC107" s="787">
        <v>63110.47</v>
      </c>
      <c r="DD107" s="787">
        <v>0</v>
      </c>
      <c r="DE107" s="787">
        <v>0</v>
      </c>
      <c r="DF107" s="787">
        <v>63110.47</v>
      </c>
      <c r="DG107" s="787"/>
      <c r="DH107" s="787"/>
      <c r="DI107" s="787"/>
      <c r="DJ107" s="787">
        <v>0</v>
      </c>
      <c r="DK107" s="787">
        <v>63110.47</v>
      </c>
      <c r="DL107" s="787">
        <v>0</v>
      </c>
      <c r="DM107" s="787">
        <v>0</v>
      </c>
      <c r="DN107" s="787">
        <v>0</v>
      </c>
      <c r="DO107" s="787">
        <v>0</v>
      </c>
      <c r="DP107" s="787">
        <v>-23121.15</v>
      </c>
      <c r="DQ107" s="787">
        <v>0</v>
      </c>
      <c r="DR107" s="787">
        <v>0</v>
      </c>
      <c r="DS107" s="787">
        <v>0</v>
      </c>
      <c r="DT107" s="787">
        <v>-23121.15</v>
      </c>
      <c r="DU107" s="787">
        <v>0</v>
      </c>
      <c r="DV107" s="787">
        <v>0</v>
      </c>
      <c r="DW107" s="787">
        <v>-43274.080000000002</v>
      </c>
      <c r="DX107" s="787">
        <v>0</v>
      </c>
      <c r="DY107" s="787">
        <v>12479</v>
      </c>
      <c r="DZ107" s="787">
        <v>-150379</v>
      </c>
      <c r="EA107" s="787">
        <v>-0.47666666697477922</v>
      </c>
      <c r="EE107">
        <f>_xlfn.XLOOKUP(C107,'[1]Cfwd Analysis'!$C:$C,'[1]Cfwd Analysis'!$I:$I,0,0)</f>
        <v>115647.52333333297</v>
      </c>
      <c r="EF107" s="788">
        <f t="shared" si="1"/>
        <v>0</v>
      </c>
    </row>
    <row r="108" spans="1:136" ht="15.6" hidden="1">
      <c r="A108" s="782" t="s">
        <v>1401</v>
      </c>
      <c r="B108" s="782" t="s">
        <v>712</v>
      </c>
      <c r="C108" s="783">
        <v>3003</v>
      </c>
      <c r="D108" s="784" t="s">
        <v>713</v>
      </c>
      <c r="E108" s="785" t="s">
        <v>521</v>
      </c>
      <c r="F108" s="786" t="s">
        <v>1402</v>
      </c>
      <c r="G108" s="785" t="s">
        <v>5</v>
      </c>
      <c r="H108" s="785" t="s">
        <v>726</v>
      </c>
      <c r="I108" s="787">
        <v>1155479.0124784687</v>
      </c>
      <c r="J108" s="787">
        <v>0</v>
      </c>
      <c r="K108" s="787">
        <v>71780.801666666666</v>
      </c>
      <c r="L108" s="787">
        <v>0</v>
      </c>
      <c r="M108" s="787">
        <v>57420</v>
      </c>
      <c r="N108" s="787">
        <v>54302</v>
      </c>
      <c r="O108" s="787">
        <v>0</v>
      </c>
      <c r="P108" s="787">
        <v>0</v>
      </c>
      <c r="Q108" s="787">
        <v>3465.07</v>
      </c>
      <c r="R108" s="787">
        <v>35924.03</v>
      </c>
      <c r="S108" s="787">
        <v>0</v>
      </c>
      <c r="T108" s="787">
        <v>0</v>
      </c>
      <c r="U108" s="787">
        <v>131095.29999999999</v>
      </c>
      <c r="V108" s="787">
        <v>27594.28</v>
      </c>
      <c r="W108" s="787">
        <v>0</v>
      </c>
      <c r="X108" s="787">
        <v>1537060.4941451356</v>
      </c>
      <c r="Y108" s="787">
        <v>649452.29</v>
      </c>
      <c r="Z108" s="787">
        <v>0</v>
      </c>
      <c r="AA108" s="787">
        <v>169479.9</v>
      </c>
      <c r="AB108" s="787">
        <v>67805.66</v>
      </c>
      <c r="AC108" s="787">
        <v>96664.14</v>
      </c>
      <c r="AD108" s="787">
        <v>0</v>
      </c>
      <c r="AE108" s="787">
        <v>55806.27</v>
      </c>
      <c r="AF108" s="787">
        <v>3758.52</v>
      </c>
      <c r="AG108" s="787">
        <v>2780</v>
      </c>
      <c r="AH108" s="787">
        <v>0</v>
      </c>
      <c r="AI108" s="787">
        <v>0</v>
      </c>
      <c r="AJ108" s="787">
        <v>12718.25</v>
      </c>
      <c r="AK108" s="787">
        <v>2800.06</v>
      </c>
      <c r="AL108" s="787">
        <v>1024.02</v>
      </c>
      <c r="AM108" s="787">
        <v>1669.69</v>
      </c>
      <c r="AN108" s="787">
        <v>11828.83</v>
      </c>
      <c r="AO108" s="787">
        <v>49289.69999999999</v>
      </c>
      <c r="AP108" s="787">
        <v>7582.5</v>
      </c>
      <c r="AQ108" s="787">
        <v>32728.15</v>
      </c>
      <c r="AR108" s="787">
        <v>0</v>
      </c>
      <c r="AS108" s="787">
        <v>0</v>
      </c>
      <c r="AT108" s="787">
        <v>0</v>
      </c>
      <c r="AU108" s="787">
        <v>630.21</v>
      </c>
      <c r="AV108" s="787">
        <v>0</v>
      </c>
      <c r="AW108" s="787">
        <v>1427.84</v>
      </c>
      <c r="AX108" s="787">
        <v>0</v>
      </c>
      <c r="AY108" s="787">
        <v>0</v>
      </c>
      <c r="AZ108" s="787">
        <v>38947.9</v>
      </c>
      <c r="BA108" s="787">
        <v>5139.75</v>
      </c>
      <c r="BB108" s="787">
        <v>2645</v>
      </c>
      <c r="BC108" s="787">
        <v>102646.65</v>
      </c>
      <c r="BD108" s="787">
        <v>24910.38</v>
      </c>
      <c r="BE108" s="787">
        <v>5476.7999999999984</v>
      </c>
      <c r="BF108" s="787">
        <v>193983.98</v>
      </c>
      <c r="BG108" s="787">
        <v>0</v>
      </c>
      <c r="BH108" s="787">
        <v>0</v>
      </c>
      <c r="BI108" s="787">
        <v>0</v>
      </c>
      <c r="BJ108" s="787">
        <v>1541196.49</v>
      </c>
      <c r="BK108" s="787">
        <v>-4257.9900000001217</v>
      </c>
      <c r="BL108" s="787">
        <v>-4135.9958548643626</v>
      </c>
      <c r="BM108" s="787">
        <v>-8393.9858548644843</v>
      </c>
      <c r="BN108" s="787">
        <v>0</v>
      </c>
      <c r="BO108" s="787">
        <v>0</v>
      </c>
      <c r="BP108" s="787">
        <v>0</v>
      </c>
      <c r="BQ108" s="787">
        <v>0</v>
      </c>
      <c r="BR108" s="787">
        <v>0</v>
      </c>
      <c r="BS108" s="787">
        <v>0</v>
      </c>
      <c r="BT108" s="787">
        <v>0</v>
      </c>
      <c r="BU108" s="787">
        <v>0</v>
      </c>
      <c r="BV108" s="787">
        <v>0</v>
      </c>
      <c r="BW108" s="787">
        <v>0</v>
      </c>
      <c r="BX108" s="787">
        <v>0</v>
      </c>
      <c r="BY108" s="787">
        <v>0</v>
      </c>
      <c r="BZ108" s="787">
        <v>0</v>
      </c>
      <c r="CA108" s="787">
        <v>0</v>
      </c>
      <c r="CB108" s="787">
        <v>0</v>
      </c>
      <c r="CC108" s="787">
        <v>0</v>
      </c>
      <c r="CD108" s="787">
        <v>0</v>
      </c>
      <c r="CE108" s="787">
        <v>0</v>
      </c>
      <c r="CF108" s="787">
        <v>0</v>
      </c>
      <c r="CG108" s="787">
        <v>0</v>
      </c>
      <c r="CH108" s="787">
        <v>0</v>
      </c>
      <c r="CI108" s="787">
        <v>0</v>
      </c>
      <c r="CJ108" s="787">
        <v>0</v>
      </c>
      <c r="CK108" s="787">
        <v>0</v>
      </c>
      <c r="CL108" s="787">
        <v>0</v>
      </c>
      <c r="CM108" s="787">
        <v>0</v>
      </c>
      <c r="CN108" s="787">
        <v>-8393.9858548644843</v>
      </c>
      <c r="CO108" s="787">
        <v>0</v>
      </c>
      <c r="CP108" s="787">
        <v>0</v>
      </c>
      <c r="CQ108" s="787">
        <v>0</v>
      </c>
      <c r="CR108" s="787">
        <v>-8393.9858548644843</v>
      </c>
      <c r="CS108" s="787">
        <v>179836.84</v>
      </c>
      <c r="CT108" s="787">
        <v>58104.65</v>
      </c>
      <c r="CU108" s="787">
        <v>0</v>
      </c>
      <c r="CV108" s="787">
        <v>121732.19</v>
      </c>
      <c r="CW108" s="787">
        <v>0</v>
      </c>
      <c r="CX108" s="787">
        <v>530.04</v>
      </c>
      <c r="CY108" s="787">
        <v>2723.84</v>
      </c>
      <c r="CZ108" s="787">
        <v>2488</v>
      </c>
      <c r="DA108" s="787">
        <v>0</v>
      </c>
      <c r="DB108" s="787">
        <v>127474.06999999999</v>
      </c>
      <c r="DC108" s="787">
        <v>0</v>
      </c>
      <c r="DD108" s="787">
        <v>0</v>
      </c>
      <c r="DE108" s="787">
        <v>0</v>
      </c>
      <c r="DF108" s="787">
        <v>0</v>
      </c>
      <c r="DG108" s="787"/>
      <c r="DH108" s="787"/>
      <c r="DI108" s="787"/>
      <c r="DJ108" s="787">
        <v>0</v>
      </c>
      <c r="DK108" s="787">
        <v>0</v>
      </c>
      <c r="DL108" s="787">
        <v>0</v>
      </c>
      <c r="DM108" s="787">
        <v>0</v>
      </c>
      <c r="DN108" s="787">
        <v>0</v>
      </c>
      <c r="DO108" s="787">
        <v>0</v>
      </c>
      <c r="DP108" s="787">
        <v>-99549.83</v>
      </c>
      <c r="DQ108" s="787">
        <v>-29957.49</v>
      </c>
      <c r="DR108" s="787">
        <v>0</v>
      </c>
      <c r="DS108" s="787">
        <v>0</v>
      </c>
      <c r="DT108" s="787">
        <v>-129507.32</v>
      </c>
      <c r="DU108" s="787">
        <v>0</v>
      </c>
      <c r="DV108" s="787">
        <v>0</v>
      </c>
      <c r="DW108" s="787">
        <v>0</v>
      </c>
      <c r="DX108" s="787">
        <v>-6361.16</v>
      </c>
      <c r="DY108" s="787">
        <v>0</v>
      </c>
      <c r="DZ108" s="787">
        <v>0</v>
      </c>
      <c r="EA108" s="787">
        <v>0.4241451355337631</v>
      </c>
      <c r="EE108">
        <f>_xlfn.XLOOKUP(C108,'[1]Cfwd Analysis'!$C:$C,'[1]Cfwd Analysis'!$I:$I,0,0)</f>
        <v>-8393.9858548644843</v>
      </c>
      <c r="EF108" s="788">
        <f t="shared" si="1"/>
        <v>0</v>
      </c>
    </row>
    <row r="109" spans="1:136" ht="15.6" hidden="1">
      <c r="A109" s="782" t="s">
        <v>1403</v>
      </c>
      <c r="B109" s="782" t="s">
        <v>714</v>
      </c>
      <c r="C109" s="783">
        <v>4245</v>
      </c>
      <c r="D109" s="784" t="s">
        <v>715</v>
      </c>
      <c r="E109" s="785" t="s">
        <v>521</v>
      </c>
      <c r="F109" s="786">
        <v>46094</v>
      </c>
      <c r="G109" s="785" t="s">
        <v>5</v>
      </c>
      <c r="H109" s="785" t="s">
        <v>728</v>
      </c>
      <c r="I109" s="787">
        <v>10655812.985681806</v>
      </c>
      <c r="J109" s="787">
        <v>1482588.29</v>
      </c>
      <c r="K109" s="787">
        <v>187623.58333333334</v>
      </c>
      <c r="L109" s="787">
        <v>0</v>
      </c>
      <c r="M109" s="787">
        <v>844029</v>
      </c>
      <c r="N109" s="787">
        <v>12226.289999999999</v>
      </c>
      <c r="O109" s="787">
        <v>204485</v>
      </c>
      <c r="P109" s="787">
        <v>283294</v>
      </c>
      <c r="Q109" s="787">
        <v>3064.37</v>
      </c>
      <c r="R109" s="787">
        <v>0</v>
      </c>
      <c r="S109" s="787">
        <v>0</v>
      </c>
      <c r="T109" s="787">
        <v>0</v>
      </c>
      <c r="U109" s="787">
        <v>0</v>
      </c>
      <c r="V109" s="787">
        <v>0</v>
      </c>
      <c r="W109" s="787">
        <v>0</v>
      </c>
      <c r="X109" s="787">
        <v>13673123.519015137</v>
      </c>
      <c r="Y109" s="787">
        <v>7432161.25</v>
      </c>
      <c r="Z109" s="787">
        <v>0</v>
      </c>
      <c r="AA109" s="787">
        <v>2126308.7400000002</v>
      </c>
      <c r="AB109" s="787">
        <v>491170.88</v>
      </c>
      <c r="AC109" s="787">
        <v>904117.45</v>
      </c>
      <c r="AD109" s="787">
        <v>0</v>
      </c>
      <c r="AE109" s="787">
        <v>0</v>
      </c>
      <c r="AF109" s="787">
        <v>229656.91</v>
      </c>
      <c r="AG109" s="787">
        <v>23776</v>
      </c>
      <c r="AH109" s="787">
        <v>0</v>
      </c>
      <c r="AI109" s="787">
        <v>0</v>
      </c>
      <c r="AJ109" s="787">
        <v>834155.9</v>
      </c>
      <c r="AK109" s="787">
        <v>13490</v>
      </c>
      <c r="AL109" s="787">
        <v>28453</v>
      </c>
      <c r="AM109" s="787">
        <v>27056.080000000002</v>
      </c>
      <c r="AN109" s="787">
        <v>203051</v>
      </c>
      <c r="AO109" s="787">
        <v>22895.860000000004</v>
      </c>
      <c r="AP109" s="787">
        <v>43899</v>
      </c>
      <c r="AQ109" s="787">
        <v>392784</v>
      </c>
      <c r="AR109" s="787">
        <v>172499</v>
      </c>
      <c r="AS109" s="787">
        <v>9500</v>
      </c>
      <c r="AT109" s="787">
        <v>0</v>
      </c>
      <c r="AU109" s="787">
        <v>0</v>
      </c>
      <c r="AV109" s="787">
        <v>0</v>
      </c>
      <c r="AW109" s="787">
        <v>0</v>
      </c>
      <c r="AX109" s="787">
        <v>0</v>
      </c>
      <c r="AY109" s="787">
        <v>203411</v>
      </c>
      <c r="AZ109" s="787">
        <v>256986</v>
      </c>
      <c r="BA109" s="787">
        <v>55983</v>
      </c>
      <c r="BB109" s="787">
        <v>8220</v>
      </c>
      <c r="BC109" s="787">
        <v>319867</v>
      </c>
      <c r="BD109" s="787">
        <v>0</v>
      </c>
      <c r="BE109" s="787">
        <v>211196.72999999998</v>
      </c>
      <c r="BF109" s="787">
        <v>149850</v>
      </c>
      <c r="BG109" s="787">
        <v>0</v>
      </c>
      <c r="BH109" s="787">
        <v>0</v>
      </c>
      <c r="BI109" s="787">
        <v>20548</v>
      </c>
      <c r="BJ109" s="787">
        <v>14181036.800000001</v>
      </c>
      <c r="BK109" s="787">
        <v>3970910.9200000027</v>
      </c>
      <c r="BL109" s="787">
        <v>-507913.28098486364</v>
      </c>
      <c r="BM109" s="787">
        <v>3462997.6390151391</v>
      </c>
      <c r="BN109" s="787">
        <v>29633.13</v>
      </c>
      <c r="BO109" s="787">
        <v>0</v>
      </c>
      <c r="BP109" s="787">
        <v>20548</v>
      </c>
      <c r="BQ109" s="787">
        <v>50181.130000000005</v>
      </c>
      <c r="BR109" s="787">
        <v>20548</v>
      </c>
      <c r="BS109" s="787">
        <v>0</v>
      </c>
      <c r="BT109" s="787">
        <v>144115</v>
      </c>
      <c r="BU109" s="787">
        <v>0</v>
      </c>
      <c r="BV109" s="787">
        <v>0</v>
      </c>
      <c r="BW109" s="787">
        <v>0</v>
      </c>
      <c r="BX109" s="787">
        <v>0</v>
      </c>
      <c r="BY109" s="787">
        <v>0</v>
      </c>
      <c r="BZ109" s="787">
        <v>164663</v>
      </c>
      <c r="CA109" s="787">
        <v>144115.06</v>
      </c>
      <c r="CB109" s="787">
        <v>-114481.87</v>
      </c>
      <c r="CC109" s="787">
        <v>29633.190000000002</v>
      </c>
      <c r="CD109" s="787">
        <v>0</v>
      </c>
      <c r="CE109" s="787">
        <v>0</v>
      </c>
      <c r="CF109" s="787">
        <v>0</v>
      </c>
      <c r="CG109" s="787">
        <v>0</v>
      </c>
      <c r="CH109" s="787">
        <v>0</v>
      </c>
      <c r="CI109" s="787">
        <v>0</v>
      </c>
      <c r="CJ109" s="787">
        <v>0</v>
      </c>
      <c r="CK109" s="787">
        <v>0</v>
      </c>
      <c r="CL109" s="787">
        <v>0</v>
      </c>
      <c r="CM109" s="787">
        <v>3462997.6390151391</v>
      </c>
      <c r="CN109" s="787">
        <v>0</v>
      </c>
      <c r="CO109" s="787">
        <v>29633</v>
      </c>
      <c r="CP109" s="787">
        <v>0.19000000000232831</v>
      </c>
      <c r="CQ109" s="787">
        <v>0</v>
      </c>
      <c r="CR109" s="787">
        <v>3492630.829015139</v>
      </c>
      <c r="CS109" s="787">
        <v>2643579</v>
      </c>
      <c r="CT109" s="787">
        <v>34628.449999999997</v>
      </c>
      <c r="CU109" s="787">
        <v>0</v>
      </c>
      <c r="CV109" s="787">
        <v>2608950.5499999998</v>
      </c>
      <c r="CW109" s="787">
        <v>0</v>
      </c>
      <c r="CX109" s="787">
        <v>42461.56</v>
      </c>
      <c r="CY109" s="787">
        <v>18120.78</v>
      </c>
      <c r="CZ109" s="787">
        <v>0</v>
      </c>
      <c r="DA109" s="787">
        <v>0</v>
      </c>
      <c r="DB109" s="787">
        <v>2669532.8899999997</v>
      </c>
      <c r="DC109" s="787">
        <v>2090747.52</v>
      </c>
      <c r="DD109" s="787">
        <v>0</v>
      </c>
      <c r="DE109" s="787">
        <v>0</v>
      </c>
      <c r="DF109" s="787">
        <v>2090747.52</v>
      </c>
      <c r="DG109" s="787"/>
      <c r="DH109" s="787"/>
      <c r="DI109" s="787"/>
      <c r="DJ109" s="787">
        <v>0</v>
      </c>
      <c r="DK109" s="787">
        <v>2090747.52</v>
      </c>
      <c r="DL109" s="787">
        <v>3064.37</v>
      </c>
      <c r="DM109" s="787">
        <v>0</v>
      </c>
      <c r="DN109" s="787">
        <v>0</v>
      </c>
      <c r="DO109" s="787">
        <v>0</v>
      </c>
      <c r="DP109" s="787">
        <v>-1056610.49</v>
      </c>
      <c r="DQ109" s="787">
        <v>0</v>
      </c>
      <c r="DR109" s="787">
        <v>0</v>
      </c>
      <c r="DS109" s="787">
        <v>0</v>
      </c>
      <c r="DT109" s="787">
        <v>-1053546.1199999999</v>
      </c>
      <c r="DU109" s="787">
        <v>0</v>
      </c>
      <c r="DV109" s="787">
        <v>0</v>
      </c>
      <c r="DW109" s="787">
        <v>0</v>
      </c>
      <c r="DX109" s="787">
        <v>0</v>
      </c>
      <c r="DY109" s="787">
        <v>0</v>
      </c>
      <c r="DZ109" s="787">
        <v>-214103.11</v>
      </c>
      <c r="EA109" s="787">
        <v>-0.35098486114293337</v>
      </c>
      <c r="EE109">
        <f>_xlfn.XLOOKUP(C109,'[1]Cfwd Analysis'!$C:$C,'[1]Cfwd Analysis'!$I:$I,0,0)</f>
        <v>3462997.6390151391</v>
      </c>
      <c r="EF109" s="788">
        <f t="shared" si="1"/>
        <v>0</v>
      </c>
    </row>
    <row r="110" spans="1:136" ht="15.6" hidden="1">
      <c r="A110" s="782" t="s">
        <v>1404</v>
      </c>
      <c r="B110" s="782" t="s">
        <v>716</v>
      </c>
      <c r="C110" s="783">
        <v>2457</v>
      </c>
      <c r="D110" s="784" t="s">
        <v>717</v>
      </c>
      <c r="E110" s="785" t="s">
        <v>521</v>
      </c>
      <c r="F110" s="786" t="s">
        <v>1322</v>
      </c>
      <c r="G110" s="785" t="s">
        <v>5</v>
      </c>
      <c r="H110" s="785" t="s">
        <v>730</v>
      </c>
      <c r="I110" s="787">
        <v>2699046.1799999997</v>
      </c>
      <c r="J110" s="787">
        <v>0</v>
      </c>
      <c r="K110" s="787">
        <v>280486.09000000003</v>
      </c>
      <c r="L110" s="787">
        <v>0</v>
      </c>
      <c r="M110" s="787">
        <v>301030</v>
      </c>
      <c r="N110" s="787">
        <v>73306.86</v>
      </c>
      <c r="O110" s="787">
        <v>0</v>
      </c>
      <c r="P110" s="787">
        <v>0</v>
      </c>
      <c r="Q110" s="787">
        <v>70875.430000000008</v>
      </c>
      <c r="R110" s="787">
        <v>0</v>
      </c>
      <c r="S110" s="787">
        <v>0</v>
      </c>
      <c r="T110" s="787">
        <v>0</v>
      </c>
      <c r="U110" s="787">
        <v>12617.91</v>
      </c>
      <c r="V110" s="787">
        <v>51047.69</v>
      </c>
      <c r="W110" s="787">
        <v>0</v>
      </c>
      <c r="X110" s="787">
        <v>3488410.1599999997</v>
      </c>
      <c r="Y110" s="787">
        <v>1597116.19</v>
      </c>
      <c r="Z110" s="787">
        <v>0</v>
      </c>
      <c r="AA110" s="787">
        <v>646007.32000000007</v>
      </c>
      <c r="AB110" s="787">
        <v>130712.59</v>
      </c>
      <c r="AC110" s="787">
        <v>195893.62999999998</v>
      </c>
      <c r="AD110" s="787">
        <v>0</v>
      </c>
      <c r="AE110" s="787">
        <v>69735.149999999994</v>
      </c>
      <c r="AF110" s="787">
        <v>9976.25</v>
      </c>
      <c r="AG110" s="787">
        <v>8961.86</v>
      </c>
      <c r="AH110" s="787">
        <v>0</v>
      </c>
      <c r="AI110" s="787">
        <v>0</v>
      </c>
      <c r="AJ110" s="787">
        <v>46036.22</v>
      </c>
      <c r="AK110" s="787">
        <v>0</v>
      </c>
      <c r="AL110" s="787">
        <v>7549.79</v>
      </c>
      <c r="AM110" s="787">
        <v>4691.41</v>
      </c>
      <c r="AN110" s="787">
        <v>58003.17</v>
      </c>
      <c r="AO110" s="787">
        <v>31799.809999999994</v>
      </c>
      <c r="AP110" s="787">
        <v>62000.66</v>
      </c>
      <c r="AQ110" s="787">
        <v>93641.489999999991</v>
      </c>
      <c r="AR110" s="787">
        <v>0</v>
      </c>
      <c r="AS110" s="787">
        <v>0</v>
      </c>
      <c r="AT110" s="787">
        <v>0</v>
      </c>
      <c r="AU110" s="787">
        <v>353.4</v>
      </c>
      <c r="AV110" s="787">
        <v>0</v>
      </c>
      <c r="AW110" s="787">
        <v>3215.14</v>
      </c>
      <c r="AX110" s="787">
        <v>0</v>
      </c>
      <c r="AY110" s="787">
        <v>0</v>
      </c>
      <c r="AZ110" s="787">
        <v>32806.76</v>
      </c>
      <c r="BA110" s="787">
        <v>9471</v>
      </c>
      <c r="BB110" s="787">
        <v>10520</v>
      </c>
      <c r="BC110" s="787">
        <v>214891.68</v>
      </c>
      <c r="BD110" s="787">
        <v>50656.46</v>
      </c>
      <c r="BE110" s="787">
        <v>19981.47</v>
      </c>
      <c r="BF110" s="787">
        <v>244380</v>
      </c>
      <c r="BG110" s="787">
        <v>0</v>
      </c>
      <c r="BH110" s="787">
        <v>0</v>
      </c>
      <c r="BI110" s="787">
        <v>0</v>
      </c>
      <c r="BJ110" s="787">
        <v>3548401.45</v>
      </c>
      <c r="BK110" s="787">
        <v>786953.4000000027</v>
      </c>
      <c r="BL110" s="787">
        <v>-59991.290000000503</v>
      </c>
      <c r="BM110" s="787">
        <v>726962.1100000022</v>
      </c>
      <c r="BN110" s="787">
        <v>8938.75</v>
      </c>
      <c r="BO110" s="787">
        <v>0</v>
      </c>
      <c r="BP110" s="787">
        <v>0</v>
      </c>
      <c r="BQ110" s="787">
        <v>8938.75</v>
      </c>
      <c r="BR110" s="787">
        <v>0</v>
      </c>
      <c r="BS110" s="787">
        <v>0</v>
      </c>
      <c r="BT110" s="787">
        <v>0</v>
      </c>
      <c r="BU110" s="787">
        <v>0</v>
      </c>
      <c r="BV110" s="787">
        <v>0</v>
      </c>
      <c r="BW110" s="787">
        <v>0</v>
      </c>
      <c r="BX110" s="787">
        <v>0</v>
      </c>
      <c r="BY110" s="787">
        <v>0</v>
      </c>
      <c r="BZ110" s="787">
        <v>0</v>
      </c>
      <c r="CA110" s="787">
        <v>8815.5</v>
      </c>
      <c r="CB110" s="787">
        <v>8938.75</v>
      </c>
      <c r="CC110" s="787">
        <v>17754.25</v>
      </c>
      <c r="CD110" s="787">
        <v>0</v>
      </c>
      <c r="CE110" s="787">
        <v>0</v>
      </c>
      <c r="CF110" s="787">
        <v>0</v>
      </c>
      <c r="CG110" s="787">
        <v>0</v>
      </c>
      <c r="CH110" s="787">
        <v>0</v>
      </c>
      <c r="CI110" s="787">
        <v>0</v>
      </c>
      <c r="CJ110" s="787">
        <v>0</v>
      </c>
      <c r="CK110" s="787">
        <v>0</v>
      </c>
      <c r="CL110" s="787">
        <v>0</v>
      </c>
      <c r="CM110" s="787">
        <v>726962.1100000022</v>
      </c>
      <c r="CN110" s="787">
        <v>0</v>
      </c>
      <c r="CO110" s="787">
        <v>17754</v>
      </c>
      <c r="CP110" s="787">
        <v>0.25</v>
      </c>
      <c r="CQ110" s="787">
        <v>0</v>
      </c>
      <c r="CR110" s="787">
        <v>744716.3600000022</v>
      </c>
      <c r="CS110" s="787">
        <v>1138349.0900000001</v>
      </c>
      <c r="CT110" s="787">
        <v>17648.72</v>
      </c>
      <c r="CU110" s="787">
        <v>17648.72</v>
      </c>
      <c r="CV110" s="787">
        <v>1138349.0900000001</v>
      </c>
      <c r="CW110" s="787">
        <v>-1085</v>
      </c>
      <c r="CX110" s="787">
        <v>4783.78</v>
      </c>
      <c r="CY110" s="787">
        <v>4549.66</v>
      </c>
      <c r="CZ110" s="787">
        <v>0</v>
      </c>
      <c r="DA110" s="787">
        <v>0</v>
      </c>
      <c r="DB110" s="787">
        <v>1146597.53</v>
      </c>
      <c r="DC110" s="787">
        <v>0</v>
      </c>
      <c r="DD110" s="787">
        <v>0</v>
      </c>
      <c r="DE110" s="787">
        <v>0</v>
      </c>
      <c r="DF110" s="787">
        <v>0</v>
      </c>
      <c r="DG110" s="787"/>
      <c r="DH110" s="787"/>
      <c r="DI110" s="787"/>
      <c r="DJ110" s="787">
        <v>0</v>
      </c>
      <c r="DK110" s="787">
        <v>0</v>
      </c>
      <c r="DL110" s="787">
        <v>0</v>
      </c>
      <c r="DM110" s="787">
        <v>0</v>
      </c>
      <c r="DN110" s="787">
        <v>0</v>
      </c>
      <c r="DO110" s="787">
        <v>0</v>
      </c>
      <c r="DP110" s="787">
        <v>-292474.53000000003</v>
      </c>
      <c r="DQ110" s="787">
        <v>-44878.59</v>
      </c>
      <c r="DR110" s="787">
        <v>-7000</v>
      </c>
      <c r="DS110" s="787">
        <v>-9067.59</v>
      </c>
      <c r="DT110" s="787">
        <v>-353420.71</v>
      </c>
      <c r="DU110" s="787">
        <v>0</v>
      </c>
      <c r="DV110" s="787">
        <v>0</v>
      </c>
      <c r="DW110" s="787">
        <v>0</v>
      </c>
      <c r="DX110" s="787">
        <v>0</v>
      </c>
      <c r="DY110" s="787">
        <v>0</v>
      </c>
      <c r="DZ110" s="787">
        <v>-48460.4</v>
      </c>
      <c r="EA110" s="787">
        <v>-5.999999784398824E-2</v>
      </c>
      <c r="EE110">
        <f>_xlfn.XLOOKUP(C110,'[1]Cfwd Analysis'!$C:$C,'[1]Cfwd Analysis'!$I:$I,0,0)</f>
        <v>726962.1100000022</v>
      </c>
      <c r="EF110" s="788">
        <f t="shared" si="1"/>
        <v>0</v>
      </c>
    </row>
    <row r="111" spans="1:136" ht="15.6" hidden="1">
      <c r="A111" s="782" t="s">
        <v>1405</v>
      </c>
      <c r="B111" s="782" t="s">
        <v>718</v>
      </c>
      <c r="C111" s="783">
        <v>2142</v>
      </c>
      <c r="D111" s="784" t="s">
        <v>719</v>
      </c>
      <c r="E111" s="785" t="s">
        <v>521</v>
      </c>
      <c r="F111" s="786">
        <v>46095</v>
      </c>
      <c r="G111" s="785" t="s">
        <v>5</v>
      </c>
      <c r="H111" s="785" t="s">
        <v>732</v>
      </c>
      <c r="I111" s="787">
        <v>2817514.8441715576</v>
      </c>
      <c r="J111" s="787">
        <v>0</v>
      </c>
      <c r="K111" s="787">
        <v>277363.15666666668</v>
      </c>
      <c r="L111" s="787">
        <v>0</v>
      </c>
      <c r="M111" s="787">
        <v>287850</v>
      </c>
      <c r="N111" s="787">
        <v>79962.64</v>
      </c>
      <c r="O111" s="787">
        <v>0</v>
      </c>
      <c r="P111" s="787">
        <v>0</v>
      </c>
      <c r="Q111" s="787">
        <v>83776.92</v>
      </c>
      <c r="R111" s="787">
        <v>0</v>
      </c>
      <c r="S111" s="787">
        <v>0</v>
      </c>
      <c r="T111" s="787">
        <v>0</v>
      </c>
      <c r="U111" s="787">
        <v>8641.9699999999993</v>
      </c>
      <c r="V111" s="787">
        <v>89633</v>
      </c>
      <c r="W111" s="787">
        <v>0</v>
      </c>
      <c r="X111" s="787">
        <v>3644742.5308382246</v>
      </c>
      <c r="Y111" s="787">
        <v>1787498.52</v>
      </c>
      <c r="Z111" s="787">
        <v>0</v>
      </c>
      <c r="AA111" s="787">
        <v>325176.71000000002</v>
      </c>
      <c r="AB111" s="787">
        <v>54057.72</v>
      </c>
      <c r="AC111" s="787">
        <v>66028.47</v>
      </c>
      <c r="AD111" s="787">
        <v>0</v>
      </c>
      <c r="AE111" s="787">
        <v>117756.76</v>
      </c>
      <c r="AF111" s="787">
        <v>21212.38</v>
      </c>
      <c r="AG111" s="787">
        <v>16077.68</v>
      </c>
      <c r="AH111" s="787">
        <v>0</v>
      </c>
      <c r="AI111" s="787">
        <v>0</v>
      </c>
      <c r="AJ111" s="787">
        <v>24411.759999999998</v>
      </c>
      <c r="AK111" s="787">
        <v>2270</v>
      </c>
      <c r="AL111" s="787">
        <v>43690.33</v>
      </c>
      <c r="AM111" s="787">
        <v>1254.6199999999999</v>
      </c>
      <c r="AN111" s="787">
        <v>19336.509999999998</v>
      </c>
      <c r="AO111" s="787">
        <v>23115.159999999993</v>
      </c>
      <c r="AP111" s="787">
        <v>30707.94</v>
      </c>
      <c r="AQ111" s="787">
        <v>142098</v>
      </c>
      <c r="AR111" s="787">
        <v>0</v>
      </c>
      <c r="AS111" s="787">
        <v>0</v>
      </c>
      <c r="AT111" s="787">
        <v>9913.2800000000007</v>
      </c>
      <c r="AU111" s="787">
        <v>0</v>
      </c>
      <c r="AV111" s="787">
        <v>1016.95</v>
      </c>
      <c r="AW111" s="787">
        <v>0</v>
      </c>
      <c r="AX111" s="787">
        <v>0</v>
      </c>
      <c r="AY111" s="787">
        <v>0</v>
      </c>
      <c r="AZ111" s="787">
        <v>209444.23</v>
      </c>
      <c r="BA111" s="787">
        <v>9471</v>
      </c>
      <c r="BB111" s="787">
        <v>13568.33</v>
      </c>
      <c r="BC111" s="787">
        <v>200943.55000000002</v>
      </c>
      <c r="BD111" s="787">
        <v>68108.77</v>
      </c>
      <c r="BE111" s="787">
        <v>10797.12</v>
      </c>
      <c r="BF111" s="787">
        <v>388823.34</v>
      </c>
      <c r="BG111" s="787">
        <v>0</v>
      </c>
      <c r="BH111" s="787">
        <v>0</v>
      </c>
      <c r="BI111" s="787">
        <v>0</v>
      </c>
      <c r="BJ111" s="787">
        <v>3586779.13</v>
      </c>
      <c r="BK111" s="787">
        <v>1177180.0599999989</v>
      </c>
      <c r="BL111" s="787">
        <v>57963.400838224683</v>
      </c>
      <c r="BM111" s="787">
        <v>1235143.4608382236</v>
      </c>
      <c r="BN111" s="787">
        <v>8866.75</v>
      </c>
      <c r="BO111" s="787">
        <v>0</v>
      </c>
      <c r="BP111" s="787">
        <v>0</v>
      </c>
      <c r="BQ111" s="787">
        <v>8866.75</v>
      </c>
      <c r="BR111" s="787">
        <v>17973.990000000002</v>
      </c>
      <c r="BS111" s="787">
        <v>0</v>
      </c>
      <c r="BT111" s="787">
        <v>0</v>
      </c>
      <c r="BU111" s="787">
        <v>0</v>
      </c>
      <c r="BV111" s="787">
        <v>0</v>
      </c>
      <c r="BW111" s="787">
        <v>0</v>
      </c>
      <c r="BX111" s="787">
        <v>0</v>
      </c>
      <c r="BY111" s="787">
        <v>0</v>
      </c>
      <c r="BZ111" s="787">
        <v>17973.990000000002</v>
      </c>
      <c r="CA111" s="787">
        <v>29289</v>
      </c>
      <c r="CB111" s="787">
        <v>-9107.2400000000016</v>
      </c>
      <c r="CC111" s="787">
        <v>20181.759999999998</v>
      </c>
      <c r="CD111" s="787">
        <v>0</v>
      </c>
      <c r="CE111" s="787">
        <v>0</v>
      </c>
      <c r="CF111" s="787">
        <v>0</v>
      </c>
      <c r="CG111" s="787">
        <v>0</v>
      </c>
      <c r="CH111" s="787">
        <v>0</v>
      </c>
      <c r="CI111" s="787">
        <v>0</v>
      </c>
      <c r="CJ111" s="787">
        <v>0</v>
      </c>
      <c r="CK111" s="787">
        <v>0</v>
      </c>
      <c r="CL111" s="787">
        <v>0</v>
      </c>
      <c r="CM111" s="787">
        <v>1235143.4608382236</v>
      </c>
      <c r="CN111" s="787">
        <v>0</v>
      </c>
      <c r="CO111" s="787">
        <v>20181.759999999998</v>
      </c>
      <c r="CP111" s="787">
        <v>0</v>
      </c>
      <c r="CQ111" s="787">
        <v>0</v>
      </c>
      <c r="CR111" s="787">
        <v>1255325.2208382236</v>
      </c>
      <c r="CS111" s="787">
        <v>1523467.31</v>
      </c>
      <c r="CT111" s="787">
        <v>52902.14</v>
      </c>
      <c r="CU111" s="787">
        <v>0</v>
      </c>
      <c r="CV111" s="787">
        <v>1470565.1700000002</v>
      </c>
      <c r="CW111" s="787">
        <v>0</v>
      </c>
      <c r="CX111" s="787">
        <v>10007.76</v>
      </c>
      <c r="CY111" s="787">
        <v>8012.56</v>
      </c>
      <c r="CZ111" s="787">
        <v>21702.139999999996</v>
      </c>
      <c r="DA111" s="787">
        <v>0</v>
      </c>
      <c r="DB111" s="787">
        <v>1510287.6300000001</v>
      </c>
      <c r="DC111" s="787">
        <v>0</v>
      </c>
      <c r="DD111" s="787">
        <v>0</v>
      </c>
      <c r="DE111" s="787">
        <v>0</v>
      </c>
      <c r="DF111" s="787">
        <v>0</v>
      </c>
      <c r="DG111" s="787"/>
      <c r="DH111" s="787"/>
      <c r="DI111" s="787"/>
      <c r="DJ111" s="787">
        <v>0</v>
      </c>
      <c r="DK111" s="787">
        <v>0</v>
      </c>
      <c r="DL111" s="787">
        <v>0</v>
      </c>
      <c r="DM111" s="787">
        <v>0</v>
      </c>
      <c r="DN111" s="787">
        <v>0</v>
      </c>
      <c r="DO111" s="787">
        <v>0</v>
      </c>
      <c r="DP111" s="787">
        <v>0</v>
      </c>
      <c r="DQ111" s="787">
        <v>-56948.37</v>
      </c>
      <c r="DR111" s="787">
        <v>0</v>
      </c>
      <c r="DS111" s="787">
        <v>0</v>
      </c>
      <c r="DT111" s="787">
        <v>-56948.37</v>
      </c>
      <c r="DU111" s="787">
        <v>4593.5600000000004</v>
      </c>
      <c r="DV111" s="787">
        <v>0</v>
      </c>
      <c r="DW111" s="787">
        <v>0</v>
      </c>
      <c r="DX111" s="787">
        <v>0</v>
      </c>
      <c r="DY111" s="787">
        <v>0</v>
      </c>
      <c r="DZ111" s="787">
        <v>-202607.84</v>
      </c>
      <c r="EA111" s="787">
        <v>0.24083822360262275</v>
      </c>
      <c r="EC111" s="788">
        <v>20181.759999999998</v>
      </c>
      <c r="EE111">
        <f>_xlfn.XLOOKUP(C111,'[1]Cfwd Analysis'!$C:$C,'[1]Cfwd Analysis'!$I:$I,0,0)</f>
        <v>1235143.4608382236</v>
      </c>
      <c r="EF111" s="788">
        <f t="shared" si="1"/>
        <v>0</v>
      </c>
    </row>
    <row r="112" spans="1:136" ht="15.6" hidden="1">
      <c r="A112" s="782" t="s">
        <v>1406</v>
      </c>
      <c r="B112" s="782" t="s">
        <v>720</v>
      </c>
      <c r="C112" s="783">
        <v>2469</v>
      </c>
      <c r="D112" s="784" t="s">
        <v>721</v>
      </c>
      <c r="E112" s="785" t="s">
        <v>521</v>
      </c>
      <c r="F112" s="786" t="s">
        <v>1315</v>
      </c>
      <c r="G112" s="785" t="s">
        <v>5</v>
      </c>
      <c r="H112" s="785" t="s">
        <v>734</v>
      </c>
      <c r="I112" s="787">
        <v>2048660.4348310104</v>
      </c>
      <c r="J112" s="787">
        <v>0</v>
      </c>
      <c r="K112" s="787">
        <v>215694.42333333334</v>
      </c>
      <c r="L112" s="787">
        <v>0</v>
      </c>
      <c r="M112" s="787">
        <v>205345</v>
      </c>
      <c r="N112" s="787">
        <v>44011</v>
      </c>
      <c r="O112" s="787">
        <v>360</v>
      </c>
      <c r="P112" s="787">
        <v>4697.83</v>
      </c>
      <c r="Q112" s="787">
        <v>436188.08</v>
      </c>
      <c r="R112" s="787">
        <v>0</v>
      </c>
      <c r="S112" s="787">
        <v>0</v>
      </c>
      <c r="T112" s="787">
        <v>0</v>
      </c>
      <c r="U112" s="787">
        <v>14650.96</v>
      </c>
      <c r="V112" s="787">
        <v>0</v>
      </c>
      <c r="W112" s="787">
        <v>0</v>
      </c>
      <c r="X112" s="787">
        <v>2969607.7281643441</v>
      </c>
      <c r="Y112" s="787">
        <v>1333928.76</v>
      </c>
      <c r="Z112" s="787">
        <v>0</v>
      </c>
      <c r="AA112" s="787">
        <v>417374.19</v>
      </c>
      <c r="AB112" s="787">
        <v>50469.13</v>
      </c>
      <c r="AC112" s="787">
        <v>247472.46</v>
      </c>
      <c r="AD112" s="787">
        <v>55347.76</v>
      </c>
      <c r="AE112" s="787">
        <v>90672.48000000001</v>
      </c>
      <c r="AF112" s="787">
        <v>1779.22</v>
      </c>
      <c r="AG112" s="787">
        <v>5824.84</v>
      </c>
      <c r="AH112" s="787">
        <v>10024.59</v>
      </c>
      <c r="AI112" s="787">
        <v>0</v>
      </c>
      <c r="AJ112" s="787">
        <v>23703</v>
      </c>
      <c r="AK112" s="787">
        <v>6845.41</v>
      </c>
      <c r="AL112" s="787">
        <v>31515.200000000001</v>
      </c>
      <c r="AM112" s="787">
        <v>23301.16</v>
      </c>
      <c r="AN112" s="787">
        <v>79750.7</v>
      </c>
      <c r="AO112" s="787">
        <v>25052.189999999991</v>
      </c>
      <c r="AP112" s="787">
        <v>13917.89</v>
      </c>
      <c r="AQ112" s="787">
        <v>61045.67</v>
      </c>
      <c r="AR112" s="787">
        <v>0</v>
      </c>
      <c r="AS112" s="787">
        <v>0</v>
      </c>
      <c r="AT112" s="787">
        <v>0</v>
      </c>
      <c r="AU112" s="787">
        <v>0</v>
      </c>
      <c r="AV112" s="787">
        <v>12.29</v>
      </c>
      <c r="AW112" s="787">
        <v>0</v>
      </c>
      <c r="AX112" s="787">
        <v>0</v>
      </c>
      <c r="AY112" s="787">
        <v>0</v>
      </c>
      <c r="AZ112" s="787">
        <v>342728.28</v>
      </c>
      <c r="BA112" s="787">
        <v>8559</v>
      </c>
      <c r="BB112" s="787">
        <v>0</v>
      </c>
      <c r="BC112" s="787">
        <v>26363.61</v>
      </c>
      <c r="BD112" s="787">
        <v>25213.5</v>
      </c>
      <c r="BE112" s="787">
        <v>8267.3599999999988</v>
      </c>
      <c r="BF112" s="787">
        <v>152467.31</v>
      </c>
      <c r="BG112" s="787">
        <v>0</v>
      </c>
      <c r="BH112" s="787">
        <v>0</v>
      </c>
      <c r="BI112" s="787">
        <v>0</v>
      </c>
      <c r="BJ112" s="787">
        <v>3041636.0000000005</v>
      </c>
      <c r="BK112" s="787">
        <v>286414</v>
      </c>
      <c r="BL112" s="787">
        <v>-72028.271835656371</v>
      </c>
      <c r="BM112" s="787">
        <v>214385.72816434363</v>
      </c>
      <c r="BN112" s="787">
        <v>7768.75</v>
      </c>
      <c r="BO112" s="787">
        <v>0</v>
      </c>
      <c r="BP112" s="787">
        <v>0</v>
      </c>
      <c r="BQ112" s="787">
        <v>7768.75</v>
      </c>
      <c r="BR112" s="787">
        <v>0</v>
      </c>
      <c r="BS112" s="787">
        <v>143</v>
      </c>
      <c r="BT112" s="787">
        <v>0</v>
      </c>
      <c r="BU112" s="787">
        <v>0</v>
      </c>
      <c r="BV112" s="787">
        <v>0</v>
      </c>
      <c r="BW112" s="787">
        <v>0</v>
      </c>
      <c r="BX112" s="787">
        <v>2130.94</v>
      </c>
      <c r="BY112" s="787">
        <v>0</v>
      </c>
      <c r="BZ112" s="787">
        <v>2273.94</v>
      </c>
      <c r="CA112" s="787">
        <v>7645</v>
      </c>
      <c r="CB112" s="787">
        <v>5494.8099999999995</v>
      </c>
      <c r="CC112" s="787">
        <v>13139.81</v>
      </c>
      <c r="CD112" s="787">
        <v>0</v>
      </c>
      <c r="CE112" s="787">
        <v>0</v>
      </c>
      <c r="CF112" s="787">
        <v>0</v>
      </c>
      <c r="CG112" s="787">
        <v>0</v>
      </c>
      <c r="CH112" s="787">
        <v>0</v>
      </c>
      <c r="CI112" s="787">
        <v>0</v>
      </c>
      <c r="CJ112" s="787">
        <v>0</v>
      </c>
      <c r="CK112" s="787">
        <v>0</v>
      </c>
      <c r="CL112" s="787">
        <v>0</v>
      </c>
      <c r="CM112" s="787">
        <v>214385.72816434363</v>
      </c>
      <c r="CN112" s="787">
        <v>0</v>
      </c>
      <c r="CO112" s="787">
        <v>13139.81</v>
      </c>
      <c r="CP112" s="787">
        <v>0</v>
      </c>
      <c r="CQ112" s="787">
        <v>0</v>
      </c>
      <c r="CR112" s="787">
        <v>227525.53816434363</v>
      </c>
      <c r="CS112" s="787">
        <v>758681.99</v>
      </c>
      <c r="CT112" s="787">
        <v>241600.65</v>
      </c>
      <c r="CU112" s="787">
        <v>2251.23</v>
      </c>
      <c r="CV112" s="787">
        <v>519332.56999999995</v>
      </c>
      <c r="CW112" s="787">
        <v>0</v>
      </c>
      <c r="CX112" s="787">
        <v>5958.12</v>
      </c>
      <c r="CY112" s="787">
        <v>3124.25</v>
      </c>
      <c r="CZ112" s="787">
        <v>0</v>
      </c>
      <c r="DA112" s="787">
        <v>0</v>
      </c>
      <c r="DB112" s="787">
        <v>528414.93999999994</v>
      </c>
      <c r="DC112" s="787">
        <v>0</v>
      </c>
      <c r="DD112" s="787">
        <v>0</v>
      </c>
      <c r="DE112" s="787">
        <v>0</v>
      </c>
      <c r="DF112" s="787">
        <v>0</v>
      </c>
      <c r="DG112" s="787"/>
      <c r="DH112" s="787"/>
      <c r="DI112" s="787"/>
      <c r="DJ112" s="787">
        <v>0</v>
      </c>
      <c r="DK112" s="787">
        <v>0</v>
      </c>
      <c r="DL112" s="787">
        <v>400</v>
      </c>
      <c r="DM112" s="787">
        <v>1645.2</v>
      </c>
      <c r="DN112" s="787">
        <v>0</v>
      </c>
      <c r="DO112" s="787">
        <v>0</v>
      </c>
      <c r="DP112" s="787">
        <v>-185226.3</v>
      </c>
      <c r="DQ112" s="787">
        <v>-3769.92</v>
      </c>
      <c r="DR112" s="787">
        <v>0</v>
      </c>
      <c r="DS112" s="787">
        <v>0</v>
      </c>
      <c r="DT112" s="787">
        <v>-186951.02</v>
      </c>
      <c r="DU112" s="787">
        <v>0</v>
      </c>
      <c r="DV112" s="787">
        <v>0</v>
      </c>
      <c r="DW112" s="787">
        <v>-38762.28</v>
      </c>
      <c r="DX112" s="787">
        <v>0</v>
      </c>
      <c r="DY112" s="787">
        <v>0</v>
      </c>
      <c r="DZ112" s="787">
        <v>-75176.19</v>
      </c>
      <c r="EA112" s="787">
        <v>8.8164343673270196E-2</v>
      </c>
      <c r="EC112" s="788">
        <v>13139.81</v>
      </c>
      <c r="EE112">
        <f>_xlfn.XLOOKUP(C112,'[1]Cfwd Analysis'!$C:$C,'[1]Cfwd Analysis'!$I:$I,0,0)</f>
        <v>214385.72816434363</v>
      </c>
      <c r="EF112" s="788">
        <f t="shared" si="1"/>
        <v>0</v>
      </c>
    </row>
    <row r="113" spans="1:136" ht="15.6" hidden="1">
      <c r="A113" s="782" t="s">
        <v>1407</v>
      </c>
      <c r="B113" s="782" t="s">
        <v>906</v>
      </c>
      <c r="C113" s="783">
        <v>1028</v>
      </c>
      <c r="D113" s="784" t="s">
        <v>907</v>
      </c>
      <c r="E113" s="785" t="s">
        <v>521</v>
      </c>
      <c r="F113" s="786">
        <v>46094</v>
      </c>
      <c r="G113" s="785" t="s">
        <v>5</v>
      </c>
      <c r="H113" s="785" t="s">
        <v>926</v>
      </c>
      <c r="I113" s="787">
        <v>626171.61383012799</v>
      </c>
      <c r="J113" s="787">
        <v>0</v>
      </c>
      <c r="K113" s="787">
        <v>26529.489196675902</v>
      </c>
      <c r="L113" s="787">
        <v>0</v>
      </c>
      <c r="M113" s="787">
        <v>0</v>
      </c>
      <c r="N113" s="787">
        <v>876</v>
      </c>
      <c r="O113" s="787">
        <v>0</v>
      </c>
      <c r="P113" s="787">
        <v>0</v>
      </c>
      <c r="Q113" s="787">
        <v>12710.88</v>
      </c>
      <c r="R113" s="787">
        <v>0</v>
      </c>
      <c r="S113" s="787">
        <v>0</v>
      </c>
      <c r="T113" s="787">
        <v>0</v>
      </c>
      <c r="U113" s="787">
        <v>5845.65</v>
      </c>
      <c r="V113" s="787">
        <v>69076.350000000006</v>
      </c>
      <c r="W113" s="787">
        <v>0</v>
      </c>
      <c r="X113" s="787">
        <v>741209.98302680394</v>
      </c>
      <c r="Y113" s="787">
        <v>116257.36</v>
      </c>
      <c r="Z113" s="787">
        <v>20370.41</v>
      </c>
      <c r="AA113" s="787">
        <v>192178.24</v>
      </c>
      <c r="AB113" s="787">
        <v>1008.15</v>
      </c>
      <c r="AC113" s="787">
        <v>95555.93</v>
      </c>
      <c r="AD113" s="787">
        <v>0</v>
      </c>
      <c r="AE113" s="787">
        <v>0</v>
      </c>
      <c r="AF113" s="787">
        <v>8792.7900000000009</v>
      </c>
      <c r="AG113" s="787">
        <v>1031.1099999999999</v>
      </c>
      <c r="AH113" s="787">
        <v>0</v>
      </c>
      <c r="AI113" s="787">
        <v>0</v>
      </c>
      <c r="AJ113" s="787">
        <v>5023.97</v>
      </c>
      <c r="AK113" s="787">
        <v>475.03</v>
      </c>
      <c r="AL113" s="787">
        <v>14637.74</v>
      </c>
      <c r="AM113" s="787">
        <v>2185.7159999999999</v>
      </c>
      <c r="AN113" s="787">
        <v>6546.01</v>
      </c>
      <c r="AO113" s="787">
        <v>34000</v>
      </c>
      <c r="AP113" s="787">
        <v>24779.61</v>
      </c>
      <c r="AQ113" s="787">
        <v>10627.81</v>
      </c>
      <c r="AR113" s="787">
        <v>1801</v>
      </c>
      <c r="AS113" s="787">
        <v>0</v>
      </c>
      <c r="AT113" s="787">
        <v>0</v>
      </c>
      <c r="AU113" s="787">
        <v>0</v>
      </c>
      <c r="AV113" s="787">
        <v>0</v>
      </c>
      <c r="AW113" s="787">
        <v>0</v>
      </c>
      <c r="AX113" s="787">
        <v>0</v>
      </c>
      <c r="AY113" s="787">
        <v>13.1</v>
      </c>
      <c r="AZ113" s="787">
        <v>7694.08</v>
      </c>
      <c r="BA113" s="787">
        <v>3291.75</v>
      </c>
      <c r="BB113" s="787">
        <v>360</v>
      </c>
      <c r="BC113" s="787">
        <v>5499.04</v>
      </c>
      <c r="BD113" s="787">
        <v>2819.06</v>
      </c>
      <c r="BE113" s="787">
        <v>0</v>
      </c>
      <c r="BF113" s="787">
        <v>172940.38</v>
      </c>
      <c r="BG113" s="787">
        <v>0</v>
      </c>
      <c r="BH113" s="787">
        <v>0</v>
      </c>
      <c r="BI113" s="787">
        <v>0</v>
      </c>
      <c r="BJ113" s="787">
        <v>727888.28600000008</v>
      </c>
      <c r="BK113" s="787">
        <v>-107490.8114867999</v>
      </c>
      <c r="BL113" s="787">
        <v>13321.697026803857</v>
      </c>
      <c r="BM113" s="787">
        <v>-94169.114459996039</v>
      </c>
      <c r="BN113" s="787">
        <v>4567</v>
      </c>
      <c r="BO113" s="787">
        <v>0</v>
      </c>
      <c r="BP113" s="787">
        <v>0</v>
      </c>
      <c r="BQ113" s="787">
        <v>4567</v>
      </c>
      <c r="BR113" s="787">
        <v>4567</v>
      </c>
      <c r="BS113" s="787">
        <v>0</v>
      </c>
      <c r="BT113" s="787">
        <v>0</v>
      </c>
      <c r="BU113" s="787">
        <v>0</v>
      </c>
      <c r="BV113" s="787">
        <v>0</v>
      </c>
      <c r="BW113" s="787">
        <v>0</v>
      </c>
      <c r="BX113" s="787">
        <v>0</v>
      </c>
      <c r="BY113" s="787">
        <v>0</v>
      </c>
      <c r="BZ113" s="787">
        <v>4567</v>
      </c>
      <c r="CA113" s="787">
        <v>147.75</v>
      </c>
      <c r="CB113" s="787">
        <v>0</v>
      </c>
      <c r="CC113" s="787">
        <v>147.75</v>
      </c>
      <c r="CD113" s="787">
        <v>0</v>
      </c>
      <c r="CE113" s="787">
        <v>0</v>
      </c>
      <c r="CF113" s="787">
        <v>0</v>
      </c>
      <c r="CG113" s="787">
        <v>0</v>
      </c>
      <c r="CH113" s="787">
        <v>0</v>
      </c>
      <c r="CI113" s="787">
        <v>0</v>
      </c>
      <c r="CJ113" s="787">
        <v>0</v>
      </c>
      <c r="CK113" s="787">
        <v>0</v>
      </c>
      <c r="CL113" s="787">
        <v>0</v>
      </c>
      <c r="CM113" s="787">
        <v>0</v>
      </c>
      <c r="CN113" s="787">
        <v>-94169.114459996039</v>
      </c>
      <c r="CO113" s="787">
        <v>147.75</v>
      </c>
      <c r="CP113" s="787">
        <v>0</v>
      </c>
      <c r="CQ113" s="787">
        <v>0</v>
      </c>
      <c r="CR113" s="787">
        <v>-94021.364459996039</v>
      </c>
      <c r="CS113" s="787">
        <v>109893.96</v>
      </c>
      <c r="CT113" s="787">
        <v>12844.32</v>
      </c>
      <c r="CU113" s="787">
        <v>0</v>
      </c>
      <c r="CV113" s="787">
        <v>97049.640000000014</v>
      </c>
      <c r="CW113" s="787">
        <v>0</v>
      </c>
      <c r="CX113" s="787">
        <v>4426.8599999999997</v>
      </c>
      <c r="CY113" s="787">
        <v>204.3</v>
      </c>
      <c r="CZ113" s="787">
        <v>9302</v>
      </c>
      <c r="DA113" s="787">
        <v>0</v>
      </c>
      <c r="DB113" s="787">
        <v>110982.80000000002</v>
      </c>
      <c r="DC113" s="787">
        <v>0</v>
      </c>
      <c r="DD113" s="787">
        <v>0</v>
      </c>
      <c r="DE113" s="787">
        <v>0</v>
      </c>
      <c r="DF113" s="787">
        <v>0</v>
      </c>
      <c r="DG113" s="787"/>
      <c r="DH113" s="787"/>
      <c r="DI113" s="787"/>
      <c r="DJ113" s="787">
        <v>-107490.81</v>
      </c>
      <c r="DK113" s="787">
        <v>-107490.81</v>
      </c>
      <c r="DL113" s="787">
        <v>0</v>
      </c>
      <c r="DM113" s="787">
        <v>0</v>
      </c>
      <c r="DN113" s="787">
        <v>0</v>
      </c>
      <c r="DO113" s="787">
        <v>0</v>
      </c>
      <c r="DP113" s="787">
        <v>-27298.080000000002</v>
      </c>
      <c r="DQ113" s="787">
        <v>-34000</v>
      </c>
      <c r="DR113" s="787">
        <v>0</v>
      </c>
      <c r="DS113" s="787">
        <v>0</v>
      </c>
      <c r="DT113" s="787">
        <v>-61298.080000000002</v>
      </c>
      <c r="DU113" s="787">
        <v>0</v>
      </c>
      <c r="DV113" s="787">
        <v>0</v>
      </c>
      <c r="DW113" s="787">
        <v>-916.15</v>
      </c>
      <c r="DX113" s="787">
        <v>0</v>
      </c>
      <c r="DY113" s="787">
        <v>0</v>
      </c>
      <c r="DZ113" s="787">
        <v>-35299.22</v>
      </c>
      <c r="EA113" s="787">
        <v>9.5540003952919506E-2</v>
      </c>
      <c r="EC113" s="788">
        <v>147.75</v>
      </c>
      <c r="EE113">
        <f>_xlfn.XLOOKUP(C113,'[1]Cfwd Analysis'!$C:$C,'[1]Cfwd Analysis'!$I:$I,0,0)</f>
        <v>-94169.114459996039</v>
      </c>
      <c r="EF113" s="788">
        <f t="shared" si="1"/>
        <v>0</v>
      </c>
    </row>
    <row r="114" spans="1:136" ht="15.6" hidden="1">
      <c r="A114" s="782" t="s">
        <v>1408</v>
      </c>
      <c r="B114" s="782" t="s">
        <v>722</v>
      </c>
      <c r="C114" s="783">
        <v>1049</v>
      </c>
      <c r="D114" s="784" t="s">
        <v>723</v>
      </c>
      <c r="E114" s="785" t="s">
        <v>521</v>
      </c>
      <c r="F114" s="786">
        <v>46094</v>
      </c>
      <c r="G114" s="785" t="s">
        <v>5</v>
      </c>
      <c r="H114" s="785" t="s">
        <v>736</v>
      </c>
      <c r="I114" s="787">
        <v>824063.39867693977</v>
      </c>
      <c r="J114" s="787">
        <v>0</v>
      </c>
      <c r="K114" s="787">
        <v>38669.162593721143</v>
      </c>
      <c r="L114" s="787">
        <v>0</v>
      </c>
      <c r="M114" s="787">
        <v>0</v>
      </c>
      <c r="N114" s="787">
        <v>0</v>
      </c>
      <c r="O114" s="787">
        <v>28750</v>
      </c>
      <c r="P114" s="787">
        <v>0</v>
      </c>
      <c r="Q114" s="787">
        <v>198958.41</v>
      </c>
      <c r="R114" s="787">
        <v>0</v>
      </c>
      <c r="S114" s="787">
        <v>0</v>
      </c>
      <c r="T114" s="787">
        <v>0</v>
      </c>
      <c r="U114" s="787">
        <v>6227.24</v>
      </c>
      <c r="V114" s="787">
        <v>0</v>
      </c>
      <c r="W114" s="787">
        <v>0</v>
      </c>
      <c r="X114" s="787">
        <v>1096668.2112706609</v>
      </c>
      <c r="Y114" s="787">
        <v>291950.7</v>
      </c>
      <c r="Z114" s="787">
        <v>0</v>
      </c>
      <c r="AA114" s="787">
        <v>230229.73</v>
      </c>
      <c r="AB114" s="787">
        <v>24626.62</v>
      </c>
      <c r="AC114" s="787">
        <v>164217.02000000002</v>
      </c>
      <c r="AD114" s="787">
        <v>0</v>
      </c>
      <c r="AE114" s="787">
        <v>20014.7</v>
      </c>
      <c r="AF114" s="787">
        <v>1421.91</v>
      </c>
      <c r="AG114" s="787">
        <v>131.44999999999999</v>
      </c>
      <c r="AH114" s="787">
        <v>0</v>
      </c>
      <c r="AI114" s="787">
        <v>0</v>
      </c>
      <c r="AJ114" s="787">
        <v>15979.23</v>
      </c>
      <c r="AK114" s="787">
        <v>3789.22</v>
      </c>
      <c r="AL114" s="787">
        <v>10414.01</v>
      </c>
      <c r="AM114" s="787">
        <v>1125.57</v>
      </c>
      <c r="AN114" s="787">
        <v>5282.5</v>
      </c>
      <c r="AO114" s="787">
        <v>0</v>
      </c>
      <c r="AP114" s="787">
        <v>11218.66</v>
      </c>
      <c r="AQ114" s="787">
        <v>9754.0400000000009</v>
      </c>
      <c r="AR114" s="787">
        <v>0</v>
      </c>
      <c r="AS114" s="787">
        <v>0</v>
      </c>
      <c r="AT114" s="787">
        <v>0</v>
      </c>
      <c r="AU114" s="787">
        <v>0</v>
      </c>
      <c r="AV114" s="787">
        <v>5365.06</v>
      </c>
      <c r="AW114" s="787">
        <v>0</v>
      </c>
      <c r="AX114" s="787">
        <v>0</v>
      </c>
      <c r="AY114" s="787">
        <v>0</v>
      </c>
      <c r="AZ114" s="787">
        <v>62800.81</v>
      </c>
      <c r="BA114" s="787">
        <v>3291.75</v>
      </c>
      <c r="BB114" s="787">
        <v>0</v>
      </c>
      <c r="BC114" s="787">
        <v>10161.959999999999</v>
      </c>
      <c r="BD114" s="787">
        <v>21094.86</v>
      </c>
      <c r="BE114" s="787">
        <v>92.97</v>
      </c>
      <c r="BF114" s="787">
        <v>142752.78</v>
      </c>
      <c r="BG114" s="787">
        <v>0</v>
      </c>
      <c r="BH114" s="787">
        <v>0</v>
      </c>
      <c r="BI114" s="787">
        <v>0</v>
      </c>
      <c r="BJ114" s="787">
        <v>1035715.5499999999</v>
      </c>
      <c r="BK114" s="787">
        <v>514843.26999999973</v>
      </c>
      <c r="BL114" s="787">
        <v>60952.66127066093</v>
      </c>
      <c r="BM114" s="787">
        <v>575795.9312706606</v>
      </c>
      <c r="BN114" s="787">
        <v>5005.75</v>
      </c>
      <c r="BO114" s="787">
        <v>0</v>
      </c>
      <c r="BP114" s="787">
        <v>0</v>
      </c>
      <c r="BQ114" s="787">
        <v>5005.75</v>
      </c>
      <c r="BR114" s="787">
        <v>0</v>
      </c>
      <c r="BS114" s="787">
        <v>0</v>
      </c>
      <c r="BT114" s="787">
        <v>0</v>
      </c>
      <c r="BU114" s="787">
        <v>0</v>
      </c>
      <c r="BV114" s="787">
        <v>0</v>
      </c>
      <c r="BW114" s="787">
        <v>0</v>
      </c>
      <c r="BX114" s="787">
        <v>0</v>
      </c>
      <c r="BY114" s="787">
        <v>0</v>
      </c>
      <c r="BZ114" s="787">
        <v>0</v>
      </c>
      <c r="CA114" s="787">
        <v>3512</v>
      </c>
      <c r="CB114" s="787">
        <v>5005.75</v>
      </c>
      <c r="CC114" s="787">
        <v>8517.75</v>
      </c>
      <c r="CD114" s="787">
        <v>0</v>
      </c>
      <c r="CE114" s="787">
        <v>0</v>
      </c>
      <c r="CF114" s="787">
        <v>0</v>
      </c>
      <c r="CG114" s="787">
        <v>0</v>
      </c>
      <c r="CH114" s="787">
        <v>0</v>
      </c>
      <c r="CI114" s="787">
        <v>0</v>
      </c>
      <c r="CJ114" s="787">
        <v>0</v>
      </c>
      <c r="CK114" s="787">
        <v>0</v>
      </c>
      <c r="CL114" s="787">
        <v>0</v>
      </c>
      <c r="CM114" s="787">
        <v>575795.9312706606</v>
      </c>
      <c r="CN114" s="787">
        <v>0</v>
      </c>
      <c r="CO114" s="787">
        <v>8517.75</v>
      </c>
      <c r="CP114" s="787">
        <v>0</v>
      </c>
      <c r="CQ114" s="787">
        <v>0</v>
      </c>
      <c r="CR114" s="787">
        <v>584313.6812706606</v>
      </c>
      <c r="CS114" s="787">
        <v>157207.41</v>
      </c>
      <c r="CT114" s="787">
        <v>12978.29</v>
      </c>
      <c r="CU114" s="787">
        <v>0</v>
      </c>
      <c r="CV114" s="787">
        <v>144229.12</v>
      </c>
      <c r="CW114" s="787">
        <v>0</v>
      </c>
      <c r="CX114" s="787">
        <v>2815.11</v>
      </c>
      <c r="CY114" s="787">
        <v>4048.15</v>
      </c>
      <c r="CZ114" s="787">
        <v>8470.9500000000007</v>
      </c>
      <c r="DA114" s="787">
        <v>0</v>
      </c>
      <c r="DB114" s="787">
        <v>159563.32999999999</v>
      </c>
      <c r="DC114" s="787">
        <v>454395.03</v>
      </c>
      <c r="DD114" s="787">
        <v>0</v>
      </c>
      <c r="DE114" s="787">
        <v>0</v>
      </c>
      <c r="DF114" s="787">
        <v>454395.03</v>
      </c>
      <c r="DG114" s="787"/>
      <c r="DH114" s="787"/>
      <c r="DI114" s="787"/>
      <c r="DJ114" s="787">
        <v>0</v>
      </c>
      <c r="DK114" s="787">
        <v>454395.03</v>
      </c>
      <c r="DL114" s="787">
        <v>91368.85</v>
      </c>
      <c r="DM114" s="787">
        <v>0</v>
      </c>
      <c r="DN114" s="787">
        <v>0</v>
      </c>
      <c r="DO114" s="787">
        <v>0</v>
      </c>
      <c r="DP114" s="787">
        <v>-117265.76</v>
      </c>
      <c r="DQ114" s="787">
        <v>-1376.32</v>
      </c>
      <c r="DR114" s="787">
        <v>0</v>
      </c>
      <c r="DS114" s="787">
        <v>0</v>
      </c>
      <c r="DT114" s="787">
        <v>-27273.229999999989</v>
      </c>
      <c r="DU114" s="787">
        <v>0</v>
      </c>
      <c r="DV114" s="787">
        <v>0</v>
      </c>
      <c r="DW114" s="787">
        <v>0</v>
      </c>
      <c r="DX114" s="787">
        <v>0</v>
      </c>
      <c r="DY114" s="787">
        <v>0</v>
      </c>
      <c r="DZ114" s="787">
        <v>-2371.08</v>
      </c>
      <c r="EA114" s="787">
        <v>-0.36872933944687247</v>
      </c>
      <c r="EC114" s="788">
        <v>8517.75</v>
      </c>
      <c r="EE114">
        <f>_xlfn.XLOOKUP(C114,'[1]Cfwd Analysis'!$C:$C,'[1]Cfwd Analysis'!$I:$I,0,0)</f>
        <v>575795.9312706606</v>
      </c>
      <c r="EF114" s="788">
        <f t="shared" si="1"/>
        <v>0</v>
      </c>
    </row>
    <row r="115" spans="1:136" ht="15.6" hidden="1">
      <c r="A115" s="782" t="s">
        <v>1409</v>
      </c>
      <c r="B115" s="782" t="s">
        <v>726</v>
      </c>
      <c r="C115" s="783">
        <v>3351</v>
      </c>
      <c r="D115" s="784" t="s">
        <v>727</v>
      </c>
      <c r="E115" s="785" t="s">
        <v>521</v>
      </c>
      <c r="F115" s="786">
        <v>0</v>
      </c>
      <c r="G115" s="785" t="s">
        <v>5</v>
      </c>
      <c r="H115" s="785" t="s">
        <v>738</v>
      </c>
      <c r="I115" s="787">
        <v>1453075</v>
      </c>
      <c r="J115" s="787">
        <v>0</v>
      </c>
      <c r="K115" s="787">
        <v>70109.56</v>
      </c>
      <c r="L115" s="787">
        <v>0</v>
      </c>
      <c r="M115" s="787">
        <v>158975</v>
      </c>
      <c r="N115" s="787">
        <v>40103</v>
      </c>
      <c r="O115" s="787">
        <v>0</v>
      </c>
      <c r="P115" s="787">
        <v>0</v>
      </c>
      <c r="Q115" s="787">
        <v>15037.33</v>
      </c>
      <c r="R115" s="787">
        <v>0</v>
      </c>
      <c r="S115" s="787">
        <v>0</v>
      </c>
      <c r="T115" s="787">
        <v>0</v>
      </c>
      <c r="U115" s="787">
        <v>28998.39</v>
      </c>
      <c r="V115" s="787">
        <v>30499.5</v>
      </c>
      <c r="W115" s="787">
        <v>0</v>
      </c>
      <c r="X115" s="787">
        <v>1796797.78</v>
      </c>
      <c r="Y115" s="787">
        <v>763770.42</v>
      </c>
      <c r="Z115" s="787">
        <v>0</v>
      </c>
      <c r="AA115" s="787">
        <v>316340.77</v>
      </c>
      <c r="AB115" s="787">
        <v>39009.24</v>
      </c>
      <c r="AC115" s="787">
        <v>113012.72</v>
      </c>
      <c r="AD115" s="787">
        <v>0</v>
      </c>
      <c r="AE115" s="787">
        <v>57502.86</v>
      </c>
      <c r="AF115" s="787">
        <v>7283.4</v>
      </c>
      <c r="AG115" s="787">
        <v>5601.17</v>
      </c>
      <c r="AH115" s="787">
        <v>0</v>
      </c>
      <c r="AI115" s="787">
        <v>0</v>
      </c>
      <c r="AJ115" s="787">
        <v>43046.71</v>
      </c>
      <c r="AK115" s="787">
        <v>63.28</v>
      </c>
      <c r="AL115" s="787">
        <v>1586.18</v>
      </c>
      <c r="AM115" s="787">
        <v>980.24</v>
      </c>
      <c r="AN115" s="787">
        <v>12473.62</v>
      </c>
      <c r="AO115" s="787">
        <v>21610.55</v>
      </c>
      <c r="AP115" s="787">
        <v>11706.699999999999</v>
      </c>
      <c r="AQ115" s="787">
        <v>76614.899999999994</v>
      </c>
      <c r="AR115" s="787">
        <v>0</v>
      </c>
      <c r="AS115" s="787">
        <v>0</v>
      </c>
      <c r="AT115" s="787">
        <v>0</v>
      </c>
      <c r="AU115" s="787">
        <v>1845.17</v>
      </c>
      <c r="AV115" s="787">
        <v>0</v>
      </c>
      <c r="AW115" s="787">
        <v>132.94</v>
      </c>
      <c r="AX115" s="787">
        <v>0</v>
      </c>
      <c r="AY115" s="787">
        <v>0</v>
      </c>
      <c r="AZ115" s="787">
        <v>106783.67999999999</v>
      </c>
      <c r="BA115" s="787">
        <v>5139.5599999999995</v>
      </c>
      <c r="BB115" s="787">
        <v>1250</v>
      </c>
      <c r="BC115" s="787">
        <v>96525.47</v>
      </c>
      <c r="BD115" s="787">
        <v>67.5</v>
      </c>
      <c r="BE115" s="787">
        <v>77359.33</v>
      </c>
      <c r="BF115" s="787">
        <v>91812.89</v>
      </c>
      <c r="BG115" s="787">
        <v>0</v>
      </c>
      <c r="BH115" s="787">
        <v>0</v>
      </c>
      <c r="BI115" s="787">
        <v>0</v>
      </c>
      <c r="BJ115" s="787">
        <v>1851519.2999999996</v>
      </c>
      <c r="BK115" s="787">
        <v>264120.30999999971</v>
      </c>
      <c r="BL115" s="787">
        <v>-54721.519999999553</v>
      </c>
      <c r="BM115" s="787">
        <v>209398.79000000015</v>
      </c>
      <c r="BN115" s="787">
        <v>0</v>
      </c>
      <c r="BO115" s="787">
        <v>0</v>
      </c>
      <c r="BP115" s="787">
        <v>0</v>
      </c>
      <c r="BQ115" s="787">
        <v>0</v>
      </c>
      <c r="BR115" s="787">
        <v>0</v>
      </c>
      <c r="BS115" s="787">
        <v>0</v>
      </c>
      <c r="BT115" s="787">
        <v>0</v>
      </c>
      <c r="BU115" s="787">
        <v>0</v>
      </c>
      <c r="BV115" s="787">
        <v>0</v>
      </c>
      <c r="BW115" s="787">
        <v>0</v>
      </c>
      <c r="BX115" s="787">
        <v>0</v>
      </c>
      <c r="BY115" s="787">
        <v>0</v>
      </c>
      <c r="BZ115" s="787">
        <v>0</v>
      </c>
      <c r="CA115" s="787">
        <v>0</v>
      </c>
      <c r="CB115" s="787">
        <v>0</v>
      </c>
      <c r="CC115" s="787">
        <v>0</v>
      </c>
      <c r="CD115" s="787">
        <v>0</v>
      </c>
      <c r="CE115" s="787">
        <v>0</v>
      </c>
      <c r="CF115" s="787">
        <v>0</v>
      </c>
      <c r="CG115" s="787">
        <v>0</v>
      </c>
      <c r="CH115" s="787">
        <v>0</v>
      </c>
      <c r="CI115" s="787">
        <v>0</v>
      </c>
      <c r="CJ115" s="787">
        <v>0</v>
      </c>
      <c r="CK115" s="787">
        <v>0</v>
      </c>
      <c r="CL115" s="787">
        <v>0</v>
      </c>
      <c r="CM115" s="787">
        <v>209398.79000000015</v>
      </c>
      <c r="CN115" s="787">
        <v>0</v>
      </c>
      <c r="CO115" s="787">
        <v>0</v>
      </c>
      <c r="CP115" s="787">
        <v>0</v>
      </c>
      <c r="CQ115" s="787">
        <v>0</v>
      </c>
      <c r="CR115" s="787">
        <v>209398.79000000015</v>
      </c>
      <c r="CS115" s="787">
        <v>430188.76</v>
      </c>
      <c r="CT115" s="787">
        <v>5065.99</v>
      </c>
      <c r="CU115" s="787">
        <v>3239.48</v>
      </c>
      <c r="CV115" s="787">
        <v>428362.25</v>
      </c>
      <c r="CW115" s="787">
        <v>20000</v>
      </c>
      <c r="CX115" s="787">
        <v>2214.38</v>
      </c>
      <c r="CY115" s="787">
        <v>-257.66000000000003</v>
      </c>
      <c r="CZ115" s="787">
        <v>0</v>
      </c>
      <c r="DA115" s="787">
        <v>0</v>
      </c>
      <c r="DB115" s="787">
        <v>450318.97000000003</v>
      </c>
      <c r="DC115" s="787">
        <v>0</v>
      </c>
      <c r="DD115" s="787">
        <v>0</v>
      </c>
      <c r="DE115" s="787">
        <v>0</v>
      </c>
      <c r="DF115" s="787">
        <v>0</v>
      </c>
      <c r="DG115" s="787"/>
      <c r="DH115" s="787"/>
      <c r="DI115" s="787"/>
      <c r="DJ115" s="787">
        <v>0</v>
      </c>
      <c r="DK115" s="787">
        <v>0</v>
      </c>
      <c r="DL115" s="787">
        <v>0</v>
      </c>
      <c r="DM115" s="787">
        <v>0</v>
      </c>
      <c r="DN115" s="787">
        <v>0</v>
      </c>
      <c r="DO115" s="787">
        <v>0</v>
      </c>
      <c r="DP115" s="787">
        <v>-113855.69</v>
      </c>
      <c r="DQ115" s="787">
        <v>-25759.67</v>
      </c>
      <c r="DR115" s="787">
        <v>0</v>
      </c>
      <c r="DS115" s="787">
        <v>0</v>
      </c>
      <c r="DT115" s="787">
        <v>-139615.35999999999</v>
      </c>
      <c r="DU115" s="787">
        <v>0</v>
      </c>
      <c r="DV115" s="787">
        <v>0</v>
      </c>
      <c r="DW115" s="787">
        <v>-5842.14</v>
      </c>
      <c r="DX115" s="787">
        <v>0</v>
      </c>
      <c r="DY115" s="787">
        <v>0</v>
      </c>
      <c r="DZ115" s="787">
        <v>-95463.15</v>
      </c>
      <c r="EA115" s="787">
        <v>0.47000000011757948</v>
      </c>
      <c r="EE115">
        <f>_xlfn.XLOOKUP(C115,'[1]Cfwd Analysis'!$C:$C,'[1]Cfwd Analysis'!$I:$I,0,0)</f>
        <v>209398.79000000015</v>
      </c>
      <c r="EF115" s="788">
        <f t="shared" si="1"/>
        <v>0</v>
      </c>
    </row>
    <row r="116" spans="1:136" ht="15.6" hidden="1">
      <c r="A116" s="782" t="s">
        <v>1410</v>
      </c>
      <c r="B116" s="782" t="s">
        <v>728</v>
      </c>
      <c r="C116" s="783">
        <v>3328</v>
      </c>
      <c r="D116" s="784" t="s">
        <v>729</v>
      </c>
      <c r="E116" s="785" t="s">
        <v>521</v>
      </c>
      <c r="F116" s="786" t="s">
        <v>1315</v>
      </c>
      <c r="G116" s="785" t="s">
        <v>5</v>
      </c>
      <c r="H116" s="785" t="s">
        <v>740</v>
      </c>
      <c r="I116" s="787">
        <v>1262682.3553523237</v>
      </c>
      <c r="J116" s="787">
        <v>0</v>
      </c>
      <c r="K116" s="787">
        <v>75864.863333333342</v>
      </c>
      <c r="L116" s="787">
        <v>0</v>
      </c>
      <c r="M116" s="787">
        <v>87470</v>
      </c>
      <c r="N116" s="787">
        <v>48706.6</v>
      </c>
      <c r="O116" s="787">
        <v>0</v>
      </c>
      <c r="P116" s="787">
        <v>0</v>
      </c>
      <c r="Q116" s="787">
        <v>24945.540970000002</v>
      </c>
      <c r="R116" s="787">
        <v>10426</v>
      </c>
      <c r="S116" s="787">
        <v>0</v>
      </c>
      <c r="T116" s="787">
        <v>0</v>
      </c>
      <c r="U116" s="787">
        <v>12420.93</v>
      </c>
      <c r="V116" s="787">
        <v>121780.34</v>
      </c>
      <c r="W116" s="787">
        <v>0</v>
      </c>
      <c r="X116" s="787">
        <v>1644296.6296556571</v>
      </c>
      <c r="Y116" s="787">
        <v>784043.81</v>
      </c>
      <c r="Z116" s="787">
        <v>0</v>
      </c>
      <c r="AA116" s="787">
        <v>171750.16999999998</v>
      </c>
      <c r="AB116" s="787">
        <v>5670.6100000000006</v>
      </c>
      <c r="AC116" s="787">
        <v>136020.64000000001</v>
      </c>
      <c r="AD116" s="787">
        <v>0</v>
      </c>
      <c r="AE116" s="787">
        <v>75959.98000000001</v>
      </c>
      <c r="AF116" s="787">
        <v>0</v>
      </c>
      <c r="AG116" s="787">
        <v>0</v>
      </c>
      <c r="AH116" s="787">
        <v>0</v>
      </c>
      <c r="AI116" s="787">
        <v>0</v>
      </c>
      <c r="AJ116" s="787">
        <v>19121.400000000001</v>
      </c>
      <c r="AK116" s="787">
        <v>0</v>
      </c>
      <c r="AL116" s="787">
        <v>1173.94</v>
      </c>
      <c r="AM116" s="787">
        <v>6141.73</v>
      </c>
      <c r="AN116" s="787">
        <v>17579.84</v>
      </c>
      <c r="AO116" s="787">
        <v>3471.48</v>
      </c>
      <c r="AP116" s="787">
        <v>6900.53</v>
      </c>
      <c r="AQ116" s="787">
        <v>107057.25</v>
      </c>
      <c r="AR116" s="787">
        <v>0</v>
      </c>
      <c r="AS116" s="787">
        <v>0</v>
      </c>
      <c r="AT116" s="787">
        <v>0</v>
      </c>
      <c r="AU116" s="787">
        <v>0</v>
      </c>
      <c r="AV116" s="787">
        <v>0</v>
      </c>
      <c r="AW116" s="787">
        <v>0</v>
      </c>
      <c r="AX116" s="787">
        <v>258</v>
      </c>
      <c r="AY116" s="787">
        <v>52.4</v>
      </c>
      <c r="AZ116" s="787">
        <v>68443.569999999992</v>
      </c>
      <c r="BA116" s="787">
        <v>9187.75</v>
      </c>
      <c r="BB116" s="787">
        <v>0</v>
      </c>
      <c r="BC116" s="787">
        <v>83819.08</v>
      </c>
      <c r="BD116" s="787">
        <v>51912.33</v>
      </c>
      <c r="BE116" s="787">
        <v>5450.7199999999984</v>
      </c>
      <c r="BF116" s="787">
        <v>105783.33</v>
      </c>
      <c r="BG116" s="787">
        <v>0</v>
      </c>
      <c r="BH116" s="787">
        <v>0</v>
      </c>
      <c r="BI116" s="787">
        <v>0</v>
      </c>
      <c r="BJ116" s="787">
        <v>1659798.56</v>
      </c>
      <c r="BK116" s="787">
        <v>313780.02</v>
      </c>
      <c r="BL116" s="787">
        <v>-15501.930344342953</v>
      </c>
      <c r="BM116" s="787">
        <v>298278.08965565707</v>
      </c>
      <c r="BN116" s="787">
        <v>0</v>
      </c>
      <c r="BO116" s="787">
        <v>0</v>
      </c>
      <c r="BP116" s="787">
        <v>0</v>
      </c>
      <c r="BQ116" s="787">
        <v>0</v>
      </c>
      <c r="BR116" s="787">
        <v>0</v>
      </c>
      <c r="BS116" s="787">
        <v>0</v>
      </c>
      <c r="BT116" s="787">
        <v>0</v>
      </c>
      <c r="BU116" s="787">
        <v>0</v>
      </c>
      <c r="BV116" s="787">
        <v>0</v>
      </c>
      <c r="BW116" s="787">
        <v>0</v>
      </c>
      <c r="BX116" s="787">
        <v>0</v>
      </c>
      <c r="BY116" s="787">
        <v>0</v>
      </c>
      <c r="BZ116" s="787">
        <v>0</v>
      </c>
      <c r="CA116" s="787">
        <v>0</v>
      </c>
      <c r="CB116" s="787">
        <v>0</v>
      </c>
      <c r="CC116" s="787">
        <v>0</v>
      </c>
      <c r="CD116" s="787">
        <v>0</v>
      </c>
      <c r="CE116" s="787">
        <v>0</v>
      </c>
      <c r="CF116" s="787">
        <v>0</v>
      </c>
      <c r="CG116" s="787">
        <v>0</v>
      </c>
      <c r="CH116" s="787">
        <v>0</v>
      </c>
      <c r="CI116" s="787">
        <v>0</v>
      </c>
      <c r="CJ116" s="787">
        <v>0</v>
      </c>
      <c r="CK116" s="787">
        <v>0</v>
      </c>
      <c r="CL116" s="787">
        <v>0</v>
      </c>
      <c r="CM116" s="787">
        <v>298278.08965565707</v>
      </c>
      <c r="CN116" s="787">
        <v>0</v>
      </c>
      <c r="CO116" s="787">
        <v>0</v>
      </c>
      <c r="CP116" s="787">
        <v>0</v>
      </c>
      <c r="CQ116" s="787">
        <v>0</v>
      </c>
      <c r="CR116" s="787">
        <v>298278.08965565707</v>
      </c>
      <c r="CS116" s="787">
        <v>402240.34</v>
      </c>
      <c r="CT116" s="787">
        <v>2364.17</v>
      </c>
      <c r="CU116" s="787">
        <v>4497.95</v>
      </c>
      <c r="CV116" s="787">
        <v>404374.12000000005</v>
      </c>
      <c r="CW116" s="787">
        <v>0</v>
      </c>
      <c r="CX116" s="787">
        <v>3079.01</v>
      </c>
      <c r="CY116" s="787">
        <v>5325.29</v>
      </c>
      <c r="CZ116" s="787">
        <v>9064.77</v>
      </c>
      <c r="DA116" s="787">
        <v>0</v>
      </c>
      <c r="DB116" s="787">
        <v>421843.19000000006</v>
      </c>
      <c r="DC116" s="787">
        <v>0</v>
      </c>
      <c r="DD116" s="787">
        <v>0</v>
      </c>
      <c r="DE116" s="787">
        <v>0</v>
      </c>
      <c r="DF116" s="787">
        <v>0</v>
      </c>
      <c r="DG116" s="787"/>
      <c r="DH116" s="787"/>
      <c r="DI116" s="787"/>
      <c r="DJ116" s="787">
        <v>0</v>
      </c>
      <c r="DK116" s="787">
        <v>0</v>
      </c>
      <c r="DL116" s="787">
        <v>4471.45</v>
      </c>
      <c r="DM116" s="787">
        <v>0</v>
      </c>
      <c r="DN116" s="787">
        <v>0</v>
      </c>
      <c r="DO116" s="787">
        <v>0</v>
      </c>
      <c r="DP116" s="787">
        <v>-105865.48</v>
      </c>
      <c r="DQ116" s="787">
        <v>-22210.98</v>
      </c>
      <c r="DR116" s="787">
        <v>0</v>
      </c>
      <c r="DS116" s="787">
        <v>0</v>
      </c>
      <c r="DT116" s="787">
        <v>-123605.01</v>
      </c>
      <c r="DU116" s="787">
        <v>39.979999999999997</v>
      </c>
      <c r="DV116" s="787">
        <v>0</v>
      </c>
      <c r="DW116" s="787">
        <v>0</v>
      </c>
      <c r="DX116" s="787">
        <v>0</v>
      </c>
      <c r="DY116" s="787">
        <v>0</v>
      </c>
      <c r="DZ116" s="787">
        <v>0</v>
      </c>
      <c r="EA116" s="787">
        <v>-7.0344342966564E-2</v>
      </c>
      <c r="EE116">
        <f>_xlfn.XLOOKUP(C116,'[1]Cfwd Analysis'!$C:$C,'[1]Cfwd Analysis'!$I:$I,0,0)</f>
        <v>298278.08965565707</v>
      </c>
      <c r="EF116" s="788">
        <f t="shared" si="1"/>
        <v>0</v>
      </c>
    </row>
    <row r="117" spans="1:136" ht="15.6" hidden="1">
      <c r="A117" s="782" t="s">
        <v>1411</v>
      </c>
      <c r="B117" s="782" t="s">
        <v>908</v>
      </c>
      <c r="C117" s="783">
        <v>2150</v>
      </c>
      <c r="D117" s="784" t="s">
        <v>909</v>
      </c>
      <c r="E117" s="785" t="s">
        <v>521</v>
      </c>
      <c r="F117" s="786">
        <v>46094</v>
      </c>
      <c r="G117" s="785" t="s">
        <v>5</v>
      </c>
      <c r="H117" s="785" t="s">
        <v>930</v>
      </c>
      <c r="I117" s="787">
        <v>1658431.4373479388</v>
      </c>
      <c r="J117" s="787">
        <v>0</v>
      </c>
      <c r="K117" s="787">
        <v>129763.01</v>
      </c>
      <c r="L117" s="787">
        <v>0</v>
      </c>
      <c r="M117" s="787">
        <v>176855</v>
      </c>
      <c r="N117" s="787">
        <v>91837</v>
      </c>
      <c r="O117" s="787">
        <v>0</v>
      </c>
      <c r="P117" s="787">
        <v>0</v>
      </c>
      <c r="Q117" s="787">
        <v>11518.23</v>
      </c>
      <c r="R117" s="787">
        <v>2709.13</v>
      </c>
      <c r="S117" s="787">
        <v>0</v>
      </c>
      <c r="T117" s="787">
        <v>0</v>
      </c>
      <c r="U117" s="787">
        <v>2817.06</v>
      </c>
      <c r="V117" s="787">
        <v>1866.49</v>
      </c>
      <c r="W117" s="787">
        <v>0</v>
      </c>
      <c r="X117" s="787">
        <v>2075797.3573479387</v>
      </c>
      <c r="Y117" s="787">
        <v>889494.25</v>
      </c>
      <c r="Z117" s="787">
        <v>32677</v>
      </c>
      <c r="AA117" s="787">
        <v>473368.04</v>
      </c>
      <c r="AB117" s="787">
        <v>86986.240000000005</v>
      </c>
      <c r="AC117" s="787">
        <v>75446.27</v>
      </c>
      <c r="AD117" s="787">
        <v>0</v>
      </c>
      <c r="AE117" s="787">
        <v>59722</v>
      </c>
      <c r="AF117" s="787">
        <v>490</v>
      </c>
      <c r="AG117" s="787">
        <v>563</v>
      </c>
      <c r="AH117" s="787">
        <v>0</v>
      </c>
      <c r="AI117" s="787">
        <v>0</v>
      </c>
      <c r="AJ117" s="787">
        <v>12136</v>
      </c>
      <c r="AK117" s="787">
        <v>0</v>
      </c>
      <c r="AL117" s="787">
        <v>3089</v>
      </c>
      <c r="AM117" s="787">
        <v>14131</v>
      </c>
      <c r="AN117" s="787">
        <v>111039.85</v>
      </c>
      <c r="AO117" s="787">
        <v>35244.79</v>
      </c>
      <c r="AP117" s="787">
        <v>19870.28</v>
      </c>
      <c r="AQ117" s="787">
        <v>38232</v>
      </c>
      <c r="AR117" s="787">
        <v>0</v>
      </c>
      <c r="AS117" s="787">
        <v>0</v>
      </c>
      <c r="AT117" s="787">
        <v>3255</v>
      </c>
      <c r="AU117" s="787">
        <v>0</v>
      </c>
      <c r="AV117" s="787">
        <v>0</v>
      </c>
      <c r="AW117" s="787">
        <v>109</v>
      </c>
      <c r="AX117" s="787">
        <v>65</v>
      </c>
      <c r="AY117" s="787">
        <v>0</v>
      </c>
      <c r="AZ117" s="787">
        <v>17496.52</v>
      </c>
      <c r="BA117" s="787">
        <v>5139.75</v>
      </c>
      <c r="BB117" s="787">
        <v>2900</v>
      </c>
      <c r="BC117" s="787">
        <v>140748.53</v>
      </c>
      <c r="BD117" s="787">
        <v>90746</v>
      </c>
      <c r="BE117" s="787">
        <v>7063.64</v>
      </c>
      <c r="BF117" s="787">
        <v>96644.9</v>
      </c>
      <c r="BG117" s="787">
        <v>0</v>
      </c>
      <c r="BH117" s="787">
        <v>0</v>
      </c>
      <c r="BI117" s="787">
        <v>0</v>
      </c>
      <c r="BJ117" s="787">
        <v>2216658.0600000005</v>
      </c>
      <c r="BK117" s="787">
        <v>-591807.22999999952</v>
      </c>
      <c r="BL117" s="787">
        <v>-140860.70265206182</v>
      </c>
      <c r="BM117" s="787">
        <v>-732667.93265206134</v>
      </c>
      <c r="BN117" s="787">
        <v>7240</v>
      </c>
      <c r="BO117" s="787">
        <v>0</v>
      </c>
      <c r="BP117" s="787">
        <v>0</v>
      </c>
      <c r="BQ117" s="787">
        <v>7240</v>
      </c>
      <c r="BR117" s="787">
        <v>0</v>
      </c>
      <c r="BS117" s="787">
        <v>0</v>
      </c>
      <c r="BT117" s="787">
        <v>0</v>
      </c>
      <c r="BU117" s="787">
        <v>0</v>
      </c>
      <c r="BV117" s="787">
        <v>0</v>
      </c>
      <c r="BW117" s="787">
        <v>0</v>
      </c>
      <c r="BX117" s="787">
        <v>0</v>
      </c>
      <c r="BY117" s="787">
        <v>0</v>
      </c>
      <c r="BZ117" s="787">
        <v>0</v>
      </c>
      <c r="CA117" s="787">
        <v>46591.109999999993</v>
      </c>
      <c r="CB117" s="787">
        <v>7240</v>
      </c>
      <c r="CC117" s="787">
        <v>53831.109999999993</v>
      </c>
      <c r="CD117" s="787">
        <v>0</v>
      </c>
      <c r="CE117" s="787">
        <v>0</v>
      </c>
      <c r="CF117" s="787">
        <v>0</v>
      </c>
      <c r="CG117" s="787">
        <v>0</v>
      </c>
      <c r="CH117" s="787">
        <v>0</v>
      </c>
      <c r="CI117" s="787">
        <v>0</v>
      </c>
      <c r="CJ117" s="787">
        <v>0</v>
      </c>
      <c r="CK117" s="787">
        <v>0</v>
      </c>
      <c r="CL117" s="787">
        <v>0</v>
      </c>
      <c r="CM117" s="787">
        <v>0</v>
      </c>
      <c r="CN117" s="787">
        <v>-732667.93265206134</v>
      </c>
      <c r="CO117" s="787">
        <v>53831</v>
      </c>
      <c r="CP117" s="787">
        <v>0.10999999999330612</v>
      </c>
      <c r="CQ117" s="787">
        <v>0</v>
      </c>
      <c r="CR117" s="787">
        <v>-678836.82265206135</v>
      </c>
      <c r="CS117" s="787">
        <v>-491887.96</v>
      </c>
      <c r="CT117" s="787">
        <v>0</v>
      </c>
      <c r="CU117" s="787">
        <v>0</v>
      </c>
      <c r="CV117" s="787">
        <v>-491887.96</v>
      </c>
      <c r="CW117" s="787">
        <v>0</v>
      </c>
      <c r="CX117" s="787">
        <v>16594.810000000001</v>
      </c>
      <c r="CY117" s="787">
        <v>3980.1</v>
      </c>
      <c r="CZ117" s="787">
        <v>0</v>
      </c>
      <c r="DA117" s="787">
        <v>0</v>
      </c>
      <c r="DB117" s="787">
        <v>-471313.05000000005</v>
      </c>
      <c r="DC117" s="787">
        <v>0</v>
      </c>
      <c r="DD117" s="787">
        <v>0</v>
      </c>
      <c r="DE117" s="787">
        <v>0</v>
      </c>
      <c r="DF117" s="787">
        <v>0</v>
      </c>
      <c r="DG117" s="787"/>
      <c r="DH117" s="787"/>
      <c r="DI117" s="787"/>
      <c r="DJ117" s="787">
        <v>0</v>
      </c>
      <c r="DK117" s="787">
        <v>0</v>
      </c>
      <c r="DL117" s="787">
        <v>0</v>
      </c>
      <c r="DM117" s="787">
        <v>8743.39</v>
      </c>
      <c r="DN117" s="787">
        <v>0</v>
      </c>
      <c r="DO117" s="787">
        <v>0</v>
      </c>
      <c r="DP117" s="787">
        <v>-154749.65</v>
      </c>
      <c r="DQ117" s="787">
        <v>-36730.81</v>
      </c>
      <c r="DR117" s="787">
        <v>0</v>
      </c>
      <c r="DS117" s="787">
        <v>0</v>
      </c>
      <c r="DT117" s="787">
        <v>-182737.07</v>
      </c>
      <c r="DU117" s="787">
        <v>0</v>
      </c>
      <c r="DV117" s="787">
        <v>0</v>
      </c>
      <c r="DW117" s="787">
        <v>0</v>
      </c>
      <c r="DX117" s="787">
        <v>0</v>
      </c>
      <c r="DY117" s="787">
        <v>0</v>
      </c>
      <c r="DZ117" s="787">
        <v>-24787.18</v>
      </c>
      <c r="EA117" s="787">
        <v>0.47734793880954385</v>
      </c>
      <c r="EE117">
        <f>_xlfn.XLOOKUP(C117,'[1]Cfwd Analysis'!$C:$C,'[1]Cfwd Analysis'!$I:$I,0,0)</f>
        <v>-732667.93265206134</v>
      </c>
      <c r="EF117" s="788">
        <f t="shared" si="1"/>
        <v>0</v>
      </c>
    </row>
    <row r="118" spans="1:136" ht="15.6" hidden="1">
      <c r="A118" s="782" t="s">
        <v>1412</v>
      </c>
      <c r="B118" s="782" t="s">
        <v>910</v>
      </c>
      <c r="C118" s="783">
        <v>2425</v>
      </c>
      <c r="D118" s="784" t="s">
        <v>911</v>
      </c>
      <c r="E118" s="785" t="s">
        <v>521</v>
      </c>
      <c r="F118" s="786">
        <v>46094</v>
      </c>
      <c r="G118" s="785" t="s">
        <v>5</v>
      </c>
      <c r="H118" s="785" t="s">
        <v>872</v>
      </c>
      <c r="I118" s="787">
        <v>1139903.1488526065</v>
      </c>
      <c r="J118" s="787">
        <v>0</v>
      </c>
      <c r="K118" s="787">
        <v>89456.53</v>
      </c>
      <c r="L118" s="787">
        <v>0</v>
      </c>
      <c r="M118" s="787">
        <v>45765</v>
      </c>
      <c r="N118" s="787">
        <v>55219</v>
      </c>
      <c r="O118" s="787">
        <v>597</v>
      </c>
      <c r="P118" s="787">
        <v>0</v>
      </c>
      <c r="Q118" s="787">
        <v>12697.64</v>
      </c>
      <c r="R118" s="787">
        <v>-0.48999999999796273</v>
      </c>
      <c r="S118" s="787">
        <v>0</v>
      </c>
      <c r="T118" s="787">
        <v>0</v>
      </c>
      <c r="U118" s="787">
        <v>20512.91</v>
      </c>
      <c r="V118" s="787">
        <v>0</v>
      </c>
      <c r="W118" s="787">
        <v>0</v>
      </c>
      <c r="X118" s="787">
        <v>1364150.7388526064</v>
      </c>
      <c r="Y118" s="787">
        <v>816454.92</v>
      </c>
      <c r="Z118" s="787">
        <v>0</v>
      </c>
      <c r="AA118" s="787">
        <v>217613.29</v>
      </c>
      <c r="AB118" s="787">
        <v>53601.619999999995</v>
      </c>
      <c r="AC118" s="787">
        <v>6877.89</v>
      </c>
      <c r="AD118" s="787">
        <v>0</v>
      </c>
      <c r="AE118" s="787">
        <v>45296.61</v>
      </c>
      <c r="AF118" s="787">
        <v>4013</v>
      </c>
      <c r="AG118" s="787">
        <v>6009.01</v>
      </c>
      <c r="AH118" s="787">
        <v>0</v>
      </c>
      <c r="AI118" s="787">
        <v>1442</v>
      </c>
      <c r="AJ118" s="787">
        <v>3934.49</v>
      </c>
      <c r="AK118" s="787">
        <v>35468.959999999999</v>
      </c>
      <c r="AL118" s="787">
        <v>35443.170000000006</v>
      </c>
      <c r="AM118" s="787">
        <v>6334.81</v>
      </c>
      <c r="AN118" s="787">
        <v>28271.750000000004</v>
      </c>
      <c r="AO118" s="787">
        <v>15625.330000000004</v>
      </c>
      <c r="AP118" s="787">
        <v>1818.8800000000003</v>
      </c>
      <c r="AQ118" s="787">
        <v>35158.01</v>
      </c>
      <c r="AR118" s="787">
        <v>0</v>
      </c>
      <c r="AS118" s="787">
        <v>0</v>
      </c>
      <c r="AT118" s="787">
        <v>3285.4</v>
      </c>
      <c r="AU118" s="787">
        <v>0</v>
      </c>
      <c r="AV118" s="787">
        <v>176.98</v>
      </c>
      <c r="AW118" s="787">
        <v>0</v>
      </c>
      <c r="AX118" s="787">
        <v>0</v>
      </c>
      <c r="AY118" s="787">
        <v>0</v>
      </c>
      <c r="AZ118" s="787">
        <v>3707.83</v>
      </c>
      <c r="BA118" s="787">
        <v>5139.75</v>
      </c>
      <c r="BB118" s="787">
        <v>0</v>
      </c>
      <c r="BC118" s="787">
        <v>85203.13</v>
      </c>
      <c r="BD118" s="787">
        <v>2389.5</v>
      </c>
      <c r="BE118" s="787">
        <v>56883.46</v>
      </c>
      <c r="BF118" s="787">
        <v>30555.35</v>
      </c>
      <c r="BG118" s="787">
        <v>0</v>
      </c>
      <c r="BH118" s="787">
        <v>0</v>
      </c>
      <c r="BI118" s="787">
        <v>0</v>
      </c>
      <c r="BJ118" s="787">
        <v>1500705.1400000001</v>
      </c>
      <c r="BK118" s="787">
        <v>-222996.63999999879</v>
      </c>
      <c r="BL118" s="787">
        <v>-136554.40114739374</v>
      </c>
      <c r="BM118" s="787">
        <v>-359551.04114739253</v>
      </c>
      <c r="BN118" s="787">
        <v>6373.75</v>
      </c>
      <c r="BO118" s="787">
        <v>0</v>
      </c>
      <c r="BP118" s="787">
        <v>0</v>
      </c>
      <c r="BQ118" s="787">
        <v>6373.75</v>
      </c>
      <c r="BR118" s="787">
        <v>0</v>
      </c>
      <c r="BS118" s="787">
        <v>0</v>
      </c>
      <c r="BT118" s="787">
        <v>0</v>
      </c>
      <c r="BU118" s="787">
        <v>0</v>
      </c>
      <c r="BV118" s="787">
        <v>0</v>
      </c>
      <c r="BW118" s="787">
        <v>0</v>
      </c>
      <c r="BX118" s="787">
        <v>0</v>
      </c>
      <c r="BY118" s="787">
        <v>0</v>
      </c>
      <c r="BZ118" s="787">
        <v>0</v>
      </c>
      <c r="CA118" s="787">
        <v>22306.16</v>
      </c>
      <c r="CB118" s="787">
        <v>6373.75</v>
      </c>
      <c r="CC118" s="787">
        <v>28679.91</v>
      </c>
      <c r="CD118" s="787">
        <v>0</v>
      </c>
      <c r="CE118" s="787">
        <v>0</v>
      </c>
      <c r="CF118" s="787">
        <v>0</v>
      </c>
      <c r="CG118" s="787">
        <v>0</v>
      </c>
      <c r="CH118" s="787">
        <v>0</v>
      </c>
      <c r="CI118" s="787">
        <v>0</v>
      </c>
      <c r="CJ118" s="787">
        <v>0</v>
      </c>
      <c r="CK118" s="787">
        <v>0</v>
      </c>
      <c r="CL118" s="787">
        <v>0</v>
      </c>
      <c r="CM118" s="787">
        <v>0</v>
      </c>
      <c r="CN118" s="787">
        <v>-359551.04114739253</v>
      </c>
      <c r="CO118" s="787">
        <v>28679.91</v>
      </c>
      <c r="CP118" s="787">
        <v>0</v>
      </c>
      <c r="CQ118" s="787">
        <v>0</v>
      </c>
      <c r="CR118" s="787">
        <v>-330871.13114739256</v>
      </c>
      <c r="CS118" s="787">
        <v>-164955.89000000001</v>
      </c>
      <c r="CT118" s="787">
        <v>23169.49</v>
      </c>
      <c r="CU118" s="787">
        <v>2353.1</v>
      </c>
      <c r="CV118" s="787">
        <v>-185772.28</v>
      </c>
      <c r="CW118" s="787">
        <v>0</v>
      </c>
      <c r="CX118" s="787">
        <v>3920.62</v>
      </c>
      <c r="CY118" s="787">
        <v>71.28</v>
      </c>
      <c r="CZ118" s="787">
        <v>0</v>
      </c>
      <c r="DA118" s="787">
        <v>0</v>
      </c>
      <c r="DB118" s="787">
        <v>-181780.38</v>
      </c>
      <c r="DC118" s="787">
        <v>0</v>
      </c>
      <c r="DD118" s="787">
        <v>0</v>
      </c>
      <c r="DE118" s="787">
        <v>0</v>
      </c>
      <c r="DF118" s="787">
        <v>0</v>
      </c>
      <c r="DG118" s="787"/>
      <c r="DH118" s="787"/>
      <c r="DI118" s="787"/>
      <c r="DJ118" s="787">
        <v>0</v>
      </c>
      <c r="DK118" s="787">
        <v>0</v>
      </c>
      <c r="DL118" s="787">
        <v>0</v>
      </c>
      <c r="DM118" s="787">
        <v>0</v>
      </c>
      <c r="DN118" s="787">
        <v>0</v>
      </c>
      <c r="DO118" s="787">
        <v>0</v>
      </c>
      <c r="DP118" s="787">
        <v>-103910.02</v>
      </c>
      <c r="DQ118" s="787">
        <v>-24252.9</v>
      </c>
      <c r="DR118" s="787">
        <v>0</v>
      </c>
      <c r="DS118" s="787">
        <v>0</v>
      </c>
      <c r="DT118" s="787">
        <v>-128162.92000000001</v>
      </c>
      <c r="DU118" s="787">
        <v>0</v>
      </c>
      <c r="DV118" s="787">
        <v>0</v>
      </c>
      <c r="DW118" s="787">
        <v>0</v>
      </c>
      <c r="DX118" s="787">
        <v>0</v>
      </c>
      <c r="DY118" s="787">
        <v>0</v>
      </c>
      <c r="DZ118" s="787">
        <v>-20927.88</v>
      </c>
      <c r="EA118" s="787">
        <v>4.885260749142617E-2</v>
      </c>
      <c r="EC118" s="788">
        <v>28679.91</v>
      </c>
      <c r="EE118">
        <f>_xlfn.XLOOKUP(C118,'[1]Cfwd Analysis'!$C:$C,'[1]Cfwd Analysis'!$I:$I,0,0)</f>
        <v>-359551.04114739253</v>
      </c>
      <c r="EF118" s="788">
        <f t="shared" si="1"/>
        <v>0</v>
      </c>
    </row>
    <row r="119" spans="1:136" ht="15.6" hidden="1">
      <c r="A119" s="782" t="s">
        <v>1413</v>
      </c>
      <c r="B119" s="782" t="s">
        <v>730</v>
      </c>
      <c r="C119" s="783">
        <v>1008</v>
      </c>
      <c r="D119" s="784" t="s">
        <v>731</v>
      </c>
      <c r="E119" s="785" t="s">
        <v>521</v>
      </c>
      <c r="F119" s="786">
        <v>46093</v>
      </c>
      <c r="G119" s="785" t="s">
        <v>5</v>
      </c>
      <c r="H119" s="785" t="s">
        <v>742</v>
      </c>
      <c r="I119" s="787">
        <v>472287.20084859408</v>
      </c>
      <c r="J119" s="787">
        <v>0</v>
      </c>
      <c r="K119" s="787">
        <v>1012.8321329639889</v>
      </c>
      <c r="L119" s="787">
        <v>0</v>
      </c>
      <c r="M119" s="787">
        <v>0</v>
      </c>
      <c r="N119" s="787">
        <v>0</v>
      </c>
      <c r="O119" s="787">
        <v>0</v>
      </c>
      <c r="P119" s="787">
        <v>0</v>
      </c>
      <c r="Q119" s="787">
        <v>5332.3607049999955</v>
      </c>
      <c r="R119" s="787">
        <v>0</v>
      </c>
      <c r="S119" s="787">
        <v>0</v>
      </c>
      <c r="T119" s="787">
        <v>0</v>
      </c>
      <c r="U119" s="787">
        <v>0</v>
      </c>
      <c r="V119" s="787">
        <v>22867.78</v>
      </c>
      <c r="W119" s="787">
        <v>0</v>
      </c>
      <c r="X119" s="787">
        <v>501500.17368655803</v>
      </c>
      <c r="Y119" s="787">
        <v>123667.88</v>
      </c>
      <c r="Z119" s="787">
        <v>0</v>
      </c>
      <c r="AA119" s="787">
        <v>98044.85</v>
      </c>
      <c r="AB119" s="787">
        <v>0</v>
      </c>
      <c r="AC119" s="787">
        <v>4696</v>
      </c>
      <c r="AD119" s="787">
        <v>0</v>
      </c>
      <c r="AE119" s="787">
        <v>49565.26</v>
      </c>
      <c r="AF119" s="787">
        <v>55</v>
      </c>
      <c r="AG119" s="787">
        <v>2047.25</v>
      </c>
      <c r="AH119" s="787">
        <v>0</v>
      </c>
      <c r="AI119" s="787">
        <v>0</v>
      </c>
      <c r="AJ119" s="787">
        <v>918.86</v>
      </c>
      <c r="AK119" s="787">
        <v>0</v>
      </c>
      <c r="AL119" s="787">
        <v>0</v>
      </c>
      <c r="AM119" s="787">
        <v>2142.27</v>
      </c>
      <c r="AN119" s="787">
        <v>15970.78</v>
      </c>
      <c r="AO119" s="787">
        <v>0</v>
      </c>
      <c r="AP119" s="787">
        <v>6215.05</v>
      </c>
      <c r="AQ119" s="787">
        <v>20723.16</v>
      </c>
      <c r="AR119" s="787">
        <v>0</v>
      </c>
      <c r="AS119" s="787">
        <v>0</v>
      </c>
      <c r="AT119" s="787">
        <v>0</v>
      </c>
      <c r="AU119" s="787">
        <v>0</v>
      </c>
      <c r="AV119" s="787">
        <v>0</v>
      </c>
      <c r="AW119" s="787">
        <v>0</v>
      </c>
      <c r="AX119" s="787">
        <v>0</v>
      </c>
      <c r="AY119" s="787">
        <v>0</v>
      </c>
      <c r="AZ119" s="787">
        <v>14604.4</v>
      </c>
      <c r="BA119" s="787">
        <v>3291.75</v>
      </c>
      <c r="BB119" s="787">
        <v>0</v>
      </c>
      <c r="BC119" s="787">
        <v>134.34</v>
      </c>
      <c r="BD119" s="787">
        <v>129401.52</v>
      </c>
      <c r="BE119" s="787">
        <v>4547.8</v>
      </c>
      <c r="BF119" s="787">
        <v>91898.739999999991</v>
      </c>
      <c r="BG119" s="787">
        <v>16803</v>
      </c>
      <c r="BH119" s="787">
        <v>0</v>
      </c>
      <c r="BI119" s="787">
        <v>0</v>
      </c>
      <c r="BJ119" s="787">
        <v>584727.91</v>
      </c>
      <c r="BK119" s="787">
        <v>85700.029999999795</v>
      </c>
      <c r="BL119" s="787">
        <v>-83227.736313442001</v>
      </c>
      <c r="BM119" s="787">
        <v>2472.293686557794</v>
      </c>
      <c r="BN119" s="787">
        <v>4675</v>
      </c>
      <c r="BO119" s="787">
        <v>0</v>
      </c>
      <c r="BP119" s="787">
        <v>0</v>
      </c>
      <c r="BQ119" s="787">
        <v>4675</v>
      </c>
      <c r="BR119" s="787">
        <v>0</v>
      </c>
      <c r="BS119" s="787">
        <v>0</v>
      </c>
      <c r="BT119" s="787">
        <v>0</v>
      </c>
      <c r="BU119" s="787">
        <v>0</v>
      </c>
      <c r="BV119" s="787">
        <v>0</v>
      </c>
      <c r="BW119" s="787">
        <v>0</v>
      </c>
      <c r="BX119" s="787">
        <v>0</v>
      </c>
      <c r="BY119" s="787">
        <v>0</v>
      </c>
      <c r="BZ119" s="787">
        <v>0</v>
      </c>
      <c r="CA119" s="787">
        <v>16426.849999999999</v>
      </c>
      <c r="CB119" s="787">
        <v>4675</v>
      </c>
      <c r="CC119" s="787">
        <v>21101.85</v>
      </c>
      <c r="CD119" s="787">
        <v>0</v>
      </c>
      <c r="CE119" s="787">
        <v>0</v>
      </c>
      <c r="CF119" s="787">
        <v>0</v>
      </c>
      <c r="CG119" s="787">
        <v>0</v>
      </c>
      <c r="CH119" s="787">
        <v>0</v>
      </c>
      <c r="CI119" s="787">
        <v>0</v>
      </c>
      <c r="CJ119" s="787">
        <v>0</v>
      </c>
      <c r="CK119" s="787">
        <v>0</v>
      </c>
      <c r="CL119" s="787">
        <v>0</v>
      </c>
      <c r="CM119" s="787">
        <v>2472.293686557794</v>
      </c>
      <c r="CN119" s="787">
        <v>0</v>
      </c>
      <c r="CO119" s="787">
        <v>21101.85</v>
      </c>
      <c r="CP119" s="787">
        <v>0</v>
      </c>
      <c r="CQ119" s="787">
        <v>0</v>
      </c>
      <c r="CR119" s="787">
        <v>23574.143686557793</v>
      </c>
      <c r="CS119" s="787">
        <v>19627.400000000001</v>
      </c>
      <c r="CT119" s="787">
        <v>0</v>
      </c>
      <c r="CU119" s="787">
        <v>0</v>
      </c>
      <c r="CV119" s="787">
        <v>19627.400000000001</v>
      </c>
      <c r="CW119" s="787">
        <v>0</v>
      </c>
      <c r="CX119" s="787">
        <v>2033.14</v>
      </c>
      <c r="CY119" s="787">
        <v>4096.24</v>
      </c>
      <c r="CZ119" s="787">
        <v>0</v>
      </c>
      <c r="DA119" s="787">
        <v>-500</v>
      </c>
      <c r="DB119" s="787">
        <v>25256.78</v>
      </c>
      <c r="DC119" s="787">
        <v>0</v>
      </c>
      <c r="DD119" s="787">
        <v>0</v>
      </c>
      <c r="DE119" s="787">
        <v>0</v>
      </c>
      <c r="DF119" s="787">
        <v>0</v>
      </c>
      <c r="DG119" s="787"/>
      <c r="DH119" s="787"/>
      <c r="DI119" s="787"/>
      <c r="DJ119" s="787">
        <v>0</v>
      </c>
      <c r="DK119" s="787">
        <v>0</v>
      </c>
      <c r="DL119" s="787">
        <v>0</v>
      </c>
      <c r="DM119" s="787">
        <v>0</v>
      </c>
      <c r="DN119" s="787">
        <v>0</v>
      </c>
      <c r="DO119" s="787">
        <v>0</v>
      </c>
      <c r="DP119" s="787">
        <v>-32218.87</v>
      </c>
      <c r="DQ119" s="787">
        <v>0</v>
      </c>
      <c r="DR119" s="787">
        <v>0</v>
      </c>
      <c r="DS119" s="787">
        <v>0</v>
      </c>
      <c r="DT119" s="787">
        <v>-32218.87</v>
      </c>
      <c r="DU119" s="787">
        <v>0</v>
      </c>
      <c r="DV119" s="787">
        <v>31057.8</v>
      </c>
      <c r="DW119" s="787">
        <v>0</v>
      </c>
      <c r="DX119" s="787">
        <v>0</v>
      </c>
      <c r="DY119" s="787">
        <v>0</v>
      </c>
      <c r="DZ119" s="787">
        <v>-521.91999999999996</v>
      </c>
      <c r="EA119" s="787">
        <v>0.35368655779166147</v>
      </c>
      <c r="EC119" s="788">
        <v>21101.85</v>
      </c>
      <c r="EE119">
        <f>_xlfn.XLOOKUP(C119,'[1]Cfwd Analysis'!$C:$C,'[1]Cfwd Analysis'!$I:$I,0,0)</f>
        <v>2472.293686557794</v>
      </c>
      <c r="EF119" s="788">
        <f t="shared" si="1"/>
        <v>0</v>
      </c>
    </row>
    <row r="120" spans="1:136" ht="15.6" hidden="1">
      <c r="A120" s="782" t="s">
        <v>1414</v>
      </c>
      <c r="B120" s="782" t="s">
        <v>912</v>
      </c>
      <c r="C120" s="783">
        <v>7034</v>
      </c>
      <c r="D120" s="784" t="s">
        <v>913</v>
      </c>
      <c r="E120" s="785" t="s">
        <v>521</v>
      </c>
      <c r="F120" s="786">
        <v>0</v>
      </c>
      <c r="G120" s="785" t="s">
        <v>5</v>
      </c>
      <c r="H120" s="785" t="s">
        <v>936</v>
      </c>
      <c r="I120" s="787">
        <v>1042938.9813043479</v>
      </c>
      <c r="J120" s="787">
        <v>12198.468821780953</v>
      </c>
      <c r="K120" s="787">
        <v>1906947.5137196181</v>
      </c>
      <c r="L120" s="787">
        <v>0</v>
      </c>
      <c r="M120" s="787">
        <v>50045</v>
      </c>
      <c r="N120" s="787">
        <v>261383.88999999998</v>
      </c>
      <c r="O120" s="787">
        <v>18935</v>
      </c>
      <c r="P120" s="787">
        <v>0</v>
      </c>
      <c r="Q120" s="787">
        <v>19307.13177500002</v>
      </c>
      <c r="R120" s="787">
        <v>178178.97999999998</v>
      </c>
      <c r="S120" s="787">
        <v>0</v>
      </c>
      <c r="T120" s="787">
        <v>32237.880435861181</v>
      </c>
      <c r="U120" s="787">
        <v>10921.11</v>
      </c>
      <c r="V120" s="787">
        <v>36598.050000000003</v>
      </c>
      <c r="W120" s="787">
        <v>0</v>
      </c>
      <c r="X120" s="787">
        <v>3569692.0060566077</v>
      </c>
      <c r="Y120" s="787">
        <v>1303161.73</v>
      </c>
      <c r="Z120" s="787">
        <v>0</v>
      </c>
      <c r="AA120" s="787">
        <v>704634.95</v>
      </c>
      <c r="AB120" s="787">
        <v>0</v>
      </c>
      <c r="AC120" s="787">
        <v>316021.81999999995</v>
      </c>
      <c r="AD120" s="787">
        <v>0</v>
      </c>
      <c r="AE120" s="787">
        <v>133558.98000000001</v>
      </c>
      <c r="AF120" s="787">
        <v>13821</v>
      </c>
      <c r="AG120" s="787">
        <v>9285.2999999999993</v>
      </c>
      <c r="AH120" s="787">
        <v>0</v>
      </c>
      <c r="AI120" s="787">
        <v>0</v>
      </c>
      <c r="AJ120" s="787">
        <v>23295.88</v>
      </c>
      <c r="AK120" s="787">
        <v>0</v>
      </c>
      <c r="AL120" s="787">
        <v>0</v>
      </c>
      <c r="AM120" s="787">
        <v>6577.82</v>
      </c>
      <c r="AN120" s="787">
        <v>31113.53</v>
      </c>
      <c r="AO120" s="787">
        <v>0</v>
      </c>
      <c r="AP120" s="787">
        <v>7058.48</v>
      </c>
      <c r="AQ120" s="787">
        <v>40619.78</v>
      </c>
      <c r="AR120" s="787">
        <v>0</v>
      </c>
      <c r="AS120" s="787">
        <v>0</v>
      </c>
      <c r="AT120" s="787">
        <v>2981.45</v>
      </c>
      <c r="AU120" s="787">
        <v>0</v>
      </c>
      <c r="AV120" s="787">
        <v>5814.5</v>
      </c>
      <c r="AW120" s="787">
        <v>0</v>
      </c>
      <c r="AX120" s="787">
        <v>2700</v>
      </c>
      <c r="AY120" s="787">
        <v>1585.76</v>
      </c>
      <c r="AZ120" s="787">
        <v>48530.74000000082</v>
      </c>
      <c r="BA120" s="787">
        <v>3291.75</v>
      </c>
      <c r="BB120" s="787">
        <v>1237.5</v>
      </c>
      <c r="BC120" s="787">
        <v>20998.13</v>
      </c>
      <c r="BD120" s="787">
        <v>50946.35</v>
      </c>
      <c r="BE120" s="787">
        <v>164507.01</v>
      </c>
      <c r="BF120" s="787">
        <v>123631.56</v>
      </c>
      <c r="BG120" s="787">
        <v>415954.6</v>
      </c>
      <c r="BH120" s="787">
        <v>0</v>
      </c>
      <c r="BI120" s="787">
        <v>0</v>
      </c>
      <c r="BJ120" s="787">
        <v>3431328.62</v>
      </c>
      <c r="BK120" s="787">
        <v>440479.65000000084</v>
      </c>
      <c r="BL120" s="787">
        <v>138363.38605660759</v>
      </c>
      <c r="BM120" s="787">
        <v>578843.03605660843</v>
      </c>
      <c r="BN120" s="787">
        <v>8206.94</v>
      </c>
      <c r="BO120" s="787">
        <v>0</v>
      </c>
      <c r="BP120" s="787">
        <v>0</v>
      </c>
      <c r="BQ120" s="787">
        <v>8206.94</v>
      </c>
      <c r="BR120" s="787">
        <v>0</v>
      </c>
      <c r="BS120" s="787">
        <v>8964.35</v>
      </c>
      <c r="BT120" s="787">
        <v>0</v>
      </c>
      <c r="BU120" s="787">
        <v>0</v>
      </c>
      <c r="BV120" s="787">
        <v>0</v>
      </c>
      <c r="BW120" s="787">
        <v>0</v>
      </c>
      <c r="BX120" s="787">
        <v>0</v>
      </c>
      <c r="BY120" s="787">
        <v>0</v>
      </c>
      <c r="BZ120" s="787">
        <v>8964.35</v>
      </c>
      <c r="CA120" s="787">
        <v>12376.739999999998</v>
      </c>
      <c r="CB120" s="787">
        <v>-757.40999999999985</v>
      </c>
      <c r="CC120" s="787">
        <v>11619.329999999998</v>
      </c>
      <c r="CD120" s="787">
        <v>0</v>
      </c>
      <c r="CE120" s="787">
        <v>0</v>
      </c>
      <c r="CF120" s="787">
        <v>0</v>
      </c>
      <c r="CG120" s="787">
        <v>0</v>
      </c>
      <c r="CH120" s="787">
        <v>0</v>
      </c>
      <c r="CI120" s="787">
        <v>0</v>
      </c>
      <c r="CJ120" s="787">
        <v>0</v>
      </c>
      <c r="CK120" s="787">
        <v>0</v>
      </c>
      <c r="CL120" s="787">
        <v>0</v>
      </c>
      <c r="CM120" s="787">
        <v>578843.03605660843</v>
      </c>
      <c r="CN120" s="787">
        <v>0</v>
      </c>
      <c r="CO120" s="787">
        <v>11619</v>
      </c>
      <c r="CP120" s="787">
        <v>0.32999999999810825</v>
      </c>
      <c r="CQ120" s="787">
        <v>0</v>
      </c>
      <c r="CR120" s="787">
        <v>590462.36605660839</v>
      </c>
      <c r="CS120" s="787">
        <v>373306.62</v>
      </c>
      <c r="CT120" s="787">
        <v>0</v>
      </c>
      <c r="CU120" s="787">
        <v>0</v>
      </c>
      <c r="CV120" s="787">
        <v>373306.62</v>
      </c>
      <c r="CW120" s="787">
        <v>0</v>
      </c>
      <c r="CX120" s="787">
        <v>7395.79</v>
      </c>
      <c r="CY120" s="787">
        <v>185.69</v>
      </c>
      <c r="CZ120" s="787">
        <v>0</v>
      </c>
      <c r="DA120" s="787">
        <v>0</v>
      </c>
      <c r="DB120" s="787">
        <v>380888.1</v>
      </c>
      <c r="DC120" s="787">
        <v>0</v>
      </c>
      <c r="DD120" s="787">
        <v>0</v>
      </c>
      <c r="DE120" s="787">
        <v>0</v>
      </c>
      <c r="DF120" s="787">
        <v>0</v>
      </c>
      <c r="DG120" s="787"/>
      <c r="DH120" s="787"/>
      <c r="DI120" s="787"/>
      <c r="DJ120" s="787">
        <v>0</v>
      </c>
      <c r="DK120" s="787">
        <v>0</v>
      </c>
      <c r="DL120" s="787">
        <v>416059.52</v>
      </c>
      <c r="DM120" s="787">
        <v>0</v>
      </c>
      <c r="DN120" s="787">
        <v>0</v>
      </c>
      <c r="DO120" s="787">
        <v>0</v>
      </c>
      <c r="DP120" s="787">
        <v>-206484.76</v>
      </c>
      <c r="DQ120" s="787">
        <v>0</v>
      </c>
      <c r="DR120" s="787">
        <v>0</v>
      </c>
      <c r="DS120" s="787">
        <v>0</v>
      </c>
      <c r="DT120" s="787">
        <v>209574.76</v>
      </c>
      <c r="DU120" s="787">
        <v>0</v>
      </c>
      <c r="DV120" s="787">
        <v>0</v>
      </c>
      <c r="DW120" s="787">
        <v>0</v>
      </c>
      <c r="DX120" s="787">
        <v>0</v>
      </c>
      <c r="DY120" s="787">
        <v>0</v>
      </c>
      <c r="DZ120" s="787">
        <v>0</v>
      </c>
      <c r="EA120" s="787">
        <v>-0.49394339160062373</v>
      </c>
      <c r="EE120">
        <f>_xlfn.XLOOKUP(C120,'[1]Cfwd Analysis'!$C:$C,'[1]Cfwd Analysis'!$I:$I,0,0)</f>
        <v>578843.03605660843</v>
      </c>
      <c r="EF120" s="788">
        <f t="shared" si="1"/>
        <v>0</v>
      </c>
    </row>
    <row r="121" spans="1:136" ht="15.6" hidden="1">
      <c r="A121" s="782" t="s">
        <v>1415</v>
      </c>
      <c r="B121" s="782" t="s">
        <v>732</v>
      </c>
      <c r="C121" s="783">
        <v>4173</v>
      </c>
      <c r="D121" s="784" t="s">
        <v>733</v>
      </c>
      <c r="E121" s="785" t="s">
        <v>521</v>
      </c>
      <c r="F121" s="786">
        <v>0</v>
      </c>
      <c r="G121" s="785" t="s">
        <v>5</v>
      </c>
      <c r="H121" s="785" t="s">
        <v>744</v>
      </c>
      <c r="I121" s="787">
        <v>7067666.9730452253</v>
      </c>
      <c r="J121" s="787">
        <v>0</v>
      </c>
      <c r="K121" s="787">
        <v>230569.55</v>
      </c>
      <c r="L121" s="787">
        <v>0</v>
      </c>
      <c r="M121" s="787">
        <v>397362</v>
      </c>
      <c r="N121" s="787">
        <v>17533.120000000003</v>
      </c>
      <c r="O121" s="787">
        <v>0</v>
      </c>
      <c r="P121" s="787">
        <v>16056.25</v>
      </c>
      <c r="Q121" s="787">
        <v>13419.73</v>
      </c>
      <c r="R121" s="787">
        <v>105586.24000000001</v>
      </c>
      <c r="S121" s="787">
        <v>73795.38</v>
      </c>
      <c r="T121" s="787">
        <v>105697.96</v>
      </c>
      <c r="U121" s="787">
        <v>0</v>
      </c>
      <c r="V121" s="787">
        <v>0</v>
      </c>
      <c r="W121" s="787">
        <v>136534.15</v>
      </c>
      <c r="X121" s="787">
        <v>8164221.3530452261</v>
      </c>
      <c r="Y121" s="787">
        <v>4629540.0228369143</v>
      </c>
      <c r="Z121" s="787">
        <v>0</v>
      </c>
      <c r="AA121" s="787">
        <v>1202232.538864746</v>
      </c>
      <c r="AB121" s="787">
        <v>145100.18423828125</v>
      </c>
      <c r="AC121" s="787">
        <v>491955.27842773439</v>
      </c>
      <c r="AD121" s="787">
        <v>0</v>
      </c>
      <c r="AE121" s="787">
        <v>74116.691630859379</v>
      </c>
      <c r="AF121" s="787">
        <v>18610.740000000002</v>
      </c>
      <c r="AG121" s="787">
        <v>16836.8</v>
      </c>
      <c r="AH121" s="787">
        <v>0</v>
      </c>
      <c r="AI121" s="787">
        <v>0</v>
      </c>
      <c r="AJ121" s="787">
        <v>66202.3</v>
      </c>
      <c r="AK121" s="787">
        <v>27827.27</v>
      </c>
      <c r="AL121" s="787">
        <v>165163.41</v>
      </c>
      <c r="AM121" s="787">
        <v>18583.36</v>
      </c>
      <c r="AN121" s="787">
        <v>101792.83</v>
      </c>
      <c r="AO121" s="787">
        <v>81387.160000000018</v>
      </c>
      <c r="AP121" s="787">
        <v>31065.5</v>
      </c>
      <c r="AQ121" s="787">
        <v>128096.03</v>
      </c>
      <c r="AR121" s="787">
        <v>0</v>
      </c>
      <c r="AS121" s="787">
        <v>0</v>
      </c>
      <c r="AT121" s="787">
        <v>71148.259999999995</v>
      </c>
      <c r="AU121" s="787">
        <v>16809.22</v>
      </c>
      <c r="AV121" s="787">
        <v>0</v>
      </c>
      <c r="AW121" s="787">
        <v>79669.19</v>
      </c>
      <c r="AX121" s="787">
        <v>1541.4</v>
      </c>
      <c r="AY121" s="787">
        <v>88565.5</v>
      </c>
      <c r="AZ121" s="787">
        <v>68118</v>
      </c>
      <c r="BA121" s="787">
        <v>26397.279999999999</v>
      </c>
      <c r="BB121" s="787">
        <v>0</v>
      </c>
      <c r="BC121" s="787">
        <v>225125.64</v>
      </c>
      <c r="BD121" s="787">
        <v>98483.48</v>
      </c>
      <c r="BE121" s="787">
        <v>18484.91</v>
      </c>
      <c r="BF121" s="787">
        <v>366949.98</v>
      </c>
      <c r="BG121" s="787">
        <v>258264.97</v>
      </c>
      <c r="BH121" s="787">
        <v>0</v>
      </c>
      <c r="BI121" s="787">
        <v>0</v>
      </c>
      <c r="BJ121" s="787">
        <v>8518067.9459985364</v>
      </c>
      <c r="BK121" s="787">
        <v>845675.88642013865</v>
      </c>
      <c r="BL121" s="787">
        <v>-353846.59295331035</v>
      </c>
      <c r="BM121" s="787">
        <v>491829.2934668283</v>
      </c>
      <c r="BN121" s="787">
        <v>39306.559999999998</v>
      </c>
      <c r="BO121" s="787">
        <v>0</v>
      </c>
      <c r="BP121" s="787">
        <v>0</v>
      </c>
      <c r="BQ121" s="787">
        <v>39306.559999999998</v>
      </c>
      <c r="BR121" s="787">
        <v>20060.25</v>
      </c>
      <c r="BS121" s="787">
        <v>87120</v>
      </c>
      <c r="BT121" s="787">
        <v>0</v>
      </c>
      <c r="BU121" s="787">
        <v>0</v>
      </c>
      <c r="BV121" s="787">
        <v>0</v>
      </c>
      <c r="BW121" s="787">
        <v>0</v>
      </c>
      <c r="BX121" s="787">
        <v>4845</v>
      </c>
      <c r="BY121" s="787">
        <v>0</v>
      </c>
      <c r="BZ121" s="787">
        <v>112025.25</v>
      </c>
      <c r="CA121" s="787">
        <v>93376.040000000008</v>
      </c>
      <c r="CB121" s="787">
        <v>-72718.69</v>
      </c>
      <c r="CC121" s="787">
        <v>20657.350000000006</v>
      </c>
      <c r="CD121" s="787">
        <v>0</v>
      </c>
      <c r="CE121" s="787">
        <v>0</v>
      </c>
      <c r="CF121" s="787">
        <v>0</v>
      </c>
      <c r="CG121" s="787">
        <v>0</v>
      </c>
      <c r="CH121" s="787">
        <v>0</v>
      </c>
      <c r="CI121" s="787">
        <v>0</v>
      </c>
      <c r="CJ121" s="787">
        <v>0</v>
      </c>
      <c r="CK121" s="787">
        <v>0</v>
      </c>
      <c r="CL121" s="787">
        <v>0</v>
      </c>
      <c r="CM121" s="787">
        <v>491829.2934668283</v>
      </c>
      <c r="CN121" s="787">
        <v>0</v>
      </c>
      <c r="CO121" s="787">
        <v>0</v>
      </c>
      <c r="CP121" s="787">
        <v>20657.350000000006</v>
      </c>
      <c r="CQ121" s="787">
        <v>0</v>
      </c>
      <c r="CR121" s="787">
        <v>512486.64346682827</v>
      </c>
      <c r="CS121" s="787">
        <v>50000</v>
      </c>
      <c r="CT121" s="787">
        <v>0</v>
      </c>
      <c r="CU121" s="787">
        <v>0</v>
      </c>
      <c r="CV121" s="787">
        <v>50000</v>
      </c>
      <c r="CW121" s="787">
        <v>0</v>
      </c>
      <c r="CX121" s="787">
        <v>31301.21</v>
      </c>
      <c r="CY121" s="787">
        <v>36015.82</v>
      </c>
      <c r="CZ121" s="787">
        <v>2297.3300000000004</v>
      </c>
      <c r="DA121" s="787">
        <v>0</v>
      </c>
      <c r="DB121" s="787">
        <v>119614.36</v>
      </c>
      <c r="DC121" s="787">
        <v>1203533.4500000002</v>
      </c>
      <c r="DD121" s="787">
        <v>0</v>
      </c>
      <c r="DE121" s="787">
        <v>0</v>
      </c>
      <c r="DF121" s="787">
        <v>1203533.4500000002</v>
      </c>
      <c r="DG121" s="787"/>
      <c r="DH121" s="787"/>
      <c r="DI121" s="787"/>
      <c r="DJ121" s="787">
        <v>0</v>
      </c>
      <c r="DK121" s="787">
        <v>1203533.4500000002</v>
      </c>
      <c r="DL121" s="787">
        <v>20060</v>
      </c>
      <c r="DM121" s="787">
        <v>0</v>
      </c>
      <c r="DN121" s="787">
        <v>0</v>
      </c>
      <c r="DO121" s="787">
        <v>0</v>
      </c>
      <c r="DP121" s="787">
        <v>-627561.56999999995</v>
      </c>
      <c r="DQ121" s="787">
        <v>-1731.2</v>
      </c>
      <c r="DR121" s="787">
        <v>0</v>
      </c>
      <c r="DS121" s="787">
        <v>0</v>
      </c>
      <c r="DT121" s="787">
        <v>-609232.7699999999</v>
      </c>
      <c r="DU121" s="787">
        <v>0</v>
      </c>
      <c r="DV121" s="787">
        <v>0</v>
      </c>
      <c r="DW121" s="787">
        <v>-201258.99</v>
      </c>
      <c r="DX121" s="787">
        <v>0</v>
      </c>
      <c r="DY121" s="787">
        <v>0</v>
      </c>
      <c r="DZ121" s="787">
        <v>-169.7</v>
      </c>
      <c r="EA121" s="787">
        <v>0.29346682800678536</v>
      </c>
      <c r="EE121">
        <f>_xlfn.XLOOKUP(C121,'[1]Cfwd Analysis'!$C:$C,'[1]Cfwd Analysis'!$I:$I,0,0)</f>
        <v>491829.2934668283</v>
      </c>
      <c r="EF121" s="788">
        <f t="shared" si="1"/>
        <v>0</v>
      </c>
    </row>
    <row r="122" spans="1:136" ht="15.6" hidden="1">
      <c r="A122" s="782" t="s">
        <v>1416</v>
      </c>
      <c r="B122" s="782" t="s">
        <v>914</v>
      </c>
      <c r="C122" s="783">
        <v>2157</v>
      </c>
      <c r="D122" s="784" t="s">
        <v>915</v>
      </c>
      <c r="E122" s="785" t="s">
        <v>521</v>
      </c>
      <c r="F122" s="786">
        <v>46093</v>
      </c>
      <c r="G122" s="785" t="s">
        <v>5</v>
      </c>
      <c r="H122" s="785" t="s">
        <v>824</v>
      </c>
      <c r="I122" s="787">
        <v>2179353.8135492201</v>
      </c>
      <c r="J122" s="787">
        <v>0</v>
      </c>
      <c r="K122" s="787">
        <v>57533.259999999995</v>
      </c>
      <c r="L122" s="787">
        <v>0</v>
      </c>
      <c r="M122" s="787">
        <v>153730</v>
      </c>
      <c r="N122" s="787">
        <v>81712.329999999987</v>
      </c>
      <c r="O122" s="787">
        <v>0</v>
      </c>
      <c r="P122" s="787">
        <v>0</v>
      </c>
      <c r="Q122" s="787">
        <v>29486.240000000002</v>
      </c>
      <c r="R122" s="787">
        <v>0</v>
      </c>
      <c r="S122" s="787">
        <v>0</v>
      </c>
      <c r="T122" s="787">
        <v>0</v>
      </c>
      <c r="U122" s="787">
        <v>27428</v>
      </c>
      <c r="V122" s="787">
        <v>10379.09</v>
      </c>
      <c r="W122" s="787">
        <v>0</v>
      </c>
      <c r="X122" s="787">
        <v>2539622.73354922</v>
      </c>
      <c r="Y122" s="787">
        <v>1308795.54</v>
      </c>
      <c r="Z122" s="787">
        <v>0</v>
      </c>
      <c r="AA122" s="787">
        <v>266450.25</v>
      </c>
      <c r="AB122" s="787">
        <v>95429.26999999999</v>
      </c>
      <c r="AC122" s="787">
        <v>91084.51999999999</v>
      </c>
      <c r="AD122" s="787">
        <v>0</v>
      </c>
      <c r="AE122" s="787">
        <v>80665.790000000008</v>
      </c>
      <c r="AF122" s="787">
        <v>7282.15</v>
      </c>
      <c r="AG122" s="787">
        <v>6819.52</v>
      </c>
      <c r="AH122" s="787">
        <v>0</v>
      </c>
      <c r="AI122" s="787">
        <v>0</v>
      </c>
      <c r="AJ122" s="787">
        <v>4300.93</v>
      </c>
      <c r="AK122" s="787">
        <v>259.64</v>
      </c>
      <c r="AL122" s="787">
        <v>3999.25</v>
      </c>
      <c r="AM122" s="787">
        <v>8320.0399999999991</v>
      </c>
      <c r="AN122" s="787">
        <v>98584.81</v>
      </c>
      <c r="AO122" s="787">
        <v>27559.83</v>
      </c>
      <c r="AP122" s="787">
        <v>19876.849999999999</v>
      </c>
      <c r="AQ122" s="787">
        <v>50246.65</v>
      </c>
      <c r="AR122" s="787">
        <v>0</v>
      </c>
      <c r="AS122" s="787">
        <v>0</v>
      </c>
      <c r="AT122" s="787">
        <v>43735.17</v>
      </c>
      <c r="AU122" s="787">
        <v>1366.1</v>
      </c>
      <c r="AV122" s="787">
        <v>0</v>
      </c>
      <c r="AW122" s="787">
        <v>894.84</v>
      </c>
      <c r="AX122" s="787">
        <v>5123.83</v>
      </c>
      <c r="AY122" s="787">
        <v>0</v>
      </c>
      <c r="AZ122" s="787">
        <v>13981.519999999999</v>
      </c>
      <c r="BA122" s="787">
        <v>10546.05</v>
      </c>
      <c r="BB122" s="787">
        <v>0</v>
      </c>
      <c r="BC122" s="787">
        <v>71177.179999999993</v>
      </c>
      <c r="BD122" s="787">
        <v>219288.33000000002</v>
      </c>
      <c r="BE122" s="787">
        <v>19041.66</v>
      </c>
      <c r="BF122" s="787">
        <v>159282.1</v>
      </c>
      <c r="BG122" s="787">
        <v>0</v>
      </c>
      <c r="BH122" s="787">
        <v>0</v>
      </c>
      <c r="BI122" s="787">
        <v>0</v>
      </c>
      <c r="BJ122" s="787">
        <v>2614111.8200000003</v>
      </c>
      <c r="BK122" s="787">
        <v>-404556.43000000017</v>
      </c>
      <c r="BL122" s="787">
        <v>-74489.086450780276</v>
      </c>
      <c r="BM122" s="787">
        <v>-479045.51645078044</v>
      </c>
      <c r="BN122" s="787">
        <v>8623.75</v>
      </c>
      <c r="BO122" s="787">
        <v>0</v>
      </c>
      <c r="BP122" s="787">
        <v>0</v>
      </c>
      <c r="BQ122" s="787">
        <v>8623.75</v>
      </c>
      <c r="BR122" s="787">
        <v>0</v>
      </c>
      <c r="BS122" s="787">
        <v>956.77</v>
      </c>
      <c r="BT122" s="787">
        <v>0</v>
      </c>
      <c r="BU122" s="787">
        <v>0</v>
      </c>
      <c r="BV122" s="787">
        <v>0</v>
      </c>
      <c r="BW122" s="787">
        <v>0</v>
      </c>
      <c r="BX122" s="787">
        <v>0</v>
      </c>
      <c r="BY122" s="787">
        <v>16381</v>
      </c>
      <c r="BZ122" s="787">
        <v>17337.77</v>
      </c>
      <c r="CA122" s="787">
        <v>8713.75</v>
      </c>
      <c r="CB122" s="787">
        <v>-8714.02</v>
      </c>
      <c r="CC122" s="787">
        <v>-0.27000000000043656</v>
      </c>
      <c r="CD122" s="787">
        <v>0</v>
      </c>
      <c r="CE122" s="787">
        <v>0</v>
      </c>
      <c r="CF122" s="787">
        <v>0</v>
      </c>
      <c r="CG122" s="787">
        <v>0</v>
      </c>
      <c r="CH122" s="787">
        <v>0</v>
      </c>
      <c r="CI122" s="787">
        <v>0</v>
      </c>
      <c r="CJ122" s="787">
        <v>0</v>
      </c>
      <c r="CK122" s="787">
        <v>0</v>
      </c>
      <c r="CL122" s="787">
        <v>0</v>
      </c>
      <c r="CM122" s="787">
        <v>0</v>
      </c>
      <c r="CN122" s="787">
        <v>-479045.51645078044</v>
      </c>
      <c r="CO122" s="787">
        <v>0</v>
      </c>
      <c r="CP122" s="787">
        <v>-0.27000000000043656</v>
      </c>
      <c r="CQ122" s="787">
        <v>0</v>
      </c>
      <c r="CR122" s="787">
        <v>-479045.78645078046</v>
      </c>
      <c r="CS122" s="787">
        <v>-226233.14</v>
      </c>
      <c r="CT122" s="787">
        <v>0</v>
      </c>
      <c r="CU122" s="787">
        <v>0</v>
      </c>
      <c r="CV122" s="787">
        <v>-226233.14</v>
      </c>
      <c r="CW122" s="787">
        <v>0</v>
      </c>
      <c r="CX122" s="787">
        <v>6600.54</v>
      </c>
      <c r="CY122" s="787">
        <v>16065.95</v>
      </c>
      <c r="CZ122" s="787">
        <v>0</v>
      </c>
      <c r="DA122" s="787">
        <v>0</v>
      </c>
      <c r="DB122" s="787">
        <v>-203566.65</v>
      </c>
      <c r="DC122" s="787">
        <v>0</v>
      </c>
      <c r="DD122" s="787">
        <v>0</v>
      </c>
      <c r="DE122" s="787">
        <v>0</v>
      </c>
      <c r="DF122" s="787">
        <v>0</v>
      </c>
      <c r="DG122" s="787"/>
      <c r="DH122" s="787"/>
      <c r="DI122" s="787"/>
      <c r="DJ122" s="787">
        <v>0</v>
      </c>
      <c r="DK122" s="787">
        <v>0</v>
      </c>
      <c r="DL122" s="787">
        <v>0</v>
      </c>
      <c r="DM122" s="787">
        <v>0</v>
      </c>
      <c r="DN122" s="787">
        <v>0</v>
      </c>
      <c r="DO122" s="787">
        <v>0</v>
      </c>
      <c r="DP122" s="787">
        <v>-233811.3</v>
      </c>
      <c r="DQ122" s="787">
        <v>-4881.96</v>
      </c>
      <c r="DR122" s="787">
        <v>0</v>
      </c>
      <c r="DS122" s="787">
        <v>0</v>
      </c>
      <c r="DT122" s="787">
        <v>-238693.25999999998</v>
      </c>
      <c r="DU122" s="787">
        <v>0</v>
      </c>
      <c r="DV122" s="787">
        <v>0</v>
      </c>
      <c r="DW122" s="787">
        <v>-36785.93</v>
      </c>
      <c r="DX122" s="787">
        <v>0</v>
      </c>
      <c r="DY122" s="787">
        <v>0</v>
      </c>
      <c r="DZ122" s="787">
        <v>0</v>
      </c>
      <c r="EA122" s="787">
        <v>5.3549219504930079E-2</v>
      </c>
      <c r="EE122">
        <f>_xlfn.XLOOKUP(C122,'[1]Cfwd Analysis'!$C:$C,'[1]Cfwd Analysis'!$I:$I,0,0)</f>
        <v>-479045.51645078044</v>
      </c>
      <c r="EF122" s="788">
        <f t="shared" si="1"/>
        <v>0</v>
      </c>
    </row>
    <row r="123" spans="1:136" ht="15.6" hidden="1">
      <c r="A123" s="782" t="s">
        <v>1417</v>
      </c>
      <c r="B123" s="782" t="s">
        <v>734</v>
      </c>
      <c r="C123" s="783">
        <v>2159</v>
      </c>
      <c r="D123" s="784" t="s">
        <v>735</v>
      </c>
      <c r="E123" s="785" t="s">
        <v>521</v>
      </c>
      <c r="F123" s="786">
        <v>46094</v>
      </c>
      <c r="G123" s="785" t="s">
        <v>5</v>
      </c>
      <c r="H123" s="785" t="s">
        <v>746</v>
      </c>
      <c r="I123" s="787">
        <v>1386934.4861667489</v>
      </c>
      <c r="J123" s="787">
        <v>0</v>
      </c>
      <c r="K123" s="787">
        <v>75101.66333333333</v>
      </c>
      <c r="L123" s="787">
        <v>0</v>
      </c>
      <c r="M123" s="787">
        <v>148470</v>
      </c>
      <c r="N123" s="787">
        <v>36444</v>
      </c>
      <c r="O123" s="787">
        <v>0</v>
      </c>
      <c r="P123" s="787">
        <v>0</v>
      </c>
      <c r="Q123" s="787">
        <v>1735.0279250000044</v>
      </c>
      <c r="R123" s="787">
        <v>8304</v>
      </c>
      <c r="S123" s="787">
        <v>0</v>
      </c>
      <c r="T123" s="787">
        <v>0</v>
      </c>
      <c r="U123" s="787">
        <v>1825</v>
      </c>
      <c r="V123" s="787">
        <v>100</v>
      </c>
      <c r="W123" s="787">
        <v>0</v>
      </c>
      <c r="X123" s="787">
        <v>1658914.1774250823</v>
      </c>
      <c r="Y123" s="787">
        <v>738226</v>
      </c>
      <c r="Z123" s="787">
        <v>0</v>
      </c>
      <c r="AA123" s="787">
        <v>267212</v>
      </c>
      <c r="AB123" s="787">
        <v>42098</v>
      </c>
      <c r="AC123" s="787">
        <v>104611</v>
      </c>
      <c r="AD123" s="787">
        <v>0</v>
      </c>
      <c r="AE123" s="787">
        <v>47583</v>
      </c>
      <c r="AF123" s="787">
        <v>4723</v>
      </c>
      <c r="AG123" s="787">
        <v>786</v>
      </c>
      <c r="AH123" s="787">
        <v>0</v>
      </c>
      <c r="AI123" s="787">
        <v>0</v>
      </c>
      <c r="AJ123" s="787">
        <v>11135</v>
      </c>
      <c r="AK123" s="787">
        <v>829</v>
      </c>
      <c r="AL123" s="787">
        <v>23388</v>
      </c>
      <c r="AM123" s="787">
        <v>4223</v>
      </c>
      <c r="AN123" s="787">
        <v>35882.36</v>
      </c>
      <c r="AO123" s="787">
        <v>16658.409999999996</v>
      </c>
      <c r="AP123" s="787">
        <v>7648.48</v>
      </c>
      <c r="AQ123" s="787">
        <v>28593</v>
      </c>
      <c r="AR123" s="787">
        <v>0</v>
      </c>
      <c r="AS123" s="787">
        <v>0</v>
      </c>
      <c r="AT123" s="787">
        <v>3886</v>
      </c>
      <c r="AU123" s="787">
        <v>0</v>
      </c>
      <c r="AV123" s="787">
        <v>4966</v>
      </c>
      <c r="AW123" s="787">
        <v>10387</v>
      </c>
      <c r="AX123" s="787">
        <v>359</v>
      </c>
      <c r="AY123" s="787">
        <v>0</v>
      </c>
      <c r="AZ123" s="787">
        <v>2005.53</v>
      </c>
      <c r="BA123" s="787">
        <v>5845.75</v>
      </c>
      <c r="BB123" s="787">
        <v>4235</v>
      </c>
      <c r="BC123" s="787">
        <v>89427</v>
      </c>
      <c r="BD123" s="787">
        <v>94061</v>
      </c>
      <c r="BE123" s="787">
        <v>5674.6399999999994</v>
      </c>
      <c r="BF123" s="787">
        <v>63296</v>
      </c>
      <c r="BG123" s="787">
        <v>0</v>
      </c>
      <c r="BH123" s="787">
        <v>0</v>
      </c>
      <c r="BI123" s="787">
        <v>0</v>
      </c>
      <c r="BJ123" s="787">
        <v>1617739.17</v>
      </c>
      <c r="BK123" s="787">
        <v>8370.5500000004286</v>
      </c>
      <c r="BL123" s="787">
        <v>41175.007425082382</v>
      </c>
      <c r="BM123" s="787">
        <v>49545.557425082807</v>
      </c>
      <c r="BN123" s="787">
        <v>6328.75</v>
      </c>
      <c r="BO123" s="787">
        <v>0</v>
      </c>
      <c r="BP123" s="787">
        <v>0</v>
      </c>
      <c r="BQ123" s="787">
        <v>6328.75</v>
      </c>
      <c r="BR123" s="787">
        <v>0</v>
      </c>
      <c r="BS123" s="787">
        <v>0</v>
      </c>
      <c r="BT123" s="787">
        <v>0</v>
      </c>
      <c r="BU123" s="787">
        <v>0</v>
      </c>
      <c r="BV123" s="787">
        <v>0</v>
      </c>
      <c r="BW123" s="787">
        <v>0</v>
      </c>
      <c r="BX123" s="787">
        <v>0</v>
      </c>
      <c r="BY123" s="787">
        <v>0</v>
      </c>
      <c r="BZ123" s="787">
        <v>0</v>
      </c>
      <c r="CA123" s="787">
        <v>361.80000000000109</v>
      </c>
      <c r="CB123" s="787">
        <v>6328.75</v>
      </c>
      <c r="CC123" s="787">
        <v>6690.5500000000011</v>
      </c>
      <c r="CD123" s="787">
        <v>0</v>
      </c>
      <c r="CE123" s="787">
        <v>0</v>
      </c>
      <c r="CF123" s="787">
        <v>0</v>
      </c>
      <c r="CG123" s="787">
        <v>0</v>
      </c>
      <c r="CH123" s="787">
        <v>0</v>
      </c>
      <c r="CI123" s="787">
        <v>0</v>
      </c>
      <c r="CJ123" s="787">
        <v>0</v>
      </c>
      <c r="CK123" s="787">
        <v>0</v>
      </c>
      <c r="CL123" s="787">
        <v>0</v>
      </c>
      <c r="CM123" s="787">
        <v>49545.557425082807</v>
      </c>
      <c r="CN123" s="787">
        <v>0</v>
      </c>
      <c r="CO123" s="787">
        <v>6690.5500000000011</v>
      </c>
      <c r="CP123" s="787">
        <v>0</v>
      </c>
      <c r="CQ123" s="787">
        <v>0</v>
      </c>
      <c r="CR123" s="787">
        <v>56236.10742508281</v>
      </c>
      <c r="CS123" s="787">
        <v>184527.15</v>
      </c>
      <c r="CT123" s="787">
        <v>0</v>
      </c>
      <c r="CU123" s="787">
        <v>0</v>
      </c>
      <c r="CV123" s="787">
        <v>184527.15</v>
      </c>
      <c r="CW123" s="787">
        <v>0</v>
      </c>
      <c r="CX123" s="787">
        <v>3785.19</v>
      </c>
      <c r="CY123" s="787">
        <v>1297.31</v>
      </c>
      <c r="CZ123" s="787">
        <v>0</v>
      </c>
      <c r="DA123" s="787">
        <v>0</v>
      </c>
      <c r="DB123" s="787">
        <v>189609.65</v>
      </c>
      <c r="DC123" s="787">
        <v>0</v>
      </c>
      <c r="DD123" s="787">
        <v>0</v>
      </c>
      <c r="DE123" s="787">
        <v>0</v>
      </c>
      <c r="DF123" s="787">
        <v>0</v>
      </c>
      <c r="DG123" s="787"/>
      <c r="DH123" s="787"/>
      <c r="DI123" s="787"/>
      <c r="DJ123" s="787">
        <v>0</v>
      </c>
      <c r="DK123" s="787">
        <v>0</v>
      </c>
      <c r="DL123" s="787">
        <v>0</v>
      </c>
      <c r="DM123" s="787">
        <v>0</v>
      </c>
      <c r="DN123" s="787">
        <v>0</v>
      </c>
      <c r="DO123" s="787">
        <v>0</v>
      </c>
      <c r="DP123" s="787">
        <v>-29025.360000000001</v>
      </c>
      <c r="DQ123" s="787">
        <v>-2064.48</v>
      </c>
      <c r="DR123" s="787">
        <v>0</v>
      </c>
      <c r="DS123" s="787">
        <v>0</v>
      </c>
      <c r="DT123" s="787">
        <v>-31089.84</v>
      </c>
      <c r="DU123" s="787">
        <v>0</v>
      </c>
      <c r="DV123" s="787">
        <v>0</v>
      </c>
      <c r="DW123" s="787">
        <v>-102284</v>
      </c>
      <c r="DX123" s="787">
        <v>0</v>
      </c>
      <c r="DY123" s="787">
        <v>0</v>
      </c>
      <c r="DZ123" s="787">
        <v>0</v>
      </c>
      <c r="EA123" s="787">
        <v>0.29742508281196933</v>
      </c>
      <c r="EE123">
        <f>_xlfn.XLOOKUP(C123,'[1]Cfwd Analysis'!$C:$C,'[1]Cfwd Analysis'!$I:$I,0,0)</f>
        <v>49545.557425082807</v>
      </c>
      <c r="EF123" s="788">
        <f t="shared" si="1"/>
        <v>0</v>
      </c>
    </row>
    <row r="124" spans="1:136" ht="15.6" hidden="1">
      <c r="A124" s="782" t="s">
        <v>1418</v>
      </c>
      <c r="B124" s="782" t="s">
        <v>736</v>
      </c>
      <c r="C124" s="783">
        <v>2161</v>
      </c>
      <c r="D124" s="784" t="s">
        <v>737</v>
      </c>
      <c r="E124" s="785" t="s">
        <v>521</v>
      </c>
      <c r="F124" s="786">
        <v>46094</v>
      </c>
      <c r="G124" s="785" t="s">
        <v>5</v>
      </c>
      <c r="H124" s="785" t="s">
        <v>748</v>
      </c>
      <c r="I124" s="787">
        <v>1653558.6600099069</v>
      </c>
      <c r="J124" s="787">
        <v>0</v>
      </c>
      <c r="K124" s="787">
        <v>194627.26666666666</v>
      </c>
      <c r="L124" s="787">
        <v>0</v>
      </c>
      <c r="M124" s="787">
        <v>153835</v>
      </c>
      <c r="N124" s="787">
        <v>87907.29</v>
      </c>
      <c r="O124" s="787">
        <v>0</v>
      </c>
      <c r="P124" s="787">
        <v>0</v>
      </c>
      <c r="Q124" s="787">
        <v>20045.375584999987</v>
      </c>
      <c r="R124" s="787">
        <v>0</v>
      </c>
      <c r="S124" s="787">
        <v>0</v>
      </c>
      <c r="T124" s="787">
        <v>0</v>
      </c>
      <c r="U124" s="787">
        <v>796.65</v>
      </c>
      <c r="V124" s="787">
        <v>7247.4</v>
      </c>
      <c r="W124" s="787">
        <v>0</v>
      </c>
      <c r="X124" s="787">
        <v>2118017.6422615731</v>
      </c>
      <c r="Y124" s="787">
        <v>969951.98</v>
      </c>
      <c r="Z124" s="787">
        <v>0</v>
      </c>
      <c r="AA124" s="787">
        <v>508478.28</v>
      </c>
      <c r="AB124" s="787">
        <v>63830.04</v>
      </c>
      <c r="AC124" s="787">
        <v>93336.1</v>
      </c>
      <c r="AD124" s="787">
        <v>0</v>
      </c>
      <c r="AE124" s="787">
        <v>86360.21</v>
      </c>
      <c r="AF124" s="787">
        <v>6152.9</v>
      </c>
      <c r="AG124" s="787">
        <v>4106.45</v>
      </c>
      <c r="AH124" s="787">
        <v>0</v>
      </c>
      <c r="AI124" s="787">
        <v>252</v>
      </c>
      <c r="AJ124" s="787">
        <v>27179.31</v>
      </c>
      <c r="AK124" s="787">
        <v>2342</v>
      </c>
      <c r="AL124" s="787">
        <v>12827.77</v>
      </c>
      <c r="AM124" s="787">
        <v>3434.1</v>
      </c>
      <c r="AN124" s="787">
        <v>21981.07</v>
      </c>
      <c r="AO124" s="787">
        <v>14190.710000000001</v>
      </c>
      <c r="AP124" s="787">
        <v>9307.85</v>
      </c>
      <c r="AQ124" s="787">
        <v>32633.61</v>
      </c>
      <c r="AR124" s="787">
        <v>0</v>
      </c>
      <c r="AS124" s="787">
        <v>0</v>
      </c>
      <c r="AT124" s="787">
        <v>5877.31</v>
      </c>
      <c r="AU124" s="787">
        <v>48766.7</v>
      </c>
      <c r="AV124" s="787">
        <v>0</v>
      </c>
      <c r="AW124" s="787">
        <v>0</v>
      </c>
      <c r="AX124" s="787">
        <v>0</v>
      </c>
      <c r="AY124" s="787">
        <v>0</v>
      </c>
      <c r="AZ124" s="787">
        <v>8388.93</v>
      </c>
      <c r="BA124" s="787">
        <v>5139.75</v>
      </c>
      <c r="BB124" s="787">
        <v>0</v>
      </c>
      <c r="BC124" s="787">
        <v>101437.66</v>
      </c>
      <c r="BD124" s="787">
        <v>54202.77</v>
      </c>
      <c r="BE124" s="787">
        <v>6259.1800000000021</v>
      </c>
      <c r="BF124" s="787">
        <v>38660.81</v>
      </c>
      <c r="BG124" s="787">
        <v>0</v>
      </c>
      <c r="BH124" s="787">
        <v>0</v>
      </c>
      <c r="BI124" s="787">
        <v>0</v>
      </c>
      <c r="BJ124" s="787">
        <v>2125097.4900000002</v>
      </c>
      <c r="BK124" s="787">
        <v>330678.10999999952</v>
      </c>
      <c r="BL124" s="787">
        <v>-7079.84773842711</v>
      </c>
      <c r="BM124" s="787">
        <v>323598.26226157241</v>
      </c>
      <c r="BN124" s="787">
        <v>7255.75</v>
      </c>
      <c r="BO124" s="787">
        <v>0</v>
      </c>
      <c r="BP124" s="787">
        <v>0</v>
      </c>
      <c r="BQ124" s="787">
        <v>7255.75</v>
      </c>
      <c r="BR124" s="787">
        <v>8333.33</v>
      </c>
      <c r="BS124" s="787">
        <v>0</v>
      </c>
      <c r="BT124" s="787">
        <v>0</v>
      </c>
      <c r="BU124" s="787">
        <v>0</v>
      </c>
      <c r="BV124" s="787">
        <v>0</v>
      </c>
      <c r="BW124" s="787">
        <v>6712.15</v>
      </c>
      <c r="BX124" s="787">
        <v>0</v>
      </c>
      <c r="BY124" s="787">
        <v>0</v>
      </c>
      <c r="BZ124" s="787">
        <v>15045.48</v>
      </c>
      <c r="CA124" s="787">
        <v>12036.91</v>
      </c>
      <c r="CB124" s="787">
        <v>-7789.73</v>
      </c>
      <c r="CC124" s="787">
        <v>4247.18</v>
      </c>
      <c r="CD124" s="787">
        <v>0</v>
      </c>
      <c r="CE124" s="787">
        <v>0</v>
      </c>
      <c r="CF124" s="787">
        <v>0</v>
      </c>
      <c r="CG124" s="787">
        <v>0</v>
      </c>
      <c r="CH124" s="787">
        <v>0</v>
      </c>
      <c r="CI124" s="787">
        <v>0</v>
      </c>
      <c r="CJ124" s="787">
        <v>0</v>
      </c>
      <c r="CK124" s="787">
        <v>0</v>
      </c>
      <c r="CL124" s="787">
        <v>0</v>
      </c>
      <c r="CM124" s="787">
        <v>323598.26226157241</v>
      </c>
      <c r="CN124" s="787">
        <v>0</v>
      </c>
      <c r="CO124" s="787">
        <v>4247</v>
      </c>
      <c r="CP124" s="787">
        <v>0.18000000000029104</v>
      </c>
      <c r="CQ124" s="787">
        <v>0</v>
      </c>
      <c r="CR124" s="787">
        <v>327845.4422615724</v>
      </c>
      <c r="CS124" s="787">
        <v>477300.01</v>
      </c>
      <c r="CT124" s="787">
        <v>0</v>
      </c>
      <c r="CU124" s="787">
        <v>0</v>
      </c>
      <c r="CV124" s="787">
        <v>477300.01</v>
      </c>
      <c r="CW124" s="787">
        <v>0</v>
      </c>
      <c r="CX124" s="787">
        <v>10779.08</v>
      </c>
      <c r="CY124" s="787">
        <v>6818.19</v>
      </c>
      <c r="CZ124" s="787">
        <v>0</v>
      </c>
      <c r="DA124" s="787">
        <v>0</v>
      </c>
      <c r="DB124" s="787">
        <v>494897.28</v>
      </c>
      <c r="DC124" s="787">
        <v>0</v>
      </c>
      <c r="DD124" s="787">
        <v>0</v>
      </c>
      <c r="DE124" s="787">
        <v>0</v>
      </c>
      <c r="DF124" s="787">
        <v>0</v>
      </c>
      <c r="DG124" s="787"/>
      <c r="DH124" s="787"/>
      <c r="DI124" s="787"/>
      <c r="DJ124" s="787">
        <v>0</v>
      </c>
      <c r="DK124" s="787">
        <v>0</v>
      </c>
      <c r="DL124" s="787">
        <v>0</v>
      </c>
      <c r="DM124" s="787">
        <v>0</v>
      </c>
      <c r="DN124" s="787">
        <v>0</v>
      </c>
      <c r="DO124" s="787">
        <v>0</v>
      </c>
      <c r="DP124" s="787">
        <v>-165856.01</v>
      </c>
      <c r="DQ124" s="787">
        <v>-3036.88</v>
      </c>
      <c r="DR124" s="787">
        <v>0</v>
      </c>
      <c r="DS124" s="787">
        <v>0</v>
      </c>
      <c r="DT124" s="787">
        <v>-168892.89</v>
      </c>
      <c r="DU124" s="787">
        <v>0</v>
      </c>
      <c r="DV124" s="787">
        <v>0</v>
      </c>
      <c r="DW124" s="787">
        <v>0</v>
      </c>
      <c r="DX124" s="787">
        <v>0</v>
      </c>
      <c r="DY124" s="787">
        <v>2024.61</v>
      </c>
      <c r="DZ124" s="787">
        <v>-183.55</v>
      </c>
      <c r="EA124" s="787">
        <v>-7.7384276082739234E-3</v>
      </c>
      <c r="EE124">
        <f>_xlfn.XLOOKUP(C124,'[1]Cfwd Analysis'!$C:$C,'[1]Cfwd Analysis'!$I:$I,0,0)</f>
        <v>323598.26226157241</v>
      </c>
      <c r="EF124" s="788">
        <f t="shared" si="1"/>
        <v>0</v>
      </c>
    </row>
    <row r="125" spans="1:136" ht="15.6" hidden="1">
      <c r="A125" s="782" t="s">
        <v>1419</v>
      </c>
      <c r="B125" s="782" t="s">
        <v>738</v>
      </c>
      <c r="C125" s="783">
        <v>2160</v>
      </c>
      <c r="D125" s="784" t="s">
        <v>739</v>
      </c>
      <c r="E125" s="785" t="s">
        <v>521</v>
      </c>
      <c r="F125" s="786">
        <v>46094</v>
      </c>
      <c r="G125" s="785" t="s">
        <v>5</v>
      </c>
      <c r="H125" s="785" t="s">
        <v>750</v>
      </c>
      <c r="I125" s="787">
        <v>2095156.0606583583</v>
      </c>
      <c r="J125" s="787">
        <v>0</v>
      </c>
      <c r="K125" s="787">
        <v>115577.97766666667</v>
      </c>
      <c r="L125" s="787">
        <v>0</v>
      </c>
      <c r="M125" s="787">
        <v>302185</v>
      </c>
      <c r="N125" s="787">
        <v>18639.93</v>
      </c>
      <c r="O125" s="787">
        <v>0</v>
      </c>
      <c r="P125" s="787">
        <v>0</v>
      </c>
      <c r="Q125" s="787">
        <v>13598.38922500001</v>
      </c>
      <c r="R125" s="787">
        <v>2283.75</v>
      </c>
      <c r="S125" s="787">
        <v>0</v>
      </c>
      <c r="T125" s="787">
        <v>0</v>
      </c>
      <c r="U125" s="787">
        <v>76994.429999999993</v>
      </c>
      <c r="V125" s="787">
        <v>74636.34</v>
      </c>
      <c r="W125" s="787">
        <v>0</v>
      </c>
      <c r="X125" s="787">
        <v>2699071.877550025</v>
      </c>
      <c r="Y125" s="787">
        <v>1247075.6599999999</v>
      </c>
      <c r="Z125" s="787">
        <v>0</v>
      </c>
      <c r="AA125" s="787">
        <v>412837.21</v>
      </c>
      <c r="AB125" s="787">
        <v>50368.05</v>
      </c>
      <c r="AC125" s="787">
        <v>144848.89000000001</v>
      </c>
      <c r="AD125" s="787">
        <v>0</v>
      </c>
      <c r="AE125" s="787">
        <v>159687.71</v>
      </c>
      <c r="AF125" s="787">
        <v>11827.9</v>
      </c>
      <c r="AG125" s="787">
        <v>9995.09</v>
      </c>
      <c r="AH125" s="787">
        <v>0</v>
      </c>
      <c r="AI125" s="787">
        <v>0</v>
      </c>
      <c r="AJ125" s="787">
        <v>7584.93</v>
      </c>
      <c r="AK125" s="787">
        <v>2276.5100000000002</v>
      </c>
      <c r="AL125" s="787">
        <v>43946.54</v>
      </c>
      <c r="AM125" s="787">
        <v>9642.61</v>
      </c>
      <c r="AN125" s="787">
        <v>21790.76</v>
      </c>
      <c r="AO125" s="787">
        <v>26354.099999999995</v>
      </c>
      <c r="AP125" s="787">
        <v>5642</v>
      </c>
      <c r="AQ125" s="787">
        <v>77443.27</v>
      </c>
      <c r="AR125" s="787">
        <v>0</v>
      </c>
      <c r="AS125" s="787">
        <v>0</v>
      </c>
      <c r="AT125" s="787">
        <v>0</v>
      </c>
      <c r="AU125" s="787">
        <v>0</v>
      </c>
      <c r="AV125" s="787">
        <v>4210.6499999999996</v>
      </c>
      <c r="AW125" s="787">
        <v>0</v>
      </c>
      <c r="AX125" s="787">
        <v>0</v>
      </c>
      <c r="AY125" s="787">
        <v>0</v>
      </c>
      <c r="AZ125" s="787">
        <v>32648.760000000002</v>
      </c>
      <c r="BA125" s="787">
        <v>10771</v>
      </c>
      <c r="BB125" s="787">
        <v>5687</v>
      </c>
      <c r="BC125" s="787">
        <v>81765.920000000013</v>
      </c>
      <c r="BD125" s="787">
        <v>67091.929999999993</v>
      </c>
      <c r="BE125" s="787">
        <v>13415.489999999998</v>
      </c>
      <c r="BF125" s="787">
        <v>93061.27</v>
      </c>
      <c r="BG125" s="787">
        <v>0</v>
      </c>
      <c r="BH125" s="787">
        <v>0</v>
      </c>
      <c r="BI125" s="787">
        <v>0</v>
      </c>
      <c r="BJ125" s="787">
        <v>2539973.25</v>
      </c>
      <c r="BK125" s="787">
        <v>206566.35000000038</v>
      </c>
      <c r="BL125" s="787">
        <v>159098.627550025</v>
      </c>
      <c r="BM125" s="787">
        <v>365664.97755002539</v>
      </c>
      <c r="BN125" s="787">
        <v>7892.5</v>
      </c>
      <c r="BO125" s="787">
        <v>0</v>
      </c>
      <c r="BP125" s="787">
        <v>0</v>
      </c>
      <c r="BQ125" s="787">
        <v>7892.5</v>
      </c>
      <c r="BR125" s="787">
        <v>0</v>
      </c>
      <c r="BS125" s="787">
        <v>6880</v>
      </c>
      <c r="BT125" s="787">
        <v>0</v>
      </c>
      <c r="BU125" s="787">
        <v>0</v>
      </c>
      <c r="BV125" s="787">
        <v>0</v>
      </c>
      <c r="BW125" s="787">
        <v>3295</v>
      </c>
      <c r="BX125" s="787">
        <v>0</v>
      </c>
      <c r="BY125" s="787">
        <v>0</v>
      </c>
      <c r="BZ125" s="787">
        <v>10175</v>
      </c>
      <c r="CA125" s="787">
        <v>4170.8</v>
      </c>
      <c r="CB125" s="787">
        <v>-2282.5</v>
      </c>
      <c r="CC125" s="787">
        <v>1888.3000000000002</v>
      </c>
      <c r="CD125" s="787">
        <v>0</v>
      </c>
      <c r="CE125" s="787">
        <v>0</v>
      </c>
      <c r="CF125" s="787">
        <v>0</v>
      </c>
      <c r="CG125" s="787">
        <v>0</v>
      </c>
      <c r="CH125" s="787">
        <v>0</v>
      </c>
      <c r="CI125" s="787">
        <v>0</v>
      </c>
      <c r="CJ125" s="787">
        <v>0</v>
      </c>
      <c r="CK125" s="787">
        <v>0</v>
      </c>
      <c r="CL125" s="787">
        <v>0</v>
      </c>
      <c r="CM125" s="787">
        <v>365664.97755002539</v>
      </c>
      <c r="CN125" s="787">
        <v>0</v>
      </c>
      <c r="CO125" s="787">
        <v>1888</v>
      </c>
      <c r="CP125" s="787">
        <v>0.3000000000001819</v>
      </c>
      <c r="CQ125" s="787">
        <v>0</v>
      </c>
      <c r="CR125" s="787">
        <v>367553.27755002538</v>
      </c>
      <c r="CS125" s="787">
        <v>548756.59</v>
      </c>
      <c r="CT125" s="787">
        <v>0</v>
      </c>
      <c r="CU125" s="787">
        <v>0</v>
      </c>
      <c r="CV125" s="787">
        <v>548756.59</v>
      </c>
      <c r="CW125" s="787">
        <v>0</v>
      </c>
      <c r="CX125" s="787">
        <v>8380.64</v>
      </c>
      <c r="CY125" s="787">
        <v>1120.31</v>
      </c>
      <c r="CZ125" s="787">
        <v>0</v>
      </c>
      <c r="DA125" s="787">
        <v>0</v>
      </c>
      <c r="DB125" s="787">
        <v>558257.54</v>
      </c>
      <c r="DC125" s="787">
        <v>0</v>
      </c>
      <c r="DD125" s="787">
        <v>0</v>
      </c>
      <c r="DE125" s="787">
        <v>0</v>
      </c>
      <c r="DF125" s="787">
        <v>0</v>
      </c>
      <c r="DG125" s="787"/>
      <c r="DH125" s="787"/>
      <c r="DI125" s="787"/>
      <c r="DJ125" s="787">
        <v>0</v>
      </c>
      <c r="DK125" s="787">
        <v>0</v>
      </c>
      <c r="DL125" s="787">
        <v>0</v>
      </c>
      <c r="DM125" s="787">
        <v>0</v>
      </c>
      <c r="DN125" s="787">
        <v>0</v>
      </c>
      <c r="DO125" s="787">
        <v>0</v>
      </c>
      <c r="DP125" s="787">
        <v>-188863.17</v>
      </c>
      <c r="DQ125" s="787">
        <v>-1841.08</v>
      </c>
      <c r="DR125" s="787">
        <v>0</v>
      </c>
      <c r="DS125" s="787">
        <v>0</v>
      </c>
      <c r="DT125" s="787">
        <v>-190704.25</v>
      </c>
      <c r="DU125" s="787">
        <v>0</v>
      </c>
      <c r="DV125" s="787">
        <v>0</v>
      </c>
      <c r="DW125" s="787">
        <v>0</v>
      </c>
      <c r="DX125" s="787">
        <v>0</v>
      </c>
      <c r="DY125" s="787">
        <v>0</v>
      </c>
      <c r="DZ125" s="787">
        <v>0</v>
      </c>
      <c r="EA125" s="787">
        <v>-1.2449974659830332E-2</v>
      </c>
      <c r="EE125">
        <f>_xlfn.XLOOKUP(C125,'[1]Cfwd Analysis'!$C:$C,'[1]Cfwd Analysis'!$I:$I,0,0)</f>
        <v>365664.97755002539</v>
      </c>
      <c r="EF125" s="788">
        <f t="shared" si="1"/>
        <v>0</v>
      </c>
    </row>
    <row r="126" spans="1:136" ht="15.6" hidden="1">
      <c r="A126" s="782" t="s">
        <v>1420</v>
      </c>
      <c r="B126" s="782" t="s">
        <v>740</v>
      </c>
      <c r="C126" s="783">
        <v>2063</v>
      </c>
      <c r="D126" s="784" t="s">
        <v>741</v>
      </c>
      <c r="E126" s="785" t="s">
        <v>521</v>
      </c>
      <c r="F126" s="786">
        <v>46094</v>
      </c>
      <c r="G126" s="785" t="s">
        <v>5</v>
      </c>
      <c r="H126" s="785" t="s">
        <v>752</v>
      </c>
      <c r="I126" s="787">
        <v>2644149.3266077768</v>
      </c>
      <c r="J126" s="787">
        <v>0</v>
      </c>
      <c r="K126" s="787">
        <v>129546.46333333332</v>
      </c>
      <c r="L126" s="787">
        <v>0</v>
      </c>
      <c r="M126" s="787">
        <v>377235</v>
      </c>
      <c r="N126" s="787">
        <v>37121.22</v>
      </c>
      <c r="O126" s="787">
        <v>0</v>
      </c>
      <c r="P126" s="787">
        <v>0</v>
      </c>
      <c r="Q126" s="787">
        <v>11971.979655000061</v>
      </c>
      <c r="R126" s="787">
        <v>8205.4</v>
      </c>
      <c r="S126" s="787">
        <v>0</v>
      </c>
      <c r="T126" s="787">
        <v>0</v>
      </c>
      <c r="U126" s="787">
        <v>7891.8</v>
      </c>
      <c r="V126" s="787">
        <v>19015.45</v>
      </c>
      <c r="W126" s="787">
        <v>0</v>
      </c>
      <c r="X126" s="787">
        <v>3235136.6395961102</v>
      </c>
      <c r="Y126" s="787">
        <v>1644083.02</v>
      </c>
      <c r="Z126" s="787">
        <v>1786.05</v>
      </c>
      <c r="AA126" s="787">
        <v>426348.11</v>
      </c>
      <c r="AB126" s="787">
        <v>139206.63999999998</v>
      </c>
      <c r="AC126" s="787">
        <v>253214.54</v>
      </c>
      <c r="AD126" s="787">
        <v>117280.15</v>
      </c>
      <c r="AE126" s="787">
        <v>119573.62</v>
      </c>
      <c r="AF126" s="787">
        <v>12577.34</v>
      </c>
      <c r="AG126" s="787">
        <v>10188.9</v>
      </c>
      <c r="AH126" s="787">
        <v>0</v>
      </c>
      <c r="AI126" s="787">
        <v>0</v>
      </c>
      <c r="AJ126" s="787">
        <v>33794.18</v>
      </c>
      <c r="AK126" s="787">
        <v>0</v>
      </c>
      <c r="AL126" s="787">
        <v>3882.19</v>
      </c>
      <c r="AM126" s="787">
        <v>17256.349999999999</v>
      </c>
      <c r="AN126" s="787">
        <v>44239.89</v>
      </c>
      <c r="AO126" s="787">
        <v>60475.180000000015</v>
      </c>
      <c r="AP126" s="787">
        <v>13166</v>
      </c>
      <c r="AQ126" s="787">
        <v>110282.7</v>
      </c>
      <c r="AR126" s="787">
        <v>0</v>
      </c>
      <c r="AS126" s="787">
        <v>0</v>
      </c>
      <c r="AT126" s="787">
        <v>0</v>
      </c>
      <c r="AU126" s="787">
        <v>0</v>
      </c>
      <c r="AV126" s="787">
        <v>0</v>
      </c>
      <c r="AW126" s="787">
        <v>0</v>
      </c>
      <c r="AX126" s="787">
        <v>0</v>
      </c>
      <c r="AY126" s="787">
        <v>0</v>
      </c>
      <c r="AZ126" s="787">
        <v>17167.960000000003</v>
      </c>
      <c r="BA126" s="787">
        <v>17956.61</v>
      </c>
      <c r="BB126" s="787">
        <v>14117</v>
      </c>
      <c r="BC126" s="787">
        <v>55180.59</v>
      </c>
      <c r="BD126" s="787">
        <v>33291.33</v>
      </c>
      <c r="BE126" s="787">
        <v>123838.07999999999</v>
      </c>
      <c r="BF126" s="787">
        <v>181719.33000000002</v>
      </c>
      <c r="BG126" s="787">
        <v>0</v>
      </c>
      <c r="BH126" s="787">
        <v>0</v>
      </c>
      <c r="BI126" s="787">
        <v>0</v>
      </c>
      <c r="BJ126" s="787">
        <v>3450625.7600000007</v>
      </c>
      <c r="BK126" s="787">
        <v>148415.73000000251</v>
      </c>
      <c r="BL126" s="787">
        <v>-215489.1204038905</v>
      </c>
      <c r="BM126" s="787">
        <v>-67073.390403887985</v>
      </c>
      <c r="BN126" s="787">
        <v>8819.5</v>
      </c>
      <c r="BO126" s="787">
        <v>0</v>
      </c>
      <c r="BP126" s="787">
        <v>0</v>
      </c>
      <c r="BQ126" s="787">
        <v>8819.5</v>
      </c>
      <c r="BR126" s="787">
        <v>27115.11</v>
      </c>
      <c r="BS126" s="787">
        <v>0</v>
      </c>
      <c r="BT126" s="787">
        <v>0</v>
      </c>
      <c r="BU126" s="787">
        <v>0</v>
      </c>
      <c r="BV126" s="787">
        <v>0</v>
      </c>
      <c r="BW126" s="787">
        <v>0</v>
      </c>
      <c r="BX126" s="787">
        <v>0</v>
      </c>
      <c r="BY126" s="787">
        <v>11257.5</v>
      </c>
      <c r="BZ126" s="787">
        <v>38372.61</v>
      </c>
      <c r="CA126" s="787">
        <v>54056.579999999994</v>
      </c>
      <c r="CB126" s="787">
        <v>-29553.11</v>
      </c>
      <c r="CC126" s="787">
        <v>24503.469999999994</v>
      </c>
      <c r="CD126" s="787">
        <v>0</v>
      </c>
      <c r="CE126" s="787">
        <v>0</v>
      </c>
      <c r="CF126" s="787">
        <v>0</v>
      </c>
      <c r="CG126" s="787">
        <v>0</v>
      </c>
      <c r="CH126" s="787">
        <v>0</v>
      </c>
      <c r="CI126" s="787">
        <v>0</v>
      </c>
      <c r="CJ126" s="787">
        <v>0</v>
      </c>
      <c r="CK126" s="787">
        <v>0</v>
      </c>
      <c r="CL126" s="787">
        <v>0</v>
      </c>
      <c r="CM126" s="787">
        <v>0</v>
      </c>
      <c r="CN126" s="787">
        <v>-67073.390403887985</v>
      </c>
      <c r="CO126" s="787">
        <v>24503.469999999994</v>
      </c>
      <c r="CP126" s="787">
        <v>0</v>
      </c>
      <c r="CQ126" s="787">
        <v>0</v>
      </c>
      <c r="CR126" s="787">
        <v>-42569.920403887991</v>
      </c>
      <c r="CS126" s="787">
        <v>333395.96999999997</v>
      </c>
      <c r="CT126" s="787">
        <v>130368.11</v>
      </c>
      <c r="CU126" s="787">
        <v>0</v>
      </c>
      <c r="CV126" s="787">
        <v>203027.86</v>
      </c>
      <c r="CW126" s="787">
        <v>0</v>
      </c>
      <c r="CX126" s="787">
        <v>10825.32</v>
      </c>
      <c r="CY126" s="787">
        <v>11005.15</v>
      </c>
      <c r="CZ126" s="787">
        <v>0</v>
      </c>
      <c r="DA126" s="787">
        <v>0</v>
      </c>
      <c r="DB126" s="787">
        <v>224858.33</v>
      </c>
      <c r="DC126" s="787">
        <v>0</v>
      </c>
      <c r="DD126" s="787">
        <v>0</v>
      </c>
      <c r="DE126" s="787">
        <v>0</v>
      </c>
      <c r="DF126" s="787">
        <v>0</v>
      </c>
      <c r="DG126" s="787"/>
      <c r="DH126" s="787"/>
      <c r="DI126" s="787"/>
      <c r="DJ126" s="787">
        <v>0</v>
      </c>
      <c r="DK126" s="787">
        <v>0</v>
      </c>
      <c r="DL126" s="787">
        <v>0</v>
      </c>
      <c r="DM126" s="787">
        <v>0</v>
      </c>
      <c r="DN126" s="787">
        <v>0</v>
      </c>
      <c r="DO126" s="787">
        <v>0</v>
      </c>
      <c r="DP126" s="787">
        <v>-267428.53000000003</v>
      </c>
      <c r="DQ126" s="787">
        <v>0</v>
      </c>
      <c r="DR126" s="787">
        <v>0</v>
      </c>
      <c r="DS126" s="787">
        <v>0</v>
      </c>
      <c r="DT126" s="787">
        <v>-267428.53000000003</v>
      </c>
      <c r="DU126" s="787">
        <v>0</v>
      </c>
      <c r="DV126" s="787">
        <v>0</v>
      </c>
      <c r="DW126" s="787">
        <v>0</v>
      </c>
      <c r="DX126" s="787">
        <v>0</v>
      </c>
      <c r="DY126" s="787">
        <v>0</v>
      </c>
      <c r="DZ126" s="787">
        <v>0</v>
      </c>
      <c r="EA126" s="787">
        <v>0.27959611205005785</v>
      </c>
      <c r="EE126">
        <f>_xlfn.XLOOKUP(C126,'[1]Cfwd Analysis'!$C:$C,'[1]Cfwd Analysis'!$I:$I,0,0)</f>
        <v>-67073.390403887985</v>
      </c>
      <c r="EF126" s="788">
        <f t="shared" si="1"/>
        <v>0</v>
      </c>
    </row>
    <row r="127" spans="1:136" ht="15.6" hidden="1">
      <c r="A127" s="782" t="s">
        <v>1421</v>
      </c>
      <c r="B127" s="782" t="s">
        <v>742</v>
      </c>
      <c r="C127" s="783">
        <v>1018</v>
      </c>
      <c r="D127" s="784" t="s">
        <v>743</v>
      </c>
      <c r="E127" s="785" t="s">
        <v>521</v>
      </c>
      <c r="F127" s="786">
        <v>0</v>
      </c>
      <c r="G127" s="785" t="s">
        <v>5</v>
      </c>
      <c r="H127" s="785" t="s">
        <v>754</v>
      </c>
      <c r="I127" s="787">
        <v>1006892.4772311948</v>
      </c>
      <c r="J127" s="787">
        <v>0</v>
      </c>
      <c r="K127" s="787">
        <v>45376.599990766394</v>
      </c>
      <c r="L127" s="787">
        <v>0</v>
      </c>
      <c r="M127" s="787">
        <v>0</v>
      </c>
      <c r="N127" s="787">
        <v>0</v>
      </c>
      <c r="O127" s="787">
        <v>0</v>
      </c>
      <c r="P127" s="787">
        <v>0</v>
      </c>
      <c r="Q127" s="787">
        <v>83.04</v>
      </c>
      <c r="R127" s="787">
        <v>0</v>
      </c>
      <c r="S127" s="787">
        <v>0</v>
      </c>
      <c r="T127" s="787">
        <v>0</v>
      </c>
      <c r="U127" s="787">
        <v>7440</v>
      </c>
      <c r="V127" s="787">
        <v>108264.85999999917</v>
      </c>
      <c r="W127" s="787">
        <v>0</v>
      </c>
      <c r="X127" s="787">
        <v>1168056.9772219604</v>
      </c>
      <c r="Y127" s="787">
        <v>206446.78999999998</v>
      </c>
      <c r="Z127" s="787">
        <v>0</v>
      </c>
      <c r="AA127" s="787">
        <v>275050.95999999996</v>
      </c>
      <c r="AB127" s="787">
        <v>29258.079999999998</v>
      </c>
      <c r="AC127" s="787">
        <v>37587.450000000004</v>
      </c>
      <c r="AD127" s="787">
        <v>0</v>
      </c>
      <c r="AE127" s="787">
        <v>19405.690000000002</v>
      </c>
      <c r="AF127" s="787">
        <v>3085.02</v>
      </c>
      <c r="AG127" s="787">
        <v>2680</v>
      </c>
      <c r="AH127" s="787">
        <v>0</v>
      </c>
      <c r="AI127" s="787">
        <v>0</v>
      </c>
      <c r="AJ127" s="787">
        <v>116</v>
      </c>
      <c r="AK127" s="787">
        <v>0</v>
      </c>
      <c r="AL127" s="787">
        <v>30651.46</v>
      </c>
      <c r="AM127" s="787">
        <v>0</v>
      </c>
      <c r="AN127" s="787">
        <v>55351.64</v>
      </c>
      <c r="AO127" s="787">
        <v>0</v>
      </c>
      <c r="AP127" s="787">
        <v>3705.52</v>
      </c>
      <c r="AQ127" s="787">
        <v>13390.75</v>
      </c>
      <c r="AR127" s="787">
        <v>0</v>
      </c>
      <c r="AS127" s="787">
        <v>0</v>
      </c>
      <c r="AT127" s="787">
        <v>0</v>
      </c>
      <c r="AU127" s="787">
        <v>0</v>
      </c>
      <c r="AV127" s="787">
        <v>0</v>
      </c>
      <c r="AW127" s="787">
        <v>0</v>
      </c>
      <c r="AX127" s="787">
        <v>0</v>
      </c>
      <c r="AY127" s="787">
        <v>0</v>
      </c>
      <c r="AZ127" s="787">
        <v>51581.430000000633</v>
      </c>
      <c r="BA127" s="787">
        <v>3291.75</v>
      </c>
      <c r="BB127" s="787">
        <v>0</v>
      </c>
      <c r="BC127" s="787">
        <v>12854.07</v>
      </c>
      <c r="BD127" s="787">
        <v>104136.25</v>
      </c>
      <c r="BE127" s="787">
        <v>950</v>
      </c>
      <c r="BF127" s="787">
        <v>224075.24</v>
      </c>
      <c r="BG127" s="787">
        <v>0</v>
      </c>
      <c r="BH127" s="787">
        <v>0</v>
      </c>
      <c r="BI127" s="787">
        <v>0</v>
      </c>
      <c r="BJ127" s="787">
        <v>1073618.1000000006</v>
      </c>
      <c r="BK127" s="787">
        <v>293583.9599999999</v>
      </c>
      <c r="BL127" s="787">
        <v>94438.877221959876</v>
      </c>
      <c r="BM127" s="787">
        <v>388022.83722195978</v>
      </c>
      <c r="BN127" s="787">
        <v>5235.25</v>
      </c>
      <c r="BO127" s="787">
        <v>0</v>
      </c>
      <c r="BP127" s="787">
        <v>0</v>
      </c>
      <c r="BQ127" s="787">
        <v>5235.25</v>
      </c>
      <c r="BR127" s="787">
        <v>0</v>
      </c>
      <c r="BS127" s="787">
        <v>0</v>
      </c>
      <c r="BT127" s="787">
        <v>0</v>
      </c>
      <c r="BU127" s="787">
        <v>0</v>
      </c>
      <c r="BV127" s="787">
        <v>0</v>
      </c>
      <c r="BW127" s="787">
        <v>0</v>
      </c>
      <c r="BX127" s="787">
        <v>31925.97</v>
      </c>
      <c r="BY127" s="787">
        <v>0</v>
      </c>
      <c r="BZ127" s="787">
        <v>31925.97</v>
      </c>
      <c r="CA127" s="787">
        <v>32907.57</v>
      </c>
      <c r="CB127" s="787">
        <v>-26690.720000000001</v>
      </c>
      <c r="CC127" s="787">
        <v>6216.8499999999985</v>
      </c>
      <c r="CD127" s="787">
        <v>0</v>
      </c>
      <c r="CE127" s="787">
        <v>0</v>
      </c>
      <c r="CF127" s="787">
        <v>0</v>
      </c>
      <c r="CG127" s="787">
        <v>0</v>
      </c>
      <c r="CH127" s="787">
        <v>0</v>
      </c>
      <c r="CI127" s="787">
        <v>0</v>
      </c>
      <c r="CJ127" s="787">
        <v>0</v>
      </c>
      <c r="CK127" s="787">
        <v>0</v>
      </c>
      <c r="CL127" s="787">
        <v>0</v>
      </c>
      <c r="CM127" s="787">
        <v>388022.83722195978</v>
      </c>
      <c r="CN127" s="787">
        <v>0</v>
      </c>
      <c r="CO127" s="787">
        <v>6216.8499999999985</v>
      </c>
      <c r="CP127" s="787">
        <v>0</v>
      </c>
      <c r="CQ127" s="787">
        <v>0</v>
      </c>
      <c r="CR127" s="787">
        <v>394239.68722195976</v>
      </c>
      <c r="CS127" s="787">
        <v>432506.8</v>
      </c>
      <c r="CT127" s="787">
        <v>0</v>
      </c>
      <c r="CU127" s="787">
        <v>0</v>
      </c>
      <c r="CV127" s="787">
        <v>432506.8</v>
      </c>
      <c r="CW127" s="787">
        <v>0</v>
      </c>
      <c r="CX127" s="787">
        <v>9436.65</v>
      </c>
      <c r="CY127" s="787">
        <v>7.37</v>
      </c>
      <c r="CZ127" s="787">
        <v>0</v>
      </c>
      <c r="DA127" s="787">
        <v>0</v>
      </c>
      <c r="DB127" s="787">
        <v>441950.82</v>
      </c>
      <c r="DC127" s="787">
        <v>0</v>
      </c>
      <c r="DD127" s="787">
        <v>0</v>
      </c>
      <c r="DE127" s="787">
        <v>0</v>
      </c>
      <c r="DF127" s="787">
        <v>0</v>
      </c>
      <c r="DG127" s="787"/>
      <c r="DH127" s="787"/>
      <c r="DI127" s="787"/>
      <c r="DJ127" s="787">
        <v>0</v>
      </c>
      <c r="DK127" s="787">
        <v>0</v>
      </c>
      <c r="DL127" s="787">
        <v>0</v>
      </c>
      <c r="DM127" s="787">
        <v>0</v>
      </c>
      <c r="DN127" s="787">
        <v>0</v>
      </c>
      <c r="DO127" s="787">
        <v>0</v>
      </c>
      <c r="DP127" s="787">
        <v>-47711.12</v>
      </c>
      <c r="DQ127" s="787">
        <v>0</v>
      </c>
      <c r="DR127" s="787">
        <v>0</v>
      </c>
      <c r="DS127" s="787">
        <v>0</v>
      </c>
      <c r="DT127" s="787">
        <v>-47711.12</v>
      </c>
      <c r="DU127" s="787">
        <v>0</v>
      </c>
      <c r="DV127" s="787">
        <v>0</v>
      </c>
      <c r="DW127" s="787">
        <v>0</v>
      </c>
      <c r="DX127" s="787">
        <v>0</v>
      </c>
      <c r="DY127" s="787">
        <v>0</v>
      </c>
      <c r="DZ127" s="787">
        <v>0</v>
      </c>
      <c r="EA127" s="787">
        <v>-1.2778040254488587E-2</v>
      </c>
      <c r="EC127" s="788">
        <v>6216.8499999999985</v>
      </c>
      <c r="EE127">
        <f>_xlfn.XLOOKUP(C127,'[1]Cfwd Analysis'!$C:$C,'[1]Cfwd Analysis'!$I:$I,0,0)</f>
        <v>388022.83722195978</v>
      </c>
      <c r="EF127" s="788">
        <f t="shared" si="1"/>
        <v>0</v>
      </c>
    </row>
    <row r="128" spans="1:136" ht="15.6" hidden="1">
      <c r="A128" s="782" t="s">
        <v>1422</v>
      </c>
      <c r="B128" s="782" t="s">
        <v>916</v>
      </c>
      <c r="C128" s="783">
        <v>1000</v>
      </c>
      <c r="D128" s="784" t="s">
        <v>917</v>
      </c>
      <c r="E128" s="785" t="s">
        <v>521</v>
      </c>
      <c r="F128" s="786">
        <v>0</v>
      </c>
      <c r="G128" s="785" t="s">
        <v>5</v>
      </c>
      <c r="H128" s="785" t="s">
        <v>938</v>
      </c>
      <c r="I128" s="787">
        <v>443838.89759282471</v>
      </c>
      <c r="J128" s="787">
        <v>0</v>
      </c>
      <c r="K128" s="787">
        <v>8345.9999318559567</v>
      </c>
      <c r="L128" s="787">
        <v>0</v>
      </c>
      <c r="M128" s="787">
        <v>0</v>
      </c>
      <c r="N128" s="787">
        <v>0</v>
      </c>
      <c r="O128" s="787">
        <v>0</v>
      </c>
      <c r="P128" s="787">
        <v>0</v>
      </c>
      <c r="Q128" s="787">
        <v>5063.3670849999953</v>
      </c>
      <c r="R128" s="787">
        <v>0</v>
      </c>
      <c r="S128" s="787">
        <v>0</v>
      </c>
      <c r="T128" s="787">
        <v>0</v>
      </c>
      <c r="U128" s="787">
        <v>83167.17</v>
      </c>
      <c r="V128" s="787">
        <v>0</v>
      </c>
      <c r="W128" s="787">
        <v>0</v>
      </c>
      <c r="X128" s="787">
        <v>540415.43460968067</v>
      </c>
      <c r="Y128" s="787">
        <v>188752.13999999998</v>
      </c>
      <c r="Z128" s="787">
        <v>0</v>
      </c>
      <c r="AA128" s="787">
        <v>174003.65000000002</v>
      </c>
      <c r="AB128" s="787">
        <v>1896.89</v>
      </c>
      <c r="AC128" s="787">
        <v>94863.77</v>
      </c>
      <c r="AD128" s="787">
        <v>0</v>
      </c>
      <c r="AE128" s="787">
        <v>14250.16</v>
      </c>
      <c r="AF128" s="787">
        <v>4938.26</v>
      </c>
      <c r="AG128" s="787">
        <v>2207.9699999999998</v>
      </c>
      <c r="AH128" s="787">
        <v>0</v>
      </c>
      <c r="AI128" s="787">
        <v>0</v>
      </c>
      <c r="AJ128" s="787">
        <v>24094.95</v>
      </c>
      <c r="AK128" s="787">
        <v>0</v>
      </c>
      <c r="AL128" s="787">
        <v>1361.75</v>
      </c>
      <c r="AM128" s="787">
        <v>2506.86</v>
      </c>
      <c r="AN128" s="787">
        <v>7431.72</v>
      </c>
      <c r="AO128" s="787">
        <v>0</v>
      </c>
      <c r="AP128" s="787">
        <v>1927.72</v>
      </c>
      <c r="AQ128" s="787">
        <v>12099.35</v>
      </c>
      <c r="AR128" s="787">
        <v>0</v>
      </c>
      <c r="AS128" s="787">
        <v>0</v>
      </c>
      <c r="AT128" s="787">
        <v>0</v>
      </c>
      <c r="AU128" s="787">
        <v>0</v>
      </c>
      <c r="AV128" s="787">
        <v>0</v>
      </c>
      <c r="AW128" s="787">
        <v>0</v>
      </c>
      <c r="AX128" s="787">
        <v>0</v>
      </c>
      <c r="AY128" s="787">
        <v>0</v>
      </c>
      <c r="AZ128" s="787">
        <v>12671.71</v>
      </c>
      <c r="BA128" s="787">
        <v>1107</v>
      </c>
      <c r="BB128" s="787">
        <v>0</v>
      </c>
      <c r="BC128" s="787">
        <v>1996.85</v>
      </c>
      <c r="BD128" s="787">
        <v>0</v>
      </c>
      <c r="BE128" s="787">
        <v>0</v>
      </c>
      <c r="BF128" s="787">
        <v>2722</v>
      </c>
      <c r="BG128" s="787">
        <v>61080.98</v>
      </c>
      <c r="BH128" s="787">
        <v>0</v>
      </c>
      <c r="BI128" s="787">
        <v>0</v>
      </c>
      <c r="BJ128" s="787">
        <v>609913.72999999986</v>
      </c>
      <c r="BK128" s="787">
        <v>47207.109999999811</v>
      </c>
      <c r="BL128" s="787">
        <v>-69498.295390319196</v>
      </c>
      <c r="BM128" s="787">
        <v>-22291.185390319384</v>
      </c>
      <c r="BN128" s="787">
        <v>4689.8500000000004</v>
      </c>
      <c r="BO128" s="787">
        <v>0</v>
      </c>
      <c r="BP128" s="787">
        <v>0</v>
      </c>
      <c r="BQ128" s="787">
        <v>4689.8500000000004</v>
      </c>
      <c r="BR128" s="787">
        <v>0</v>
      </c>
      <c r="BS128" s="787">
        <v>0</v>
      </c>
      <c r="BT128" s="787">
        <v>0</v>
      </c>
      <c r="BU128" s="787">
        <v>0</v>
      </c>
      <c r="BV128" s="787">
        <v>0</v>
      </c>
      <c r="BW128" s="787">
        <v>0</v>
      </c>
      <c r="BX128" s="787">
        <v>0</v>
      </c>
      <c r="BY128" s="787">
        <v>0</v>
      </c>
      <c r="BZ128" s="787">
        <v>0</v>
      </c>
      <c r="CA128" s="787">
        <v>10140.75</v>
      </c>
      <c r="CB128" s="787">
        <v>4689.8500000000004</v>
      </c>
      <c r="CC128" s="787">
        <v>14830.6</v>
      </c>
      <c r="CD128" s="787">
        <v>0</v>
      </c>
      <c r="CE128" s="787">
        <v>0</v>
      </c>
      <c r="CF128" s="787">
        <v>0</v>
      </c>
      <c r="CG128" s="787">
        <v>0</v>
      </c>
      <c r="CH128" s="787">
        <v>0</v>
      </c>
      <c r="CI128" s="787">
        <v>0</v>
      </c>
      <c r="CJ128" s="787">
        <v>0</v>
      </c>
      <c r="CK128" s="787">
        <v>0</v>
      </c>
      <c r="CL128" s="787">
        <v>0</v>
      </c>
      <c r="CM128" s="787">
        <v>0</v>
      </c>
      <c r="CN128" s="787">
        <v>-22291.185390319384</v>
      </c>
      <c r="CO128" s="787">
        <v>14830.6</v>
      </c>
      <c r="CP128" s="787">
        <v>0</v>
      </c>
      <c r="CQ128" s="787">
        <v>0</v>
      </c>
      <c r="CR128" s="787">
        <v>-7460.5853903193838</v>
      </c>
      <c r="CS128" s="787">
        <v>128953.1</v>
      </c>
      <c r="CT128" s="787">
        <v>15537.26</v>
      </c>
      <c r="CU128" s="787">
        <v>0</v>
      </c>
      <c r="CV128" s="787">
        <v>113415.84000000001</v>
      </c>
      <c r="CW128" s="787">
        <v>385.79</v>
      </c>
      <c r="CX128" s="787">
        <v>512.72</v>
      </c>
      <c r="CY128" s="787">
        <v>126.36</v>
      </c>
      <c r="CZ128" s="787">
        <v>2810.17</v>
      </c>
      <c r="DA128" s="787">
        <v>0</v>
      </c>
      <c r="DB128" s="787">
        <v>117250.88</v>
      </c>
      <c r="DC128" s="787">
        <v>0</v>
      </c>
      <c r="DD128" s="787">
        <v>0</v>
      </c>
      <c r="DE128" s="787">
        <v>0</v>
      </c>
      <c r="DF128" s="787">
        <v>0</v>
      </c>
      <c r="DG128" s="787"/>
      <c r="DH128" s="787"/>
      <c r="DI128" s="787"/>
      <c r="DJ128" s="787">
        <v>-60000</v>
      </c>
      <c r="DK128" s="787">
        <v>-60000</v>
      </c>
      <c r="DL128" s="787">
        <v>3054</v>
      </c>
      <c r="DM128" s="787">
        <v>0</v>
      </c>
      <c r="DN128" s="787">
        <v>0</v>
      </c>
      <c r="DO128" s="787">
        <v>0</v>
      </c>
      <c r="DP128" s="787">
        <v>-36103.43</v>
      </c>
      <c r="DQ128" s="787">
        <v>0</v>
      </c>
      <c r="DR128" s="787">
        <v>0</v>
      </c>
      <c r="DS128" s="787">
        <v>0</v>
      </c>
      <c r="DT128" s="787">
        <v>-33049.43</v>
      </c>
      <c r="DU128" s="787">
        <v>0</v>
      </c>
      <c r="DV128" s="787">
        <v>0</v>
      </c>
      <c r="DW128" s="787">
        <v>0</v>
      </c>
      <c r="DX128" s="787">
        <v>0</v>
      </c>
      <c r="DY128" s="787">
        <v>0</v>
      </c>
      <c r="DZ128" s="787">
        <v>-31662.12</v>
      </c>
      <c r="EA128" s="787">
        <v>8.4609680603534798E-2</v>
      </c>
      <c r="EC128" s="788">
        <v>14830.6</v>
      </c>
      <c r="EE128">
        <f>_xlfn.XLOOKUP(C128,'[1]Cfwd Analysis'!$C:$C,'[1]Cfwd Analysis'!$I:$I,0,0)</f>
        <v>-22291.185390319384</v>
      </c>
      <c r="EF128" s="788">
        <f t="shared" si="1"/>
        <v>0</v>
      </c>
    </row>
    <row r="129" spans="1:136" ht="15.6" hidden="1">
      <c r="A129" s="782" t="s">
        <v>1423</v>
      </c>
      <c r="B129" s="782" t="s">
        <v>744</v>
      </c>
      <c r="C129" s="783">
        <v>7033</v>
      </c>
      <c r="D129" s="784" t="s">
        <v>745</v>
      </c>
      <c r="E129" s="785" t="s">
        <v>521</v>
      </c>
      <c r="F129" s="786">
        <v>46082</v>
      </c>
      <c r="G129" s="785" t="s">
        <v>5</v>
      </c>
      <c r="H129" s="785" t="s">
        <v>756</v>
      </c>
      <c r="I129" s="787">
        <v>4350158.0323913042</v>
      </c>
      <c r="J129" s="787">
        <v>97706.482384016446</v>
      </c>
      <c r="K129" s="787">
        <v>4126673.9823998371</v>
      </c>
      <c r="L129" s="787">
        <v>0</v>
      </c>
      <c r="M129" s="787">
        <v>211065</v>
      </c>
      <c r="N129" s="787">
        <v>146985.93</v>
      </c>
      <c r="O129" s="787">
        <v>299265.96999999997</v>
      </c>
      <c r="P129" s="787">
        <v>0</v>
      </c>
      <c r="Q129" s="787">
        <v>233513.21</v>
      </c>
      <c r="R129" s="787">
        <v>30442.73</v>
      </c>
      <c r="S129" s="787">
        <v>0</v>
      </c>
      <c r="T129" s="787">
        <v>0</v>
      </c>
      <c r="U129" s="787">
        <v>37475.050000000003</v>
      </c>
      <c r="V129" s="787">
        <v>0</v>
      </c>
      <c r="W129" s="787">
        <v>0</v>
      </c>
      <c r="X129" s="787">
        <v>9533286.3871751595</v>
      </c>
      <c r="Y129" s="787">
        <v>3966605.0527272727</v>
      </c>
      <c r="Z129" s="787">
        <v>0</v>
      </c>
      <c r="AA129" s="787">
        <v>1820083.6472727272</v>
      </c>
      <c r="AB129" s="787">
        <v>80644.363636363632</v>
      </c>
      <c r="AC129" s="787">
        <v>1810735.2327272727</v>
      </c>
      <c r="AD129" s="787">
        <v>0</v>
      </c>
      <c r="AE129" s="787">
        <v>0</v>
      </c>
      <c r="AF129" s="787">
        <v>2057.87</v>
      </c>
      <c r="AG129" s="787">
        <v>0</v>
      </c>
      <c r="AH129" s="787">
        <v>0</v>
      </c>
      <c r="AI129" s="787">
        <v>0</v>
      </c>
      <c r="AJ129" s="787">
        <v>168748.64</v>
      </c>
      <c r="AK129" s="787">
        <v>503</v>
      </c>
      <c r="AL129" s="787">
        <v>119611.71</v>
      </c>
      <c r="AM129" s="787">
        <v>20172.22</v>
      </c>
      <c r="AN129" s="787">
        <v>144908.81</v>
      </c>
      <c r="AO129" s="787">
        <v>0</v>
      </c>
      <c r="AP129" s="787">
        <v>13878.86</v>
      </c>
      <c r="AQ129" s="787">
        <v>315856.69</v>
      </c>
      <c r="AR129" s="787">
        <v>0</v>
      </c>
      <c r="AS129" s="787">
        <v>0</v>
      </c>
      <c r="AT129" s="787">
        <v>0</v>
      </c>
      <c r="AU129" s="787">
        <v>0</v>
      </c>
      <c r="AV129" s="787">
        <v>47845.57</v>
      </c>
      <c r="AW129" s="787">
        <v>832</v>
      </c>
      <c r="AX129" s="787">
        <v>0</v>
      </c>
      <c r="AY129" s="787">
        <v>31659.16</v>
      </c>
      <c r="AZ129" s="787">
        <v>372360.98</v>
      </c>
      <c r="BA129" s="787">
        <v>9471</v>
      </c>
      <c r="BB129" s="787">
        <v>1652</v>
      </c>
      <c r="BC129" s="787">
        <v>103055.44</v>
      </c>
      <c r="BD129" s="787">
        <v>363570.88</v>
      </c>
      <c r="BE129" s="787">
        <v>0</v>
      </c>
      <c r="BF129" s="787">
        <v>365714.26</v>
      </c>
      <c r="BG129" s="787">
        <v>0</v>
      </c>
      <c r="BH129" s="787">
        <v>0</v>
      </c>
      <c r="BI129" s="787">
        <v>0</v>
      </c>
      <c r="BJ129" s="787">
        <v>9759967.3863636367</v>
      </c>
      <c r="BK129" s="787">
        <v>155978</v>
      </c>
      <c r="BL129" s="787">
        <v>-226680.99918847717</v>
      </c>
      <c r="BM129" s="787">
        <v>-70702.999188477173</v>
      </c>
      <c r="BN129" s="787">
        <v>54503</v>
      </c>
      <c r="BO129" s="787">
        <v>0</v>
      </c>
      <c r="BP129" s="787">
        <v>0</v>
      </c>
      <c r="BQ129" s="787">
        <v>54503</v>
      </c>
      <c r="BR129" s="787">
        <v>0</v>
      </c>
      <c r="BS129" s="787">
        <v>0</v>
      </c>
      <c r="BT129" s="787">
        <v>0</v>
      </c>
      <c r="BU129" s="787">
        <v>0</v>
      </c>
      <c r="BV129" s="787">
        <v>0</v>
      </c>
      <c r="BW129" s="787">
        <v>0</v>
      </c>
      <c r="BX129" s="787">
        <v>0</v>
      </c>
      <c r="BY129" s="787">
        <v>0</v>
      </c>
      <c r="BZ129" s="787">
        <v>0</v>
      </c>
      <c r="CA129" s="787">
        <v>100451</v>
      </c>
      <c r="CB129" s="787">
        <v>54503</v>
      </c>
      <c r="CC129" s="787">
        <v>154954</v>
      </c>
      <c r="CD129" s="787">
        <v>0</v>
      </c>
      <c r="CE129" s="787">
        <v>0</v>
      </c>
      <c r="CF129" s="787">
        <v>0</v>
      </c>
      <c r="CG129" s="787">
        <v>0</v>
      </c>
      <c r="CH129" s="787">
        <v>0</v>
      </c>
      <c r="CI129" s="787">
        <v>0</v>
      </c>
      <c r="CJ129" s="787">
        <v>0</v>
      </c>
      <c r="CK129" s="787">
        <v>0</v>
      </c>
      <c r="CL129" s="787">
        <v>0</v>
      </c>
      <c r="CM129" s="787">
        <v>0</v>
      </c>
      <c r="CN129" s="787">
        <v>-70702.999188477173</v>
      </c>
      <c r="CO129" s="787">
        <v>154954</v>
      </c>
      <c r="CP129" s="787">
        <v>0</v>
      </c>
      <c r="CQ129" s="787">
        <v>0</v>
      </c>
      <c r="CR129" s="787">
        <v>84251.000811522827</v>
      </c>
      <c r="CS129" s="787">
        <v>119931.72</v>
      </c>
      <c r="CT129" s="787">
        <v>383265.87000000005</v>
      </c>
      <c r="CU129" s="787">
        <v>813421.85999999975</v>
      </c>
      <c r="CV129" s="787">
        <v>550087.70999999973</v>
      </c>
      <c r="CW129" s="787">
        <v>0</v>
      </c>
      <c r="CX129" s="787">
        <v>23650.880000000001</v>
      </c>
      <c r="CY129" s="787">
        <v>0</v>
      </c>
      <c r="CZ129" s="787">
        <v>0</v>
      </c>
      <c r="DA129" s="787">
        <v>0</v>
      </c>
      <c r="DB129" s="787">
        <v>573738.58999999973</v>
      </c>
      <c r="DC129" s="787">
        <v>2319.0500000000002</v>
      </c>
      <c r="DD129" s="787">
        <v>3921.36</v>
      </c>
      <c r="DE129" s="787">
        <v>555.20000000000005</v>
      </c>
      <c r="DF129" s="787">
        <v>-1047.1099999999999</v>
      </c>
      <c r="DG129" s="787"/>
      <c r="DH129" s="787"/>
      <c r="DI129" s="787"/>
      <c r="DJ129" s="787">
        <v>0</v>
      </c>
      <c r="DK129" s="787">
        <v>-1047.1099999999999</v>
      </c>
      <c r="DL129" s="787">
        <v>145253</v>
      </c>
      <c r="DM129" s="787">
        <v>0</v>
      </c>
      <c r="DN129" s="787">
        <v>0</v>
      </c>
      <c r="DO129" s="787">
        <v>0</v>
      </c>
      <c r="DP129" s="787">
        <v>-603654.57999999996</v>
      </c>
      <c r="DQ129" s="787">
        <v>-1652</v>
      </c>
      <c r="DR129" s="787">
        <v>0</v>
      </c>
      <c r="DS129" s="787">
        <v>0</v>
      </c>
      <c r="DT129" s="787">
        <v>-460053.57999999996</v>
      </c>
      <c r="DU129" s="787">
        <v>0</v>
      </c>
      <c r="DV129" s="787">
        <v>0</v>
      </c>
      <c r="DW129" s="787">
        <v>-13479.2</v>
      </c>
      <c r="DX129" s="787">
        <v>-14907.78</v>
      </c>
      <c r="DY129" s="787">
        <v>0</v>
      </c>
      <c r="DZ129" s="787">
        <v>0</v>
      </c>
      <c r="EA129" s="787">
        <v>8.0811523090233095E-2</v>
      </c>
      <c r="EE129">
        <f>_xlfn.XLOOKUP(C129,'[1]Cfwd Analysis'!$C:$C,'[1]Cfwd Analysis'!$I:$I,0,0)</f>
        <v>-70702.999188477173</v>
      </c>
      <c r="EF129" s="788">
        <f t="shared" si="1"/>
        <v>0</v>
      </c>
    </row>
    <row r="130" spans="1:136" ht="15.6" hidden="1">
      <c r="A130" s="782" t="s">
        <v>1424</v>
      </c>
      <c r="B130" s="782" t="s">
        <v>746</v>
      </c>
      <c r="C130" s="783">
        <v>4177</v>
      </c>
      <c r="D130" s="784" t="s">
        <v>747</v>
      </c>
      <c r="E130" s="785" t="s">
        <v>521</v>
      </c>
      <c r="F130" s="786">
        <v>46094</v>
      </c>
      <c r="G130" s="785" t="s">
        <v>5</v>
      </c>
      <c r="H130" s="785" t="s">
        <v>758</v>
      </c>
      <c r="I130" s="787">
        <v>6927739.699103985</v>
      </c>
      <c r="J130" s="787">
        <v>0</v>
      </c>
      <c r="K130" s="787">
        <v>75662.222222222234</v>
      </c>
      <c r="L130" s="787">
        <v>0</v>
      </c>
      <c r="M130" s="787">
        <v>473000</v>
      </c>
      <c r="N130" s="787">
        <v>4612.84</v>
      </c>
      <c r="O130" s="787">
        <v>12335</v>
      </c>
      <c r="P130" s="787">
        <v>0</v>
      </c>
      <c r="Q130" s="787">
        <v>122413</v>
      </c>
      <c r="R130" s="787">
        <v>0</v>
      </c>
      <c r="S130" s="787">
        <v>0</v>
      </c>
      <c r="T130" s="787">
        <v>0</v>
      </c>
      <c r="U130" s="787">
        <v>39426</v>
      </c>
      <c r="V130" s="787">
        <v>0</v>
      </c>
      <c r="W130" s="787">
        <v>0</v>
      </c>
      <c r="X130" s="787">
        <v>7655188.7613262068</v>
      </c>
      <c r="Y130" s="787">
        <v>4689352</v>
      </c>
      <c r="Z130" s="787">
        <v>0</v>
      </c>
      <c r="AA130" s="787">
        <v>395762</v>
      </c>
      <c r="AB130" s="787">
        <v>69759</v>
      </c>
      <c r="AC130" s="787">
        <v>611189</v>
      </c>
      <c r="AD130" s="787">
        <v>0</v>
      </c>
      <c r="AE130" s="787">
        <v>3294</v>
      </c>
      <c r="AF130" s="787">
        <v>96851</v>
      </c>
      <c r="AG130" s="787">
        <v>43681</v>
      </c>
      <c r="AH130" s="787">
        <v>0</v>
      </c>
      <c r="AI130" s="787">
        <v>0</v>
      </c>
      <c r="AJ130" s="787">
        <v>81942.67</v>
      </c>
      <c r="AK130" s="787">
        <v>3399</v>
      </c>
      <c r="AL130" s="787">
        <v>149704.06</v>
      </c>
      <c r="AM130" s="787">
        <v>23275.200000000001</v>
      </c>
      <c r="AN130" s="787">
        <v>149026.79999999999</v>
      </c>
      <c r="AO130" s="787">
        <v>113647.33999999998</v>
      </c>
      <c r="AP130" s="787">
        <v>17349.099999999999</v>
      </c>
      <c r="AQ130" s="787">
        <v>120016.02</v>
      </c>
      <c r="AR130" s="787">
        <v>170978.46</v>
      </c>
      <c r="AS130" s="787">
        <v>0</v>
      </c>
      <c r="AT130" s="787">
        <v>0</v>
      </c>
      <c r="AU130" s="787">
        <v>0</v>
      </c>
      <c r="AV130" s="787">
        <v>0</v>
      </c>
      <c r="AW130" s="787">
        <v>0</v>
      </c>
      <c r="AX130" s="787">
        <v>0</v>
      </c>
      <c r="AY130" s="787">
        <v>78212.55</v>
      </c>
      <c r="AZ130" s="787">
        <v>87108.65</v>
      </c>
      <c r="BA130" s="787">
        <v>24312.75</v>
      </c>
      <c r="BB130" s="787">
        <v>15920</v>
      </c>
      <c r="BC130" s="787">
        <v>173723</v>
      </c>
      <c r="BD130" s="787">
        <v>36060</v>
      </c>
      <c r="BE130" s="787">
        <v>98011.25</v>
      </c>
      <c r="BF130" s="787">
        <v>342959.77</v>
      </c>
      <c r="BG130" s="787">
        <v>0</v>
      </c>
      <c r="BH130" s="787">
        <v>0</v>
      </c>
      <c r="BI130" s="787">
        <v>108</v>
      </c>
      <c r="BJ130" s="787">
        <v>7595642.6199999992</v>
      </c>
      <c r="BK130" s="787">
        <v>457266</v>
      </c>
      <c r="BL130" s="787">
        <v>59546.141326207668</v>
      </c>
      <c r="BM130" s="787">
        <v>516812.14132620767</v>
      </c>
      <c r="BN130" s="787">
        <v>17592.810000000001</v>
      </c>
      <c r="BO130" s="787">
        <v>0</v>
      </c>
      <c r="BP130" s="787">
        <v>108</v>
      </c>
      <c r="BQ130" s="787">
        <v>17700.810000000001</v>
      </c>
      <c r="BR130" s="787">
        <v>0</v>
      </c>
      <c r="BS130" s="787">
        <v>51421.7</v>
      </c>
      <c r="BT130" s="787">
        <v>0</v>
      </c>
      <c r="BU130" s="787">
        <v>0</v>
      </c>
      <c r="BV130" s="787">
        <v>0</v>
      </c>
      <c r="BW130" s="787">
        <v>0</v>
      </c>
      <c r="BX130" s="787">
        <v>0</v>
      </c>
      <c r="BY130" s="787">
        <v>0</v>
      </c>
      <c r="BZ130" s="787">
        <v>51421.7</v>
      </c>
      <c r="CA130" s="787">
        <v>33721</v>
      </c>
      <c r="CB130" s="787">
        <v>-33720.89</v>
      </c>
      <c r="CC130" s="787">
        <v>0.11000000000058208</v>
      </c>
      <c r="CD130" s="787">
        <v>0</v>
      </c>
      <c r="CE130" s="787">
        <v>0</v>
      </c>
      <c r="CF130" s="787">
        <v>0</v>
      </c>
      <c r="CG130" s="787">
        <v>0</v>
      </c>
      <c r="CH130" s="787">
        <v>0</v>
      </c>
      <c r="CI130" s="787">
        <v>0</v>
      </c>
      <c r="CJ130" s="787">
        <v>0</v>
      </c>
      <c r="CK130" s="787">
        <v>0</v>
      </c>
      <c r="CL130" s="787">
        <v>0</v>
      </c>
      <c r="CM130" s="787">
        <v>516812.14132620767</v>
      </c>
      <c r="CN130" s="787">
        <v>0</v>
      </c>
      <c r="CO130" s="787">
        <v>0</v>
      </c>
      <c r="CP130" s="787">
        <v>0.11000000000058208</v>
      </c>
      <c r="CQ130" s="787">
        <v>0</v>
      </c>
      <c r="CR130" s="787">
        <v>516812.25132620765</v>
      </c>
      <c r="CS130" s="787">
        <v>984121.3</v>
      </c>
      <c r="CT130" s="787">
        <v>0</v>
      </c>
      <c r="CU130" s="787">
        <v>0</v>
      </c>
      <c r="CV130" s="787">
        <v>984121.3</v>
      </c>
      <c r="CW130" s="787">
        <v>0</v>
      </c>
      <c r="CX130" s="787">
        <v>35344.5</v>
      </c>
      <c r="CY130" s="787">
        <v>1378.16</v>
      </c>
      <c r="CZ130" s="787">
        <v>0</v>
      </c>
      <c r="DA130" s="787">
        <v>0</v>
      </c>
      <c r="DB130" s="787">
        <v>1020843.9600000001</v>
      </c>
      <c r="DC130" s="787">
        <v>355.83</v>
      </c>
      <c r="DD130" s="787">
        <v>0</v>
      </c>
      <c r="DE130" s="787">
        <v>0</v>
      </c>
      <c r="DF130" s="787">
        <v>355.83</v>
      </c>
      <c r="DG130" s="787"/>
      <c r="DH130" s="787"/>
      <c r="DI130" s="787"/>
      <c r="DJ130" s="787">
        <v>0</v>
      </c>
      <c r="DK130" s="787">
        <v>355.83</v>
      </c>
      <c r="DL130" s="787">
        <v>0</v>
      </c>
      <c r="DM130" s="787">
        <v>0</v>
      </c>
      <c r="DN130" s="787">
        <v>101330.53</v>
      </c>
      <c r="DO130" s="787">
        <v>0</v>
      </c>
      <c r="DP130" s="787">
        <v>-566281.81000000006</v>
      </c>
      <c r="DQ130" s="787">
        <v>0</v>
      </c>
      <c r="DR130" s="787">
        <v>0</v>
      </c>
      <c r="DS130" s="787">
        <v>0</v>
      </c>
      <c r="DT130" s="787">
        <v>-464951.28</v>
      </c>
      <c r="DU130" s="787">
        <v>113358.71</v>
      </c>
      <c r="DV130" s="787">
        <v>0</v>
      </c>
      <c r="DW130" s="787">
        <v>0</v>
      </c>
      <c r="DX130" s="787">
        <v>-33829</v>
      </c>
      <c r="DY130" s="787">
        <v>0</v>
      </c>
      <c r="DZ130" s="787">
        <v>-118966</v>
      </c>
      <c r="EA130" s="787">
        <v>3.1326207565143704E-2</v>
      </c>
      <c r="EE130">
        <f>_xlfn.XLOOKUP(C130,'[1]Cfwd Analysis'!$C:$C,'[1]Cfwd Analysis'!$I:$I,0,0)</f>
        <v>516812.14132620767</v>
      </c>
      <c r="EF130" s="788">
        <f t="shared" si="1"/>
        <v>0</v>
      </c>
    </row>
    <row r="131" spans="1:136" ht="15.6" hidden="1">
      <c r="A131" s="782" t="s">
        <v>1425</v>
      </c>
      <c r="B131" s="782" t="s">
        <v>748</v>
      </c>
      <c r="C131" s="783">
        <v>2169</v>
      </c>
      <c r="D131" s="784" t="s">
        <v>749</v>
      </c>
      <c r="E131" s="785" t="s">
        <v>521</v>
      </c>
      <c r="F131" s="786">
        <v>46094</v>
      </c>
      <c r="G131" s="785" t="s">
        <v>5</v>
      </c>
      <c r="H131" s="785" t="s">
        <v>760</v>
      </c>
      <c r="I131" s="787">
        <v>2532408.69463372</v>
      </c>
      <c r="J131" s="787">
        <v>0</v>
      </c>
      <c r="K131" s="787">
        <v>20411.786666666667</v>
      </c>
      <c r="L131" s="787">
        <v>0</v>
      </c>
      <c r="M131" s="787">
        <v>373760</v>
      </c>
      <c r="N131" s="787">
        <v>30380.86</v>
      </c>
      <c r="O131" s="787">
        <v>0</v>
      </c>
      <c r="P131" s="787">
        <v>0</v>
      </c>
      <c r="Q131" s="787">
        <v>39347.53400500014</v>
      </c>
      <c r="R131" s="787">
        <v>14299.06</v>
      </c>
      <c r="S131" s="787">
        <v>0</v>
      </c>
      <c r="T131" s="787">
        <v>0</v>
      </c>
      <c r="U131" s="787">
        <v>14654.5</v>
      </c>
      <c r="V131" s="787">
        <v>42735.75</v>
      </c>
      <c r="W131" s="787">
        <v>0</v>
      </c>
      <c r="X131" s="787">
        <v>3067998.1853053868</v>
      </c>
      <c r="Y131" s="787">
        <v>1457911.2899999998</v>
      </c>
      <c r="Z131" s="787">
        <v>0</v>
      </c>
      <c r="AA131" s="787">
        <v>559911.37</v>
      </c>
      <c r="AB131" s="787">
        <v>41067.83</v>
      </c>
      <c r="AC131" s="787">
        <v>176943.25</v>
      </c>
      <c r="AD131" s="787">
        <v>0</v>
      </c>
      <c r="AE131" s="787">
        <v>67854.179999999993</v>
      </c>
      <c r="AF131" s="787">
        <v>9969.93</v>
      </c>
      <c r="AG131" s="787">
        <v>8150.03</v>
      </c>
      <c r="AH131" s="787">
        <v>0</v>
      </c>
      <c r="AI131" s="787">
        <v>0</v>
      </c>
      <c r="AJ131" s="787">
        <v>46399.44</v>
      </c>
      <c r="AK131" s="787">
        <v>1050</v>
      </c>
      <c r="AL131" s="787">
        <v>62142.76</v>
      </c>
      <c r="AM131" s="787">
        <v>15263.92</v>
      </c>
      <c r="AN131" s="787">
        <v>39617.089999999997</v>
      </c>
      <c r="AO131" s="787">
        <v>29679.819999999996</v>
      </c>
      <c r="AP131" s="787">
        <v>9092.0600000000013</v>
      </c>
      <c r="AQ131" s="787">
        <v>69545.08</v>
      </c>
      <c r="AR131" s="787">
        <v>22301.52</v>
      </c>
      <c r="AS131" s="787">
        <v>0</v>
      </c>
      <c r="AT131" s="787">
        <v>5063.83</v>
      </c>
      <c r="AU131" s="787">
        <v>10509.48</v>
      </c>
      <c r="AV131" s="787">
        <v>20158.650000000001</v>
      </c>
      <c r="AW131" s="787">
        <v>51.84</v>
      </c>
      <c r="AX131" s="787">
        <v>469</v>
      </c>
      <c r="AY131" s="787">
        <v>0</v>
      </c>
      <c r="AZ131" s="787">
        <v>2810.97</v>
      </c>
      <c r="BA131" s="787">
        <v>9838.14</v>
      </c>
      <c r="BB131" s="787">
        <v>5687</v>
      </c>
      <c r="BC131" s="787">
        <v>187073.49000000002</v>
      </c>
      <c r="BD131" s="787">
        <v>67843.45</v>
      </c>
      <c r="BE131" s="787">
        <v>100305.57999999999</v>
      </c>
      <c r="BF131" s="787">
        <v>28768.109999999997</v>
      </c>
      <c r="BG131" s="787">
        <v>0</v>
      </c>
      <c r="BH131" s="787">
        <v>0</v>
      </c>
      <c r="BI131" s="787">
        <v>0</v>
      </c>
      <c r="BJ131" s="787">
        <v>3055479.11</v>
      </c>
      <c r="BK131" s="787">
        <v>606867.83000000613</v>
      </c>
      <c r="BL131" s="787">
        <v>12519.075305386912</v>
      </c>
      <c r="BM131" s="787">
        <v>619386.90530539304</v>
      </c>
      <c r="BN131" s="787">
        <v>8491</v>
      </c>
      <c r="BO131" s="787">
        <v>0</v>
      </c>
      <c r="BP131" s="787">
        <v>0</v>
      </c>
      <c r="BQ131" s="787">
        <v>8491</v>
      </c>
      <c r="BR131" s="787">
        <v>0</v>
      </c>
      <c r="BS131" s="787">
        <v>13625</v>
      </c>
      <c r="BT131" s="787">
        <v>0</v>
      </c>
      <c r="BU131" s="787">
        <v>0</v>
      </c>
      <c r="BV131" s="787">
        <v>0</v>
      </c>
      <c r="BW131" s="787">
        <v>0</v>
      </c>
      <c r="BX131" s="787">
        <v>0</v>
      </c>
      <c r="BY131" s="787">
        <v>0</v>
      </c>
      <c r="BZ131" s="787">
        <v>13625</v>
      </c>
      <c r="CA131" s="787">
        <v>40193.99</v>
      </c>
      <c r="CB131" s="787">
        <v>-5134</v>
      </c>
      <c r="CC131" s="787">
        <v>35059.99</v>
      </c>
      <c r="CD131" s="787">
        <v>0</v>
      </c>
      <c r="CE131" s="787">
        <v>0</v>
      </c>
      <c r="CF131" s="787">
        <v>0</v>
      </c>
      <c r="CG131" s="787">
        <v>0</v>
      </c>
      <c r="CH131" s="787">
        <v>0</v>
      </c>
      <c r="CI131" s="787">
        <v>0</v>
      </c>
      <c r="CJ131" s="787">
        <v>0</v>
      </c>
      <c r="CK131" s="787">
        <v>0</v>
      </c>
      <c r="CL131" s="787">
        <v>0</v>
      </c>
      <c r="CM131" s="787">
        <v>619386.90530539304</v>
      </c>
      <c r="CN131" s="787">
        <v>0</v>
      </c>
      <c r="CO131" s="787">
        <v>35059.81</v>
      </c>
      <c r="CP131" s="787">
        <v>0.18000000000029104</v>
      </c>
      <c r="CQ131" s="787">
        <v>0</v>
      </c>
      <c r="CR131" s="787">
        <v>654446.89530539315</v>
      </c>
      <c r="CS131" s="787">
        <v>980478.32</v>
      </c>
      <c r="CT131" s="787">
        <v>0</v>
      </c>
      <c r="CU131" s="787">
        <v>0</v>
      </c>
      <c r="CV131" s="787">
        <v>980478.32</v>
      </c>
      <c r="CW131" s="787">
        <v>0</v>
      </c>
      <c r="CX131" s="787">
        <v>5132.91</v>
      </c>
      <c r="CY131" s="787">
        <v>5946.23</v>
      </c>
      <c r="CZ131" s="787">
        <v>0</v>
      </c>
      <c r="DA131" s="787">
        <v>0</v>
      </c>
      <c r="DB131" s="787">
        <v>991557.46</v>
      </c>
      <c r="DC131" s="787">
        <v>0</v>
      </c>
      <c r="DD131" s="787">
        <v>0</v>
      </c>
      <c r="DE131" s="787">
        <v>0</v>
      </c>
      <c r="DF131" s="787">
        <v>0</v>
      </c>
      <c r="DG131" s="787"/>
      <c r="DH131" s="787"/>
      <c r="DI131" s="787"/>
      <c r="DJ131" s="787">
        <v>0</v>
      </c>
      <c r="DK131" s="787">
        <v>0</v>
      </c>
      <c r="DL131" s="787">
        <v>0</v>
      </c>
      <c r="DM131" s="787">
        <v>0</v>
      </c>
      <c r="DN131" s="787">
        <v>0</v>
      </c>
      <c r="DO131" s="787">
        <v>0</v>
      </c>
      <c r="DP131" s="787">
        <v>-242135.01</v>
      </c>
      <c r="DQ131" s="787">
        <v>-50393.22</v>
      </c>
      <c r="DR131" s="787">
        <v>0</v>
      </c>
      <c r="DS131" s="787">
        <v>0</v>
      </c>
      <c r="DT131" s="787">
        <v>-292528.23</v>
      </c>
      <c r="DU131" s="787">
        <v>0</v>
      </c>
      <c r="DV131" s="787">
        <v>0</v>
      </c>
      <c r="DW131" s="787">
        <v>0</v>
      </c>
      <c r="DX131" s="787">
        <v>0</v>
      </c>
      <c r="DY131" s="787">
        <v>0</v>
      </c>
      <c r="DZ131" s="787">
        <v>-44582</v>
      </c>
      <c r="EA131" s="787">
        <v>-0.33469460683409125</v>
      </c>
      <c r="EE131">
        <f>_xlfn.XLOOKUP(C131,'[1]Cfwd Analysis'!$C:$C,'[1]Cfwd Analysis'!$I:$I,0,0)</f>
        <v>619386.90530539304</v>
      </c>
      <c r="EF131" s="788">
        <f t="shared" si="1"/>
        <v>0</v>
      </c>
    </row>
    <row r="132" spans="1:136" ht="15.6" hidden="1">
      <c r="A132" s="782" t="s">
        <v>1426</v>
      </c>
      <c r="B132" s="782" t="s">
        <v>750</v>
      </c>
      <c r="C132" s="783">
        <v>2008</v>
      </c>
      <c r="D132" s="784" t="s">
        <v>751</v>
      </c>
      <c r="E132" s="785" t="s">
        <v>521</v>
      </c>
      <c r="F132" s="786">
        <v>46101</v>
      </c>
      <c r="G132" s="785" t="s">
        <v>5</v>
      </c>
      <c r="H132" s="785" t="s">
        <v>762</v>
      </c>
      <c r="I132" s="787">
        <v>2769081.664014861</v>
      </c>
      <c r="J132" s="787">
        <v>0</v>
      </c>
      <c r="K132" s="787">
        <v>105420.00333333333</v>
      </c>
      <c r="L132" s="787">
        <v>0</v>
      </c>
      <c r="M132" s="787">
        <v>325725</v>
      </c>
      <c r="N132" s="787">
        <v>68059.22</v>
      </c>
      <c r="O132" s="787">
        <v>0</v>
      </c>
      <c r="P132" s="787">
        <v>2659.55</v>
      </c>
      <c r="Q132" s="787">
        <v>14170.117740000011</v>
      </c>
      <c r="R132" s="787">
        <v>0</v>
      </c>
      <c r="S132" s="787">
        <v>0</v>
      </c>
      <c r="T132" s="787">
        <v>0</v>
      </c>
      <c r="U132" s="787">
        <v>0</v>
      </c>
      <c r="V132" s="787">
        <v>0</v>
      </c>
      <c r="W132" s="787">
        <v>0</v>
      </c>
      <c r="X132" s="787">
        <v>3285115.5550881946</v>
      </c>
      <c r="Y132" s="787">
        <v>1385384.21</v>
      </c>
      <c r="Z132" s="787">
        <v>15419.35</v>
      </c>
      <c r="AA132" s="787">
        <v>494365.42</v>
      </c>
      <c r="AB132" s="787">
        <v>51203.34</v>
      </c>
      <c r="AC132" s="787">
        <v>152013.57999999999</v>
      </c>
      <c r="AD132" s="787">
        <v>0</v>
      </c>
      <c r="AE132" s="787">
        <v>33127.53</v>
      </c>
      <c r="AF132" s="787">
        <v>6290</v>
      </c>
      <c r="AG132" s="787">
        <v>2045</v>
      </c>
      <c r="AH132" s="787">
        <v>0</v>
      </c>
      <c r="AI132" s="787">
        <v>0</v>
      </c>
      <c r="AJ132" s="787">
        <v>6921.21</v>
      </c>
      <c r="AK132" s="787">
        <v>2568.09</v>
      </c>
      <c r="AL132" s="787">
        <v>14357.87</v>
      </c>
      <c r="AM132" s="787">
        <v>13156.65</v>
      </c>
      <c r="AN132" s="787">
        <v>27736.37</v>
      </c>
      <c r="AO132" s="787">
        <v>28884.830000000005</v>
      </c>
      <c r="AP132" s="787">
        <v>28066.38</v>
      </c>
      <c r="AQ132" s="787">
        <v>157441.62</v>
      </c>
      <c r="AR132" s="787">
        <v>26082.69</v>
      </c>
      <c r="AS132" s="787">
        <v>0</v>
      </c>
      <c r="AT132" s="787">
        <v>12833.17</v>
      </c>
      <c r="AU132" s="787">
        <v>0</v>
      </c>
      <c r="AV132" s="787">
        <v>0</v>
      </c>
      <c r="AW132" s="787">
        <v>870.49</v>
      </c>
      <c r="AX132" s="787">
        <v>0</v>
      </c>
      <c r="AY132" s="787">
        <v>0</v>
      </c>
      <c r="AZ132" s="787">
        <v>10716.51</v>
      </c>
      <c r="BA132" s="787">
        <v>9471</v>
      </c>
      <c r="BB132" s="787">
        <v>6344</v>
      </c>
      <c r="BC132" s="787">
        <v>214941.98</v>
      </c>
      <c r="BD132" s="787">
        <v>401478.01</v>
      </c>
      <c r="BE132" s="787">
        <v>13683.58</v>
      </c>
      <c r="BF132" s="787">
        <v>176248.55</v>
      </c>
      <c r="BG132" s="787">
        <v>0</v>
      </c>
      <c r="BH132" s="787">
        <v>0</v>
      </c>
      <c r="BI132" s="787">
        <v>0</v>
      </c>
      <c r="BJ132" s="787">
        <v>3291651.4299999997</v>
      </c>
      <c r="BK132" s="787">
        <v>246208.84000000049</v>
      </c>
      <c r="BL132" s="787">
        <v>-6535.8749118051492</v>
      </c>
      <c r="BM132" s="787">
        <v>239672.96508819534</v>
      </c>
      <c r="BN132" s="787">
        <v>9141.25</v>
      </c>
      <c r="BO132" s="787">
        <v>40000</v>
      </c>
      <c r="BP132" s="787">
        <v>0</v>
      </c>
      <c r="BQ132" s="787">
        <v>49141.25</v>
      </c>
      <c r="BR132" s="787">
        <v>10882</v>
      </c>
      <c r="BS132" s="787">
        <v>41296.5</v>
      </c>
      <c r="BT132" s="787">
        <v>0</v>
      </c>
      <c r="BU132" s="787">
        <v>12625</v>
      </c>
      <c r="BV132" s="787">
        <v>0</v>
      </c>
      <c r="BW132" s="787">
        <v>0</v>
      </c>
      <c r="BX132" s="787">
        <v>0</v>
      </c>
      <c r="BY132" s="787">
        <v>0</v>
      </c>
      <c r="BZ132" s="787">
        <v>64803.5</v>
      </c>
      <c r="CA132" s="787">
        <v>17766.43</v>
      </c>
      <c r="CB132" s="787">
        <v>-15662.25</v>
      </c>
      <c r="CC132" s="787">
        <v>2104.1800000000003</v>
      </c>
      <c r="CD132" s="787">
        <v>0</v>
      </c>
      <c r="CE132" s="787">
        <v>0</v>
      </c>
      <c r="CF132" s="787">
        <v>0</v>
      </c>
      <c r="CG132" s="787">
        <v>0</v>
      </c>
      <c r="CH132" s="787">
        <v>0</v>
      </c>
      <c r="CI132" s="787">
        <v>0</v>
      </c>
      <c r="CJ132" s="787">
        <v>0</v>
      </c>
      <c r="CK132" s="787">
        <v>0</v>
      </c>
      <c r="CL132" s="787">
        <v>0</v>
      </c>
      <c r="CM132" s="787">
        <v>239672.96508819534</v>
      </c>
      <c r="CN132" s="787">
        <v>0</v>
      </c>
      <c r="CO132" s="787">
        <v>2104</v>
      </c>
      <c r="CP132" s="787">
        <v>0.18000000000029104</v>
      </c>
      <c r="CQ132" s="787">
        <v>0</v>
      </c>
      <c r="CR132" s="787">
        <v>241777.14508819534</v>
      </c>
      <c r="CS132" s="787">
        <v>584719.51</v>
      </c>
      <c r="CT132" s="787">
        <v>0</v>
      </c>
      <c r="CU132" s="787">
        <v>0</v>
      </c>
      <c r="CV132" s="787">
        <v>584719.51</v>
      </c>
      <c r="CW132" s="787">
        <v>0</v>
      </c>
      <c r="CX132" s="787">
        <v>16563.73</v>
      </c>
      <c r="CY132" s="787">
        <v>9507.67</v>
      </c>
      <c r="CZ132" s="787">
        <v>0</v>
      </c>
      <c r="DA132" s="787">
        <v>0</v>
      </c>
      <c r="DB132" s="787">
        <v>610790.91</v>
      </c>
      <c r="DC132" s="787">
        <v>0</v>
      </c>
      <c r="DD132" s="787">
        <v>0</v>
      </c>
      <c r="DE132" s="787">
        <v>0</v>
      </c>
      <c r="DF132" s="787">
        <v>0</v>
      </c>
      <c r="DG132" s="787"/>
      <c r="DH132" s="787"/>
      <c r="DI132" s="787"/>
      <c r="DJ132" s="787">
        <v>0</v>
      </c>
      <c r="DK132" s="787">
        <v>0</v>
      </c>
      <c r="DL132" s="787">
        <v>0</v>
      </c>
      <c r="DM132" s="787">
        <v>0</v>
      </c>
      <c r="DN132" s="787">
        <v>0</v>
      </c>
      <c r="DO132" s="787">
        <v>0</v>
      </c>
      <c r="DP132" s="787">
        <v>-24237.87</v>
      </c>
      <c r="DQ132" s="787">
        <v>-131273.26</v>
      </c>
      <c r="DR132" s="787">
        <v>0</v>
      </c>
      <c r="DS132" s="787">
        <v>0</v>
      </c>
      <c r="DT132" s="787">
        <v>-155511.13</v>
      </c>
      <c r="DU132" s="787">
        <v>0</v>
      </c>
      <c r="DV132" s="787">
        <v>0</v>
      </c>
      <c r="DW132" s="787">
        <v>0</v>
      </c>
      <c r="DX132" s="787">
        <v>0</v>
      </c>
      <c r="DY132" s="787">
        <v>0</v>
      </c>
      <c r="DZ132" s="787">
        <v>-213502.74</v>
      </c>
      <c r="EA132" s="787">
        <v>0.10508819529786706</v>
      </c>
      <c r="EE132">
        <f>_xlfn.XLOOKUP(C132,'[1]Cfwd Analysis'!$C:$C,'[1]Cfwd Analysis'!$I:$I,0,0)</f>
        <v>239672.96508819534</v>
      </c>
      <c r="EF132" s="788">
        <f t="shared" si="1"/>
        <v>0</v>
      </c>
    </row>
    <row r="133" spans="1:136" ht="15.6" hidden="1">
      <c r="A133" s="782" t="s">
        <v>1427</v>
      </c>
      <c r="B133" s="782" t="s">
        <v>752</v>
      </c>
      <c r="C133" s="783">
        <v>1038</v>
      </c>
      <c r="D133" s="784" t="s">
        <v>753</v>
      </c>
      <c r="E133" s="785" t="s">
        <v>521</v>
      </c>
      <c r="F133" s="786">
        <v>46094</v>
      </c>
      <c r="G133" s="785" t="s">
        <v>5</v>
      </c>
      <c r="H133" s="785" t="s">
        <v>764</v>
      </c>
      <c r="I133" s="787">
        <v>1141774.2635632544</v>
      </c>
      <c r="J133" s="787">
        <v>0</v>
      </c>
      <c r="K133" s="787">
        <v>103856.45639889197</v>
      </c>
      <c r="L133" s="787">
        <v>0</v>
      </c>
      <c r="M133" s="787">
        <v>0</v>
      </c>
      <c r="N133" s="787">
        <v>0</v>
      </c>
      <c r="O133" s="787">
        <v>10535</v>
      </c>
      <c r="P133" s="787">
        <v>0</v>
      </c>
      <c r="Q133" s="787">
        <v>14238</v>
      </c>
      <c r="R133" s="787">
        <v>15406</v>
      </c>
      <c r="S133" s="787">
        <v>0</v>
      </c>
      <c r="T133" s="787">
        <v>0</v>
      </c>
      <c r="U133" s="787">
        <v>114382</v>
      </c>
      <c r="V133" s="787">
        <v>21599</v>
      </c>
      <c r="W133" s="787">
        <v>0</v>
      </c>
      <c r="X133" s="787">
        <v>1421790.7199621464</v>
      </c>
      <c r="Y133" s="787">
        <v>334991</v>
      </c>
      <c r="Z133" s="787">
        <v>0</v>
      </c>
      <c r="AA133" s="787">
        <v>611588</v>
      </c>
      <c r="AB133" s="787">
        <v>42474.82</v>
      </c>
      <c r="AC133" s="787">
        <v>52018.62</v>
      </c>
      <c r="AD133" s="787">
        <v>0</v>
      </c>
      <c r="AE133" s="787">
        <v>0</v>
      </c>
      <c r="AF133" s="787">
        <v>3648</v>
      </c>
      <c r="AG133" s="787">
        <v>5051</v>
      </c>
      <c r="AH133" s="787">
        <v>0</v>
      </c>
      <c r="AI133" s="787">
        <v>0</v>
      </c>
      <c r="AJ133" s="787">
        <v>5036</v>
      </c>
      <c r="AK133" s="787">
        <v>144</v>
      </c>
      <c r="AL133" s="787">
        <v>31600</v>
      </c>
      <c r="AM133" s="787">
        <v>171</v>
      </c>
      <c r="AN133" s="787">
        <v>2470</v>
      </c>
      <c r="AO133" s="787">
        <v>0</v>
      </c>
      <c r="AP133" s="787">
        <v>15056</v>
      </c>
      <c r="AQ133" s="787">
        <v>33649</v>
      </c>
      <c r="AR133" s="787">
        <v>0</v>
      </c>
      <c r="AS133" s="787">
        <v>0</v>
      </c>
      <c r="AT133" s="787">
        <v>1847</v>
      </c>
      <c r="AU133" s="787">
        <v>1491.77</v>
      </c>
      <c r="AV133" s="787">
        <v>0</v>
      </c>
      <c r="AW133" s="787">
        <v>411</v>
      </c>
      <c r="AX133" s="787">
        <v>16556</v>
      </c>
      <c r="AY133" s="787">
        <v>0</v>
      </c>
      <c r="AZ133" s="787">
        <v>8121</v>
      </c>
      <c r="BA133" s="787">
        <v>3291.75</v>
      </c>
      <c r="BB133" s="787">
        <v>0</v>
      </c>
      <c r="BC133" s="787">
        <v>53481.33</v>
      </c>
      <c r="BD133" s="787">
        <v>21528</v>
      </c>
      <c r="BE133" s="787">
        <v>167214.17000000001</v>
      </c>
      <c r="BF133" s="787">
        <v>36333</v>
      </c>
      <c r="BG133" s="787">
        <v>0</v>
      </c>
      <c r="BH133" s="787">
        <v>0</v>
      </c>
      <c r="BI133" s="787">
        <v>7359</v>
      </c>
      <c r="BJ133" s="787">
        <v>1455531.46</v>
      </c>
      <c r="BK133" s="787">
        <v>102220.76599999983</v>
      </c>
      <c r="BL133" s="787">
        <v>-33740.740037853597</v>
      </c>
      <c r="BM133" s="787">
        <v>68480.025962146232</v>
      </c>
      <c r="BN133" s="787">
        <v>5154.25</v>
      </c>
      <c r="BO133" s="787">
        <v>0</v>
      </c>
      <c r="BP133" s="787">
        <v>7359</v>
      </c>
      <c r="BQ133" s="787">
        <v>12513.25</v>
      </c>
      <c r="BR133" s="787">
        <v>0</v>
      </c>
      <c r="BS133" s="787">
        <v>33070</v>
      </c>
      <c r="BT133" s="787">
        <v>0</v>
      </c>
      <c r="BU133" s="787">
        <v>0</v>
      </c>
      <c r="BV133" s="787">
        <v>0</v>
      </c>
      <c r="BW133" s="787">
        <v>0</v>
      </c>
      <c r="BX133" s="787">
        <v>0</v>
      </c>
      <c r="BY133" s="787">
        <v>0</v>
      </c>
      <c r="BZ133" s="787">
        <v>33070</v>
      </c>
      <c r="CA133" s="787">
        <v>20556.410000000003</v>
      </c>
      <c r="CB133" s="787">
        <v>-20556.75</v>
      </c>
      <c r="CC133" s="787">
        <v>-0.33999999999650754</v>
      </c>
      <c r="CD133" s="787">
        <v>0</v>
      </c>
      <c r="CE133" s="787">
        <v>0</v>
      </c>
      <c r="CF133" s="787">
        <v>0</v>
      </c>
      <c r="CG133" s="787">
        <v>0</v>
      </c>
      <c r="CH133" s="787">
        <v>0</v>
      </c>
      <c r="CI133" s="787">
        <v>0</v>
      </c>
      <c r="CJ133" s="787">
        <v>0</v>
      </c>
      <c r="CK133" s="787">
        <v>0</v>
      </c>
      <c r="CL133" s="787">
        <v>0</v>
      </c>
      <c r="CM133" s="787">
        <v>68480.025962146232</v>
      </c>
      <c r="CN133" s="787">
        <v>0</v>
      </c>
      <c r="CO133" s="787">
        <v>0</v>
      </c>
      <c r="CP133" s="787">
        <v>-0.33999999999650754</v>
      </c>
      <c r="CQ133" s="787">
        <v>0</v>
      </c>
      <c r="CR133" s="787">
        <v>68479.685962146235</v>
      </c>
      <c r="CS133" s="787">
        <v>416487</v>
      </c>
      <c r="CT133" s="787">
        <v>20681.900000000001</v>
      </c>
      <c r="CU133" s="787">
        <v>1372.62</v>
      </c>
      <c r="CV133" s="787">
        <v>397177.72</v>
      </c>
      <c r="CW133" s="787">
        <v>0</v>
      </c>
      <c r="CX133" s="787">
        <v>7633</v>
      </c>
      <c r="CY133" s="787">
        <v>8011.03</v>
      </c>
      <c r="CZ133" s="787">
        <v>39094</v>
      </c>
      <c r="DA133" s="787">
        <v>190</v>
      </c>
      <c r="DB133" s="787">
        <v>452105.75</v>
      </c>
      <c r="DC133" s="787">
        <v>0</v>
      </c>
      <c r="DD133" s="787">
        <v>0</v>
      </c>
      <c r="DE133" s="787">
        <v>0</v>
      </c>
      <c r="DF133" s="787">
        <v>0</v>
      </c>
      <c r="DG133" s="787"/>
      <c r="DH133" s="787"/>
      <c r="DI133" s="787"/>
      <c r="DJ133" s="787">
        <v>0</v>
      </c>
      <c r="DK133" s="787">
        <v>0</v>
      </c>
      <c r="DL133" s="787">
        <v>0</v>
      </c>
      <c r="DM133" s="787">
        <v>0</v>
      </c>
      <c r="DN133" s="787">
        <v>0</v>
      </c>
      <c r="DO133" s="787">
        <v>0</v>
      </c>
      <c r="DP133" s="787">
        <v>-110623.61</v>
      </c>
      <c r="DQ133" s="787">
        <v>-32078.33</v>
      </c>
      <c r="DR133" s="787">
        <v>0</v>
      </c>
      <c r="DS133" s="787">
        <v>0</v>
      </c>
      <c r="DT133" s="787">
        <v>-142701.94</v>
      </c>
      <c r="DU133" s="787">
        <v>0</v>
      </c>
      <c r="DV133" s="787">
        <v>0</v>
      </c>
      <c r="DW133" s="787">
        <v>0</v>
      </c>
      <c r="DX133" s="787">
        <v>-223125.43</v>
      </c>
      <c r="DY133" s="787">
        <v>0</v>
      </c>
      <c r="DZ133" s="787">
        <v>-17799.189999999999</v>
      </c>
      <c r="EA133" s="787">
        <v>0.49596214623306878</v>
      </c>
      <c r="EE133">
        <f>_xlfn.XLOOKUP(C133,'[1]Cfwd Analysis'!$C:$C,'[1]Cfwd Analysis'!$I:$I,0,0)</f>
        <v>68480.025962146232</v>
      </c>
      <c r="EF133" s="788">
        <f t="shared" si="1"/>
        <v>0</v>
      </c>
    </row>
    <row r="134" spans="1:136" ht="15.6" hidden="1">
      <c r="A134" s="782" t="s">
        <v>1428</v>
      </c>
      <c r="B134" s="782" t="s">
        <v>754</v>
      </c>
      <c r="C134" s="783">
        <v>2174</v>
      </c>
      <c r="D134" s="784" t="s">
        <v>755</v>
      </c>
      <c r="E134" s="785" t="s">
        <v>521</v>
      </c>
      <c r="F134" s="786">
        <v>46094</v>
      </c>
      <c r="G134" s="785" t="s">
        <v>5</v>
      </c>
      <c r="H134" s="785" t="s">
        <v>766</v>
      </c>
      <c r="I134" s="787">
        <v>1839451.3131024095</v>
      </c>
      <c r="J134" s="787">
        <v>0</v>
      </c>
      <c r="K134" s="787">
        <v>178376.36</v>
      </c>
      <c r="L134" s="787">
        <v>0</v>
      </c>
      <c r="M134" s="787">
        <v>193920</v>
      </c>
      <c r="N134" s="787">
        <v>103892</v>
      </c>
      <c r="O134" s="787">
        <v>0</v>
      </c>
      <c r="P134" s="787">
        <v>0</v>
      </c>
      <c r="Q134" s="787">
        <v>78142.829999999987</v>
      </c>
      <c r="R134" s="787">
        <v>0</v>
      </c>
      <c r="S134" s="787">
        <v>0</v>
      </c>
      <c r="T134" s="787">
        <v>0</v>
      </c>
      <c r="U134" s="787">
        <v>6977.91</v>
      </c>
      <c r="V134" s="787">
        <v>0</v>
      </c>
      <c r="W134" s="787">
        <v>0</v>
      </c>
      <c r="X134" s="787">
        <v>2400760.4131024098</v>
      </c>
      <c r="Y134" s="787">
        <v>1093342.1500000001</v>
      </c>
      <c r="Z134" s="787">
        <v>0</v>
      </c>
      <c r="AA134" s="787">
        <v>488323.39</v>
      </c>
      <c r="AB134" s="787">
        <v>43790.47</v>
      </c>
      <c r="AC134" s="787">
        <v>157638.15000000002</v>
      </c>
      <c r="AD134" s="787">
        <v>0</v>
      </c>
      <c r="AE134" s="787">
        <v>115912.94</v>
      </c>
      <c r="AF134" s="787">
        <v>7367.3700000000008</v>
      </c>
      <c r="AG134" s="787">
        <v>11200.15</v>
      </c>
      <c r="AH134" s="787">
        <v>0</v>
      </c>
      <c r="AI134" s="787">
        <v>0</v>
      </c>
      <c r="AJ134" s="787">
        <v>51766.58</v>
      </c>
      <c r="AK134" s="787">
        <v>91.99</v>
      </c>
      <c r="AL134" s="787">
        <v>40211.449999999997</v>
      </c>
      <c r="AM134" s="787">
        <v>6011.16</v>
      </c>
      <c r="AN134" s="787">
        <v>40624.559999999998</v>
      </c>
      <c r="AO134" s="787">
        <v>20532.460000000003</v>
      </c>
      <c r="AP134" s="787">
        <v>1430.29</v>
      </c>
      <c r="AQ134" s="787">
        <v>137503.72999999995</v>
      </c>
      <c r="AR134" s="787">
        <v>6690</v>
      </c>
      <c r="AS134" s="787">
        <v>0</v>
      </c>
      <c r="AT134" s="787">
        <v>3238.28</v>
      </c>
      <c r="AU134" s="787">
        <v>14280.72</v>
      </c>
      <c r="AV134" s="787">
        <v>2179.15</v>
      </c>
      <c r="AW134" s="787">
        <v>0</v>
      </c>
      <c r="AX134" s="787">
        <v>0</v>
      </c>
      <c r="AY134" s="787">
        <v>0</v>
      </c>
      <c r="AZ134" s="787">
        <v>9885.5999999999985</v>
      </c>
      <c r="BA134" s="787">
        <v>8100</v>
      </c>
      <c r="BB134" s="787">
        <v>0</v>
      </c>
      <c r="BC134" s="787">
        <v>149022.12</v>
      </c>
      <c r="BD134" s="787">
        <v>12805.49</v>
      </c>
      <c r="BE134" s="787">
        <v>21726.68</v>
      </c>
      <c r="BF134" s="787">
        <v>27740.07</v>
      </c>
      <c r="BG134" s="787">
        <v>0</v>
      </c>
      <c r="BH134" s="787">
        <v>0</v>
      </c>
      <c r="BI134" s="787">
        <v>3626</v>
      </c>
      <c r="BJ134" s="787">
        <v>2475040.9500000002</v>
      </c>
      <c r="BK134" s="787">
        <v>168806.53999999893</v>
      </c>
      <c r="BL134" s="787">
        <v>-74280.536897590384</v>
      </c>
      <c r="BM134" s="787">
        <v>94526.003102408547</v>
      </c>
      <c r="BN134" s="787">
        <v>7712.5</v>
      </c>
      <c r="BO134" s="787">
        <v>0</v>
      </c>
      <c r="BP134" s="787">
        <v>3626</v>
      </c>
      <c r="BQ134" s="787">
        <v>11338.5</v>
      </c>
      <c r="BR134" s="787">
        <v>0</v>
      </c>
      <c r="BS134" s="787">
        <v>11339</v>
      </c>
      <c r="BT134" s="787">
        <v>0</v>
      </c>
      <c r="BU134" s="787">
        <v>0</v>
      </c>
      <c r="BV134" s="787">
        <v>0</v>
      </c>
      <c r="BW134" s="787">
        <v>0</v>
      </c>
      <c r="BX134" s="787">
        <v>0</v>
      </c>
      <c r="BY134" s="787">
        <v>0</v>
      </c>
      <c r="BZ134" s="787">
        <v>11339</v>
      </c>
      <c r="CA134" s="787">
        <v>0.25</v>
      </c>
      <c r="CB134" s="787">
        <v>-0.5</v>
      </c>
      <c r="CC134" s="787">
        <v>-0.25</v>
      </c>
      <c r="CD134" s="787">
        <v>0</v>
      </c>
      <c r="CE134" s="787">
        <v>0</v>
      </c>
      <c r="CF134" s="787">
        <v>0</v>
      </c>
      <c r="CG134" s="787">
        <v>0</v>
      </c>
      <c r="CH134" s="787">
        <v>0</v>
      </c>
      <c r="CI134" s="787">
        <v>0</v>
      </c>
      <c r="CJ134" s="787">
        <v>0</v>
      </c>
      <c r="CK134" s="787">
        <v>0</v>
      </c>
      <c r="CL134" s="787">
        <v>0</v>
      </c>
      <c r="CM134" s="787">
        <v>94526.003102408547</v>
      </c>
      <c r="CN134" s="787">
        <v>0</v>
      </c>
      <c r="CO134" s="787">
        <v>0</v>
      </c>
      <c r="CP134" s="787">
        <v>-0.25</v>
      </c>
      <c r="CQ134" s="787">
        <v>0</v>
      </c>
      <c r="CR134" s="787">
        <v>94525.753102408547</v>
      </c>
      <c r="CS134" s="787">
        <v>359531.62</v>
      </c>
      <c r="CT134" s="787">
        <v>1270.67</v>
      </c>
      <c r="CU134" s="787">
        <v>0</v>
      </c>
      <c r="CV134" s="787">
        <v>358260.95</v>
      </c>
      <c r="CW134" s="787">
        <v>39.630000000000003</v>
      </c>
      <c r="CX134" s="787">
        <v>9647.5400000000009</v>
      </c>
      <c r="CY134" s="787">
        <v>3791.37</v>
      </c>
      <c r="CZ134" s="787">
        <v>6806.69</v>
      </c>
      <c r="DA134" s="787">
        <v>0</v>
      </c>
      <c r="DB134" s="787">
        <v>378546.18</v>
      </c>
      <c r="DC134" s="787">
        <v>3545.14</v>
      </c>
      <c r="DD134" s="787">
        <v>0</v>
      </c>
      <c r="DE134" s="787">
        <v>0</v>
      </c>
      <c r="DF134" s="787">
        <v>3545.14</v>
      </c>
      <c r="DG134" s="787"/>
      <c r="DH134" s="787"/>
      <c r="DI134" s="787"/>
      <c r="DJ134" s="787">
        <v>-75000</v>
      </c>
      <c r="DK134" s="787">
        <v>-71454.86</v>
      </c>
      <c r="DL134" s="787">
        <v>0</v>
      </c>
      <c r="DM134" s="787">
        <v>0</v>
      </c>
      <c r="DN134" s="787">
        <v>0</v>
      </c>
      <c r="DO134" s="787">
        <v>0</v>
      </c>
      <c r="DP134" s="787">
        <v>-175408.15</v>
      </c>
      <c r="DQ134" s="787">
        <v>0</v>
      </c>
      <c r="DR134" s="787">
        <v>0</v>
      </c>
      <c r="DS134" s="787">
        <v>0</v>
      </c>
      <c r="DT134" s="787">
        <v>-175408.15</v>
      </c>
      <c r="DU134" s="787">
        <v>0</v>
      </c>
      <c r="DV134" s="787">
        <v>0</v>
      </c>
      <c r="DW134" s="787">
        <v>-2396.4</v>
      </c>
      <c r="DX134" s="787">
        <v>0</v>
      </c>
      <c r="DY134" s="787">
        <v>0</v>
      </c>
      <c r="DZ134" s="787">
        <v>-34761.300000000003</v>
      </c>
      <c r="EA134" s="787">
        <v>0.2831024085462559</v>
      </c>
      <c r="EE134">
        <f>_xlfn.XLOOKUP(C134,'[1]Cfwd Analysis'!$C:$C,'[1]Cfwd Analysis'!$I:$I,0,0)</f>
        <v>94526.003102408547</v>
      </c>
      <c r="EF134" s="788">
        <f t="shared" si="1"/>
        <v>0</v>
      </c>
    </row>
    <row r="135" spans="1:136" ht="15.6" hidden="1">
      <c r="A135" s="782" t="s">
        <v>1429</v>
      </c>
      <c r="B135" s="782" t="s">
        <v>756</v>
      </c>
      <c r="C135" s="783">
        <v>2176</v>
      </c>
      <c r="D135" s="784" t="s">
        <v>757</v>
      </c>
      <c r="E135" s="785" t="s">
        <v>521</v>
      </c>
      <c r="F135" s="786" t="s">
        <v>1315</v>
      </c>
      <c r="G135" s="785" t="s">
        <v>5</v>
      </c>
      <c r="H135" s="785" t="s">
        <v>768</v>
      </c>
      <c r="I135" s="787">
        <v>4308223.2241659584</v>
      </c>
      <c r="J135" s="787">
        <v>0</v>
      </c>
      <c r="K135" s="787">
        <v>280593.67433333333</v>
      </c>
      <c r="L135" s="787">
        <v>0</v>
      </c>
      <c r="M135" s="787">
        <v>536310</v>
      </c>
      <c r="N135" s="787">
        <v>86026.22</v>
      </c>
      <c r="O135" s="787">
        <v>7750</v>
      </c>
      <c r="P135" s="787">
        <v>0</v>
      </c>
      <c r="Q135" s="787">
        <v>18533.97</v>
      </c>
      <c r="R135" s="787">
        <v>268747.48</v>
      </c>
      <c r="S135" s="787">
        <v>0</v>
      </c>
      <c r="T135" s="787">
        <v>0</v>
      </c>
      <c r="U135" s="787">
        <v>14696.49</v>
      </c>
      <c r="V135" s="787">
        <v>19747.919999999998</v>
      </c>
      <c r="W135" s="787">
        <v>0</v>
      </c>
      <c r="X135" s="787">
        <v>5540628.9784992915</v>
      </c>
      <c r="Y135" s="787">
        <v>2035506.79</v>
      </c>
      <c r="Z135" s="787">
        <v>0</v>
      </c>
      <c r="AA135" s="787">
        <v>922659.85</v>
      </c>
      <c r="AB135" s="787">
        <v>76887.98</v>
      </c>
      <c r="AC135" s="787">
        <v>251960.57</v>
      </c>
      <c r="AD135" s="787">
        <v>157205.95200000002</v>
      </c>
      <c r="AE135" s="787">
        <v>87828.6</v>
      </c>
      <c r="AF135" s="787">
        <v>3591.85</v>
      </c>
      <c r="AG135" s="787">
        <v>15711.75</v>
      </c>
      <c r="AH135" s="787">
        <v>0</v>
      </c>
      <c r="AI135" s="787">
        <v>0</v>
      </c>
      <c r="AJ135" s="787">
        <v>136763.88</v>
      </c>
      <c r="AK135" s="787">
        <v>0</v>
      </c>
      <c r="AL135" s="787">
        <v>12535.48</v>
      </c>
      <c r="AM135" s="787">
        <v>4244.1099999999997</v>
      </c>
      <c r="AN135" s="787">
        <v>80913.41</v>
      </c>
      <c r="AO135" s="787">
        <v>66127.06</v>
      </c>
      <c r="AP135" s="787">
        <v>19773.150000000001</v>
      </c>
      <c r="AQ135" s="787">
        <v>159680.15</v>
      </c>
      <c r="AR135" s="787">
        <v>0</v>
      </c>
      <c r="AS135" s="787">
        <v>0</v>
      </c>
      <c r="AT135" s="787">
        <v>13599.18</v>
      </c>
      <c r="AU135" s="787">
        <v>6803.91</v>
      </c>
      <c r="AV135" s="787">
        <v>4786.95</v>
      </c>
      <c r="AW135" s="787">
        <v>0</v>
      </c>
      <c r="AX135" s="787">
        <v>33300</v>
      </c>
      <c r="AY135" s="787">
        <v>0</v>
      </c>
      <c r="AZ135" s="787">
        <v>39531.980000000003</v>
      </c>
      <c r="BA135" s="787">
        <v>18745.650000000001</v>
      </c>
      <c r="BB135" s="787">
        <v>1694</v>
      </c>
      <c r="BC135" s="787">
        <v>339303.77</v>
      </c>
      <c r="BD135" s="787">
        <v>959098.58</v>
      </c>
      <c r="BE135" s="787">
        <v>40300.959999999992</v>
      </c>
      <c r="BF135" s="787">
        <v>116884.37000000002</v>
      </c>
      <c r="BG135" s="787">
        <v>0</v>
      </c>
      <c r="BH135" s="787">
        <v>0</v>
      </c>
      <c r="BI135" s="787">
        <v>6234</v>
      </c>
      <c r="BJ135" s="787">
        <v>5611673.932</v>
      </c>
      <c r="BK135" s="787">
        <v>410223</v>
      </c>
      <c r="BL135" s="787">
        <v>-71044.953500708565</v>
      </c>
      <c r="BM135" s="787">
        <v>339178.04649929143</v>
      </c>
      <c r="BN135" s="787">
        <v>11825.5</v>
      </c>
      <c r="BO135" s="787">
        <v>0</v>
      </c>
      <c r="BP135" s="787">
        <v>6234</v>
      </c>
      <c r="BQ135" s="787">
        <v>18059.5</v>
      </c>
      <c r="BR135" s="787">
        <v>0</v>
      </c>
      <c r="BS135" s="787">
        <v>0</v>
      </c>
      <c r="BT135" s="787">
        <v>8060</v>
      </c>
      <c r="BU135" s="787">
        <v>0</v>
      </c>
      <c r="BV135" s="787">
        <v>0</v>
      </c>
      <c r="BW135" s="787">
        <v>0</v>
      </c>
      <c r="BX135" s="787">
        <v>19804.7</v>
      </c>
      <c r="BY135" s="787">
        <v>0</v>
      </c>
      <c r="BZ135" s="787">
        <v>27864.7</v>
      </c>
      <c r="CA135" s="787">
        <v>9805</v>
      </c>
      <c r="CB135" s="787">
        <v>-9805.2000000000007</v>
      </c>
      <c r="CC135" s="787">
        <v>-0.2000000000007276</v>
      </c>
      <c r="CD135" s="787">
        <v>0</v>
      </c>
      <c r="CE135" s="787">
        <v>0</v>
      </c>
      <c r="CF135" s="787">
        <v>0</v>
      </c>
      <c r="CG135" s="787">
        <v>0</v>
      </c>
      <c r="CH135" s="787">
        <v>0</v>
      </c>
      <c r="CI135" s="787">
        <v>0</v>
      </c>
      <c r="CJ135" s="787">
        <v>0</v>
      </c>
      <c r="CK135" s="787">
        <v>0</v>
      </c>
      <c r="CL135" s="787">
        <v>0</v>
      </c>
      <c r="CM135" s="787">
        <v>339178.04649929143</v>
      </c>
      <c r="CN135" s="787">
        <v>0</v>
      </c>
      <c r="CO135" s="787">
        <v>0</v>
      </c>
      <c r="CP135" s="787">
        <v>-0.2000000000007276</v>
      </c>
      <c r="CQ135" s="787">
        <v>0</v>
      </c>
      <c r="CR135" s="787">
        <v>339177.84649929142</v>
      </c>
      <c r="CS135" s="787">
        <v>788635.23</v>
      </c>
      <c r="CT135" s="787">
        <v>137243.46</v>
      </c>
      <c r="CU135" s="787">
        <v>0</v>
      </c>
      <c r="CV135" s="787">
        <v>651391.77</v>
      </c>
      <c r="CW135" s="787">
        <v>0</v>
      </c>
      <c r="CX135" s="787">
        <v>29602.77</v>
      </c>
      <c r="CY135" s="787">
        <v>22286.61</v>
      </c>
      <c r="CZ135" s="787">
        <v>0</v>
      </c>
      <c r="DA135" s="787">
        <v>-0.4</v>
      </c>
      <c r="DB135" s="787">
        <v>703280.75</v>
      </c>
      <c r="DC135" s="787">
        <v>0</v>
      </c>
      <c r="DD135" s="787">
        <v>0</v>
      </c>
      <c r="DE135" s="787">
        <v>0</v>
      </c>
      <c r="DF135" s="787">
        <v>0</v>
      </c>
      <c r="DG135" s="787"/>
      <c r="DH135" s="787"/>
      <c r="DI135" s="787"/>
      <c r="DJ135" s="787">
        <v>0</v>
      </c>
      <c r="DK135" s="787">
        <v>0</v>
      </c>
      <c r="DL135" s="787">
        <v>3892.33</v>
      </c>
      <c r="DM135" s="787">
        <v>0</v>
      </c>
      <c r="DN135" s="787">
        <v>37255.99</v>
      </c>
      <c r="DO135" s="787">
        <v>0</v>
      </c>
      <c r="DP135" s="787">
        <v>-405250.83</v>
      </c>
      <c r="DQ135" s="787">
        <v>0</v>
      </c>
      <c r="DR135" s="787">
        <v>0</v>
      </c>
      <c r="DS135" s="787">
        <v>0</v>
      </c>
      <c r="DT135" s="787">
        <v>-364102.51</v>
      </c>
      <c r="DU135" s="787">
        <v>0</v>
      </c>
      <c r="DV135" s="787">
        <v>0</v>
      </c>
      <c r="DW135" s="787">
        <v>0</v>
      </c>
      <c r="DX135" s="787">
        <v>0</v>
      </c>
      <c r="DY135" s="787">
        <v>0</v>
      </c>
      <c r="DZ135" s="787">
        <v>0</v>
      </c>
      <c r="EA135" s="787">
        <v>-0.39350070856744424</v>
      </c>
      <c r="EE135">
        <f>_xlfn.XLOOKUP(C135,'[1]Cfwd Analysis'!$C:$C,'[1]Cfwd Analysis'!$I:$I,0,0)</f>
        <v>339178.04649929143</v>
      </c>
      <c r="EF135" s="788">
        <f t="shared" si="1"/>
        <v>0</v>
      </c>
    </row>
    <row r="136" spans="1:136" ht="15.6" hidden="1">
      <c r="A136" s="782" t="s">
        <v>1430</v>
      </c>
      <c r="B136" s="782" t="s">
        <v>758</v>
      </c>
      <c r="C136" s="783">
        <v>7047</v>
      </c>
      <c r="D136" s="784" t="s">
        <v>759</v>
      </c>
      <c r="E136" s="785" t="s">
        <v>521</v>
      </c>
      <c r="F136" s="786">
        <v>46094</v>
      </c>
      <c r="G136" s="785" t="s">
        <v>5</v>
      </c>
      <c r="H136" s="785" t="s">
        <v>770</v>
      </c>
      <c r="I136" s="787">
        <v>1271430.6567391304</v>
      </c>
      <c r="J136" s="787">
        <v>0</v>
      </c>
      <c r="K136" s="787">
        <v>2147972.7342001703</v>
      </c>
      <c r="L136" s="787">
        <v>0</v>
      </c>
      <c r="M136" s="787">
        <v>116579</v>
      </c>
      <c r="N136" s="787">
        <v>20156</v>
      </c>
      <c r="O136" s="787">
        <v>0</v>
      </c>
      <c r="P136" s="787">
        <v>0</v>
      </c>
      <c r="Q136" s="787">
        <v>5085.5500000000011</v>
      </c>
      <c r="R136" s="787">
        <v>5874.97</v>
      </c>
      <c r="S136" s="787">
        <v>0</v>
      </c>
      <c r="T136" s="787">
        <v>0</v>
      </c>
      <c r="U136" s="787">
        <v>2733.4</v>
      </c>
      <c r="V136" s="787">
        <v>259268</v>
      </c>
      <c r="W136" s="787">
        <v>0</v>
      </c>
      <c r="X136" s="787">
        <v>3829100.3109393008</v>
      </c>
      <c r="Y136" s="787">
        <v>1228122.3699999999</v>
      </c>
      <c r="Z136" s="787">
        <v>0</v>
      </c>
      <c r="AA136" s="787">
        <v>970989.92999999993</v>
      </c>
      <c r="AB136" s="787">
        <v>41949.78</v>
      </c>
      <c r="AC136" s="787">
        <v>123664.01</v>
      </c>
      <c r="AD136" s="787">
        <v>70825.64</v>
      </c>
      <c r="AE136" s="787">
        <v>78464.7</v>
      </c>
      <c r="AF136" s="787">
        <v>11472.59</v>
      </c>
      <c r="AG136" s="787">
        <v>9423.4</v>
      </c>
      <c r="AH136" s="787">
        <v>0</v>
      </c>
      <c r="AI136" s="787">
        <v>0</v>
      </c>
      <c r="AJ136" s="787">
        <v>23511.360000000001</v>
      </c>
      <c r="AK136" s="787">
        <v>9785</v>
      </c>
      <c r="AL136" s="787">
        <v>6610.04</v>
      </c>
      <c r="AM136" s="787">
        <v>23064.73</v>
      </c>
      <c r="AN136" s="787">
        <v>131622.71000000002</v>
      </c>
      <c r="AO136" s="787">
        <v>6600</v>
      </c>
      <c r="AP136" s="787">
        <v>12180.43</v>
      </c>
      <c r="AQ136" s="787">
        <v>51083.17000000058</v>
      </c>
      <c r="AR136" s="787">
        <v>0</v>
      </c>
      <c r="AS136" s="787">
        <v>0</v>
      </c>
      <c r="AT136" s="787">
        <v>21321.59</v>
      </c>
      <c r="AU136" s="787">
        <v>0</v>
      </c>
      <c r="AV136" s="787">
        <v>0</v>
      </c>
      <c r="AW136" s="787">
        <v>14038.1</v>
      </c>
      <c r="AX136" s="787">
        <v>0</v>
      </c>
      <c r="AY136" s="787">
        <v>0</v>
      </c>
      <c r="AZ136" s="787">
        <v>19960.159999999996</v>
      </c>
      <c r="BA136" s="787">
        <v>3291.75</v>
      </c>
      <c r="BB136" s="787">
        <v>3868.86</v>
      </c>
      <c r="BC136" s="787">
        <v>27488.32</v>
      </c>
      <c r="BD136" s="787">
        <v>665034.97</v>
      </c>
      <c r="BE136" s="787">
        <v>0</v>
      </c>
      <c r="BF136" s="787">
        <v>208394.76</v>
      </c>
      <c r="BG136" s="787">
        <v>0</v>
      </c>
      <c r="BH136" s="787">
        <v>0</v>
      </c>
      <c r="BI136" s="787">
        <v>0</v>
      </c>
      <c r="BJ136" s="787">
        <v>3762768.3699999992</v>
      </c>
      <c r="BK136" s="787">
        <v>-397009.12999999442</v>
      </c>
      <c r="BL136" s="787">
        <v>66331.940939301625</v>
      </c>
      <c r="BM136" s="787">
        <v>-330677.18906069279</v>
      </c>
      <c r="BN136" s="787">
        <v>8809.3799999999992</v>
      </c>
      <c r="BO136" s="787">
        <v>0</v>
      </c>
      <c r="BP136" s="787">
        <v>0</v>
      </c>
      <c r="BQ136" s="787">
        <v>8809.3799999999992</v>
      </c>
      <c r="BR136" s="787">
        <v>0</v>
      </c>
      <c r="BS136" s="787">
        <v>0</v>
      </c>
      <c r="BT136" s="787">
        <v>2339</v>
      </c>
      <c r="BU136" s="787">
        <v>0</v>
      </c>
      <c r="BV136" s="787">
        <v>0</v>
      </c>
      <c r="BW136" s="787">
        <v>0</v>
      </c>
      <c r="BX136" s="787">
        <v>2348.9499999999998</v>
      </c>
      <c r="BY136" s="787">
        <v>0</v>
      </c>
      <c r="BZ136" s="787">
        <v>4687.95</v>
      </c>
      <c r="CA136" s="787">
        <v>21896.129999999997</v>
      </c>
      <c r="CB136" s="787">
        <v>4121.4299999999994</v>
      </c>
      <c r="CC136" s="787">
        <v>26017.559999999998</v>
      </c>
      <c r="CD136" s="787">
        <v>0</v>
      </c>
      <c r="CE136" s="787">
        <v>0</v>
      </c>
      <c r="CF136" s="787">
        <v>0</v>
      </c>
      <c r="CG136" s="787">
        <v>0</v>
      </c>
      <c r="CH136" s="787">
        <v>0</v>
      </c>
      <c r="CI136" s="787">
        <v>0</v>
      </c>
      <c r="CJ136" s="787">
        <v>0</v>
      </c>
      <c r="CK136" s="787">
        <v>0</v>
      </c>
      <c r="CL136" s="787">
        <v>0</v>
      </c>
      <c r="CM136" s="787">
        <v>0</v>
      </c>
      <c r="CN136" s="787">
        <v>-330677.18906069279</v>
      </c>
      <c r="CO136" s="787">
        <v>26017.559999999998</v>
      </c>
      <c r="CP136" s="787">
        <v>0</v>
      </c>
      <c r="CQ136" s="787">
        <v>0</v>
      </c>
      <c r="CR136" s="787">
        <v>-304659.62906069279</v>
      </c>
      <c r="CS136" s="787">
        <v>-103239.4</v>
      </c>
      <c r="CT136" s="787">
        <v>28535.06</v>
      </c>
      <c r="CU136" s="787">
        <v>4000</v>
      </c>
      <c r="CV136" s="787">
        <v>-127774.45999999999</v>
      </c>
      <c r="CW136" s="787">
        <v>0</v>
      </c>
      <c r="CX136" s="787">
        <v>15475.6</v>
      </c>
      <c r="CY136" s="787">
        <v>1581.6</v>
      </c>
      <c r="CZ136" s="787">
        <v>14714.73</v>
      </c>
      <c r="DA136" s="787">
        <v>0</v>
      </c>
      <c r="DB136" s="787">
        <v>-96002.529999999984</v>
      </c>
      <c r="DC136" s="787">
        <v>0</v>
      </c>
      <c r="DD136" s="787">
        <v>0</v>
      </c>
      <c r="DE136" s="787">
        <v>0</v>
      </c>
      <c r="DF136" s="787">
        <v>0</v>
      </c>
      <c r="DG136" s="787"/>
      <c r="DH136" s="787"/>
      <c r="DI136" s="787"/>
      <c r="DJ136" s="787">
        <v>0</v>
      </c>
      <c r="DK136" s="787">
        <v>0</v>
      </c>
      <c r="DL136" s="787">
        <v>173678</v>
      </c>
      <c r="DM136" s="787">
        <v>0</v>
      </c>
      <c r="DN136" s="787">
        <v>0</v>
      </c>
      <c r="DO136" s="787">
        <v>0</v>
      </c>
      <c r="DP136" s="787">
        <v>-337543.44</v>
      </c>
      <c r="DQ136" s="787">
        <v>0</v>
      </c>
      <c r="DR136" s="787">
        <v>0</v>
      </c>
      <c r="DS136" s="787">
        <v>0</v>
      </c>
      <c r="DT136" s="787">
        <v>-163865.44</v>
      </c>
      <c r="DU136" s="787">
        <v>0</v>
      </c>
      <c r="DV136" s="787">
        <v>0</v>
      </c>
      <c r="DW136" s="787">
        <v>0</v>
      </c>
      <c r="DX136" s="787">
        <v>0</v>
      </c>
      <c r="DY136" s="787">
        <v>0</v>
      </c>
      <c r="DZ136" s="787">
        <v>-44791.3</v>
      </c>
      <c r="EA136" s="787">
        <v>-0.35906069283373654</v>
      </c>
      <c r="EC136" s="788">
        <v>26017.559999999998</v>
      </c>
      <c r="EE136">
        <f>_xlfn.XLOOKUP(C136,'[1]Cfwd Analysis'!$C:$C,'[1]Cfwd Analysis'!$I:$I,0,0)</f>
        <v>-330677.18906069279</v>
      </c>
      <c r="EF136" s="788">
        <f t="shared" ref="EF136:EF192" si="2">EE136-BM136</f>
        <v>0</v>
      </c>
    </row>
    <row r="137" spans="1:136" ht="15.6" hidden="1">
      <c r="A137" s="782" t="s">
        <v>1431</v>
      </c>
      <c r="B137" s="782" t="s">
        <v>760</v>
      </c>
      <c r="C137" s="783">
        <v>3410</v>
      </c>
      <c r="D137" s="784" t="s">
        <v>761</v>
      </c>
      <c r="E137" s="785" t="s">
        <v>521</v>
      </c>
      <c r="F137" s="786">
        <v>46094</v>
      </c>
      <c r="G137" s="785" t="s">
        <v>5</v>
      </c>
      <c r="H137" s="785" t="s">
        <v>772</v>
      </c>
      <c r="I137" s="787">
        <v>1260523.5734834147</v>
      </c>
      <c r="J137" s="787">
        <v>0</v>
      </c>
      <c r="K137" s="787">
        <v>182302.59</v>
      </c>
      <c r="L137" s="787">
        <v>0</v>
      </c>
      <c r="M137" s="787">
        <v>94200</v>
      </c>
      <c r="N137" s="787">
        <v>57494.86</v>
      </c>
      <c r="O137" s="787">
        <v>0</v>
      </c>
      <c r="P137" s="787">
        <v>0</v>
      </c>
      <c r="Q137" s="787">
        <v>23575.213030000003</v>
      </c>
      <c r="R137" s="787">
        <v>0</v>
      </c>
      <c r="S137" s="787">
        <v>0</v>
      </c>
      <c r="T137" s="787">
        <v>0</v>
      </c>
      <c r="U137" s="787">
        <v>16372</v>
      </c>
      <c r="V137" s="787">
        <v>35077</v>
      </c>
      <c r="W137" s="787">
        <v>0</v>
      </c>
      <c r="X137" s="787">
        <v>1669545.2365134149</v>
      </c>
      <c r="Y137" s="787">
        <v>708986.95</v>
      </c>
      <c r="Z137" s="787">
        <v>0</v>
      </c>
      <c r="AA137" s="787">
        <v>304425.19</v>
      </c>
      <c r="AB137" s="787">
        <v>58864.25</v>
      </c>
      <c r="AC137" s="787">
        <v>83183.100000000006</v>
      </c>
      <c r="AD137" s="787">
        <v>0</v>
      </c>
      <c r="AE137" s="787">
        <v>35571.15</v>
      </c>
      <c r="AF137" s="787">
        <v>147.80000000000001</v>
      </c>
      <c r="AG137" s="787">
        <v>2497.5</v>
      </c>
      <c r="AH137" s="787">
        <v>0</v>
      </c>
      <c r="AI137" s="787">
        <v>0</v>
      </c>
      <c r="AJ137" s="787">
        <v>1100</v>
      </c>
      <c r="AK137" s="787">
        <v>3566.84</v>
      </c>
      <c r="AL137" s="787">
        <v>2114.5500000000002</v>
      </c>
      <c r="AM137" s="787">
        <v>3987.44</v>
      </c>
      <c r="AN137" s="787">
        <v>14919.16</v>
      </c>
      <c r="AO137" s="787">
        <v>3921.9700000000007</v>
      </c>
      <c r="AP137" s="787">
        <v>9247.27</v>
      </c>
      <c r="AQ137" s="787">
        <v>44569.77</v>
      </c>
      <c r="AR137" s="787">
        <v>0</v>
      </c>
      <c r="AS137" s="787">
        <v>0</v>
      </c>
      <c r="AT137" s="787">
        <v>2723.48</v>
      </c>
      <c r="AU137" s="787">
        <v>1840.82</v>
      </c>
      <c r="AV137" s="787">
        <v>0</v>
      </c>
      <c r="AW137" s="787">
        <v>0</v>
      </c>
      <c r="AX137" s="787">
        <v>0</v>
      </c>
      <c r="AY137" s="787">
        <v>26.2</v>
      </c>
      <c r="AZ137" s="787">
        <v>9194.85</v>
      </c>
      <c r="BA137" s="787">
        <v>5139.75</v>
      </c>
      <c r="BB137" s="787">
        <v>1400</v>
      </c>
      <c r="BC137" s="787">
        <v>61562.200000000004</v>
      </c>
      <c r="BD137" s="787">
        <v>13346.06</v>
      </c>
      <c r="BE137" s="787">
        <v>31213.510000000002</v>
      </c>
      <c r="BF137" s="787">
        <v>145439.03</v>
      </c>
      <c r="BG137" s="787">
        <v>0</v>
      </c>
      <c r="BH137" s="787">
        <v>0</v>
      </c>
      <c r="BI137" s="787">
        <v>0</v>
      </c>
      <c r="BJ137" s="787">
        <v>1548988.84</v>
      </c>
      <c r="BK137" s="787">
        <v>224620.9800000001</v>
      </c>
      <c r="BL137" s="787">
        <v>120556.3965134148</v>
      </c>
      <c r="BM137" s="787">
        <v>345177.3765134149</v>
      </c>
      <c r="BN137" s="787">
        <v>2322.1</v>
      </c>
      <c r="BO137" s="787">
        <v>0</v>
      </c>
      <c r="BP137" s="787">
        <v>0</v>
      </c>
      <c r="BQ137" s="787">
        <v>2322.1</v>
      </c>
      <c r="BR137" s="787">
        <v>0</v>
      </c>
      <c r="BS137" s="787">
        <v>0</v>
      </c>
      <c r="BT137" s="787">
        <v>0</v>
      </c>
      <c r="BU137" s="787">
        <v>0</v>
      </c>
      <c r="BV137" s="787">
        <v>0</v>
      </c>
      <c r="BW137" s="787">
        <v>0</v>
      </c>
      <c r="BX137" s="787">
        <v>0</v>
      </c>
      <c r="BY137" s="787">
        <v>0</v>
      </c>
      <c r="BZ137" s="787">
        <v>0</v>
      </c>
      <c r="CA137" s="787">
        <v>0</v>
      </c>
      <c r="CB137" s="787">
        <v>2322.1</v>
      </c>
      <c r="CC137" s="787">
        <v>2322.1</v>
      </c>
      <c r="CD137" s="787">
        <v>0</v>
      </c>
      <c r="CE137" s="787">
        <v>0</v>
      </c>
      <c r="CF137" s="787">
        <v>0</v>
      </c>
      <c r="CG137" s="787">
        <v>0</v>
      </c>
      <c r="CH137" s="787">
        <v>0</v>
      </c>
      <c r="CI137" s="787">
        <v>0</v>
      </c>
      <c r="CJ137" s="787">
        <v>0</v>
      </c>
      <c r="CK137" s="787">
        <v>0</v>
      </c>
      <c r="CL137" s="787">
        <v>0</v>
      </c>
      <c r="CM137" s="787">
        <v>345177.3765134149</v>
      </c>
      <c r="CN137" s="787">
        <v>0</v>
      </c>
      <c r="CO137" s="787">
        <v>0</v>
      </c>
      <c r="CP137" s="787">
        <v>2322.1</v>
      </c>
      <c r="CQ137" s="787">
        <v>0</v>
      </c>
      <c r="CR137" s="787">
        <v>347499.47651341488</v>
      </c>
      <c r="CS137" s="787">
        <v>526672.62</v>
      </c>
      <c r="CT137" s="787">
        <v>59045.19</v>
      </c>
      <c r="CU137" s="787">
        <v>22653.34</v>
      </c>
      <c r="CV137" s="787">
        <v>490280.77</v>
      </c>
      <c r="CW137" s="787">
        <v>0</v>
      </c>
      <c r="CX137" s="787">
        <v>1501.93</v>
      </c>
      <c r="CY137" s="787">
        <v>1755.99</v>
      </c>
      <c r="CZ137" s="787">
        <v>0</v>
      </c>
      <c r="DA137" s="787">
        <v>0</v>
      </c>
      <c r="DB137" s="787">
        <v>493538.69</v>
      </c>
      <c r="DC137" s="787">
        <v>0</v>
      </c>
      <c r="DD137" s="787">
        <v>0</v>
      </c>
      <c r="DE137" s="787">
        <v>0</v>
      </c>
      <c r="DF137" s="787">
        <v>0</v>
      </c>
      <c r="DG137" s="787"/>
      <c r="DH137" s="787"/>
      <c r="DI137" s="787"/>
      <c r="DJ137" s="787">
        <v>0</v>
      </c>
      <c r="DK137" s="787">
        <v>0</v>
      </c>
      <c r="DL137" s="787">
        <v>0</v>
      </c>
      <c r="DM137" s="787">
        <v>0</v>
      </c>
      <c r="DN137" s="787">
        <v>0</v>
      </c>
      <c r="DO137" s="787">
        <v>0</v>
      </c>
      <c r="DP137" s="787">
        <v>0</v>
      </c>
      <c r="DQ137" s="787">
        <v>-22124.080000000002</v>
      </c>
      <c r="DR137" s="787">
        <v>0</v>
      </c>
      <c r="DS137" s="787">
        <v>0</v>
      </c>
      <c r="DT137" s="787">
        <v>-22124.080000000002</v>
      </c>
      <c r="DU137" s="787">
        <v>0</v>
      </c>
      <c r="DV137" s="787">
        <v>0</v>
      </c>
      <c r="DW137" s="787">
        <v>0</v>
      </c>
      <c r="DX137" s="787">
        <v>0</v>
      </c>
      <c r="DY137" s="787">
        <v>0</v>
      </c>
      <c r="DZ137" s="787">
        <v>-123915.42</v>
      </c>
      <c r="EA137" s="787">
        <v>0.28651341487420723</v>
      </c>
      <c r="EE137">
        <f>_xlfn.XLOOKUP(C137,'[1]Cfwd Analysis'!$C:$C,'[1]Cfwd Analysis'!$I:$I,0,0)</f>
        <v>345177.3765134149</v>
      </c>
      <c r="EF137" s="788">
        <f t="shared" si="2"/>
        <v>0</v>
      </c>
    </row>
    <row r="138" spans="1:136" ht="15.6" hidden="1">
      <c r="A138" s="782" t="s">
        <v>1432</v>
      </c>
      <c r="B138" s="782" t="s">
        <v>762</v>
      </c>
      <c r="C138" s="783">
        <v>3381</v>
      </c>
      <c r="D138" s="784" t="s">
        <v>763</v>
      </c>
      <c r="E138" s="785" t="s">
        <v>521</v>
      </c>
      <c r="F138" s="786" t="s">
        <v>1305</v>
      </c>
      <c r="G138" s="785" t="s">
        <v>5</v>
      </c>
      <c r="H138" s="785" t="s">
        <v>774</v>
      </c>
      <c r="I138" s="787">
        <v>1209472.3556819907</v>
      </c>
      <c r="J138" s="787">
        <v>0</v>
      </c>
      <c r="K138" s="787">
        <v>58934.896666666667</v>
      </c>
      <c r="L138" s="787">
        <v>0</v>
      </c>
      <c r="M138" s="787">
        <v>98025</v>
      </c>
      <c r="N138" s="787">
        <v>44289</v>
      </c>
      <c r="O138" s="787">
        <v>15529.74</v>
      </c>
      <c r="P138" s="787">
        <v>3750</v>
      </c>
      <c r="Q138" s="787">
        <v>11563.64</v>
      </c>
      <c r="R138" s="787">
        <v>21400.34</v>
      </c>
      <c r="S138" s="787">
        <v>0</v>
      </c>
      <c r="T138" s="787">
        <v>0</v>
      </c>
      <c r="U138" s="787">
        <v>24301.84</v>
      </c>
      <c r="V138" s="787">
        <v>67637.570000000007</v>
      </c>
      <c r="W138" s="787">
        <v>0</v>
      </c>
      <c r="X138" s="787">
        <v>1554904.3823486576</v>
      </c>
      <c r="Y138" s="787">
        <v>634907.82999999996</v>
      </c>
      <c r="Z138" s="787">
        <v>0</v>
      </c>
      <c r="AA138" s="787">
        <v>196350.78</v>
      </c>
      <c r="AB138" s="787">
        <v>52261.71</v>
      </c>
      <c r="AC138" s="787">
        <v>123449.7</v>
      </c>
      <c r="AD138" s="787">
        <v>82.82</v>
      </c>
      <c r="AE138" s="787">
        <v>10252.92</v>
      </c>
      <c r="AF138" s="787">
        <v>5998.94</v>
      </c>
      <c r="AG138" s="787">
        <v>5376.17</v>
      </c>
      <c r="AH138" s="787">
        <v>0</v>
      </c>
      <c r="AI138" s="787">
        <v>0</v>
      </c>
      <c r="AJ138" s="787">
        <v>87385.95</v>
      </c>
      <c r="AK138" s="787">
        <v>595.1</v>
      </c>
      <c r="AL138" s="787">
        <v>15291.8</v>
      </c>
      <c r="AM138" s="787">
        <v>3073.93</v>
      </c>
      <c r="AN138" s="787">
        <v>16906.310000000001</v>
      </c>
      <c r="AO138" s="787">
        <v>3974.9800000000009</v>
      </c>
      <c r="AP138" s="787">
        <v>3281.7799999999997</v>
      </c>
      <c r="AQ138" s="787">
        <v>36743.9</v>
      </c>
      <c r="AR138" s="787">
        <v>0</v>
      </c>
      <c r="AS138" s="787">
        <v>0</v>
      </c>
      <c r="AT138" s="787">
        <v>0</v>
      </c>
      <c r="AU138" s="787">
        <v>0</v>
      </c>
      <c r="AV138" s="787">
        <v>4724.72</v>
      </c>
      <c r="AW138" s="787">
        <v>0</v>
      </c>
      <c r="AX138" s="787">
        <v>0</v>
      </c>
      <c r="AY138" s="787">
        <v>0</v>
      </c>
      <c r="AZ138" s="787">
        <v>67766.679999999993</v>
      </c>
      <c r="BA138" s="787">
        <v>6211.15</v>
      </c>
      <c r="BB138" s="787">
        <v>4378.5</v>
      </c>
      <c r="BC138" s="787">
        <v>84515.69</v>
      </c>
      <c r="BD138" s="787">
        <v>45662.36</v>
      </c>
      <c r="BE138" s="787">
        <v>8387.5600000000013</v>
      </c>
      <c r="BF138" s="787">
        <v>85329.53</v>
      </c>
      <c r="BG138" s="787">
        <v>0</v>
      </c>
      <c r="BH138" s="787">
        <v>0</v>
      </c>
      <c r="BI138" s="787">
        <v>0</v>
      </c>
      <c r="BJ138" s="787">
        <v>1502910.8099999998</v>
      </c>
      <c r="BK138" s="787">
        <v>42150.669999999802</v>
      </c>
      <c r="BL138" s="787">
        <v>51993.572348657763</v>
      </c>
      <c r="BM138" s="787">
        <v>94144.242348657572</v>
      </c>
      <c r="BN138" s="787">
        <v>13637.67</v>
      </c>
      <c r="BO138" s="787">
        <v>0</v>
      </c>
      <c r="BP138" s="787">
        <v>0</v>
      </c>
      <c r="BQ138" s="787">
        <v>13637.67</v>
      </c>
      <c r="BR138" s="787">
        <v>0</v>
      </c>
      <c r="BS138" s="787">
        <v>0</v>
      </c>
      <c r="BT138" s="787">
        <v>0</v>
      </c>
      <c r="BU138" s="787">
        <v>0</v>
      </c>
      <c r="BV138" s="787">
        <v>0</v>
      </c>
      <c r="BW138" s="787">
        <v>0</v>
      </c>
      <c r="BX138" s="787">
        <v>0</v>
      </c>
      <c r="BY138" s="787">
        <v>0</v>
      </c>
      <c r="BZ138" s="787">
        <v>0</v>
      </c>
      <c r="CA138" s="787">
        <v>0</v>
      </c>
      <c r="CB138" s="787">
        <v>13637.67</v>
      </c>
      <c r="CC138" s="787">
        <v>13637.67</v>
      </c>
      <c r="CD138" s="787">
        <v>0</v>
      </c>
      <c r="CE138" s="787">
        <v>0</v>
      </c>
      <c r="CF138" s="787">
        <v>0</v>
      </c>
      <c r="CG138" s="787">
        <v>0</v>
      </c>
      <c r="CH138" s="787">
        <v>0</v>
      </c>
      <c r="CI138" s="787">
        <v>0</v>
      </c>
      <c r="CJ138" s="787">
        <v>0</v>
      </c>
      <c r="CK138" s="787">
        <v>0</v>
      </c>
      <c r="CL138" s="787">
        <v>0</v>
      </c>
      <c r="CM138" s="787">
        <v>94144.242348657572</v>
      </c>
      <c r="CN138" s="787">
        <v>0</v>
      </c>
      <c r="CO138" s="787">
        <v>13637.67</v>
      </c>
      <c r="CP138" s="787">
        <v>0</v>
      </c>
      <c r="CQ138" s="787">
        <v>0</v>
      </c>
      <c r="CR138" s="787">
        <v>107781.91234865757</v>
      </c>
      <c r="CS138" s="787">
        <v>226471.17</v>
      </c>
      <c r="CT138" s="787">
        <v>52433.35</v>
      </c>
      <c r="CU138" s="787">
        <v>367.6</v>
      </c>
      <c r="CV138" s="787">
        <v>174405.42</v>
      </c>
      <c r="CW138" s="787">
        <v>0</v>
      </c>
      <c r="CX138" s="787">
        <v>5710.73</v>
      </c>
      <c r="CY138" s="787">
        <v>1782.21</v>
      </c>
      <c r="CZ138" s="787">
        <v>0</v>
      </c>
      <c r="DA138" s="787">
        <v>0</v>
      </c>
      <c r="DB138" s="787">
        <v>181898.36000000002</v>
      </c>
      <c r="DC138" s="787">
        <v>50626.9</v>
      </c>
      <c r="DD138" s="787">
        <v>0</v>
      </c>
      <c r="DE138" s="787">
        <v>0</v>
      </c>
      <c r="DF138" s="787">
        <v>50626.9</v>
      </c>
      <c r="DG138" s="787"/>
      <c r="DH138" s="787"/>
      <c r="DI138" s="787"/>
      <c r="DJ138" s="787">
        <v>0</v>
      </c>
      <c r="DK138" s="787">
        <v>50626.9</v>
      </c>
      <c r="DL138" s="787">
        <v>3633.66</v>
      </c>
      <c r="DM138" s="787">
        <v>3499.08</v>
      </c>
      <c r="DN138" s="787">
        <v>0</v>
      </c>
      <c r="DO138" s="787">
        <v>0</v>
      </c>
      <c r="DP138" s="787">
        <v>-13766.11</v>
      </c>
      <c r="DQ138" s="787">
        <v>-22444.59</v>
      </c>
      <c r="DR138" s="787">
        <v>0</v>
      </c>
      <c r="DS138" s="787">
        <v>0</v>
      </c>
      <c r="DT138" s="787">
        <v>-29077.96</v>
      </c>
      <c r="DU138" s="787">
        <v>4640.92</v>
      </c>
      <c r="DV138" s="787">
        <v>0</v>
      </c>
      <c r="DW138" s="787">
        <v>-39</v>
      </c>
      <c r="DX138" s="787">
        <v>0</v>
      </c>
      <c r="DY138" s="787">
        <v>0</v>
      </c>
      <c r="DZ138" s="787">
        <v>-100267.12</v>
      </c>
      <c r="EA138" s="787">
        <v>-0.18765134243585635</v>
      </c>
      <c r="EC138" s="788">
        <v>13637.67</v>
      </c>
      <c r="EE138">
        <f>_xlfn.XLOOKUP(C138,'[1]Cfwd Analysis'!$C:$C,'[1]Cfwd Analysis'!$I:$I,0,0)</f>
        <v>94144.242348657572</v>
      </c>
      <c r="EF138" s="788">
        <f t="shared" si="2"/>
        <v>0</v>
      </c>
    </row>
    <row r="139" spans="1:136" ht="15.6" hidden="1">
      <c r="A139" s="782" t="s">
        <v>1433</v>
      </c>
      <c r="B139" s="782" t="s">
        <v>764</v>
      </c>
      <c r="C139" s="783">
        <v>3335</v>
      </c>
      <c r="D139" s="784" t="s">
        <v>765</v>
      </c>
      <c r="E139" s="785" t="s">
        <v>521</v>
      </c>
      <c r="F139" s="786">
        <v>46094</v>
      </c>
      <c r="G139" s="785" t="s">
        <v>5</v>
      </c>
      <c r="H139" s="785" t="s">
        <v>776</v>
      </c>
      <c r="I139" s="787">
        <v>1415586.8513580486</v>
      </c>
      <c r="J139" s="787">
        <v>0</v>
      </c>
      <c r="K139" s="787">
        <v>92119.736666666664</v>
      </c>
      <c r="L139" s="787">
        <v>0</v>
      </c>
      <c r="M139" s="787">
        <v>193920</v>
      </c>
      <c r="N139" s="787">
        <v>35725</v>
      </c>
      <c r="O139" s="787">
        <v>0</v>
      </c>
      <c r="P139" s="787">
        <v>12000</v>
      </c>
      <c r="Q139" s="787">
        <v>28640.95</v>
      </c>
      <c r="R139" s="787">
        <v>0</v>
      </c>
      <c r="S139" s="787">
        <v>0</v>
      </c>
      <c r="T139" s="787">
        <v>0</v>
      </c>
      <c r="U139" s="787">
        <v>4075</v>
      </c>
      <c r="V139" s="787">
        <v>15000</v>
      </c>
      <c r="W139" s="787">
        <v>0</v>
      </c>
      <c r="X139" s="787">
        <v>1797067.5380247151</v>
      </c>
      <c r="Y139" s="787">
        <v>741894.66999999993</v>
      </c>
      <c r="Z139" s="787">
        <v>0</v>
      </c>
      <c r="AA139" s="787">
        <v>163693.58000000002</v>
      </c>
      <c r="AB139" s="787">
        <v>57251.939999999995</v>
      </c>
      <c r="AC139" s="787">
        <v>128783.14</v>
      </c>
      <c r="AD139" s="787">
        <v>0</v>
      </c>
      <c r="AE139" s="787">
        <v>37125.420000000006</v>
      </c>
      <c r="AF139" s="787">
        <v>200</v>
      </c>
      <c r="AG139" s="787">
        <v>2200</v>
      </c>
      <c r="AH139" s="787">
        <v>0</v>
      </c>
      <c r="AI139" s="787">
        <v>0</v>
      </c>
      <c r="AJ139" s="787">
        <v>48865.8</v>
      </c>
      <c r="AK139" s="787">
        <v>5180</v>
      </c>
      <c r="AL139" s="787">
        <v>20633.52</v>
      </c>
      <c r="AM139" s="787">
        <v>4127.5600000000004</v>
      </c>
      <c r="AN139" s="787">
        <v>28622.68</v>
      </c>
      <c r="AO139" s="787">
        <v>5246.9600000000019</v>
      </c>
      <c r="AP139" s="787">
        <v>50608.79</v>
      </c>
      <c r="AQ139" s="787">
        <v>62565.94</v>
      </c>
      <c r="AR139" s="787">
        <v>0</v>
      </c>
      <c r="AS139" s="787">
        <v>0</v>
      </c>
      <c r="AT139" s="787">
        <v>0</v>
      </c>
      <c r="AU139" s="787">
        <v>1020.75</v>
      </c>
      <c r="AV139" s="787">
        <v>0</v>
      </c>
      <c r="AW139" s="787">
        <v>0</v>
      </c>
      <c r="AX139" s="787">
        <v>0</v>
      </c>
      <c r="AY139" s="787">
        <v>0</v>
      </c>
      <c r="AZ139" s="787">
        <v>19058.650000000001</v>
      </c>
      <c r="BA139" s="787">
        <v>5139.75</v>
      </c>
      <c r="BB139" s="787">
        <v>4780</v>
      </c>
      <c r="BC139" s="787">
        <v>106647.28</v>
      </c>
      <c r="BD139" s="787">
        <v>151829.54999999999</v>
      </c>
      <c r="BE139" s="787">
        <v>22723.559999999998</v>
      </c>
      <c r="BF139" s="787">
        <v>173853.61</v>
      </c>
      <c r="BG139" s="787">
        <v>0</v>
      </c>
      <c r="BH139" s="787">
        <v>0</v>
      </c>
      <c r="BI139" s="787">
        <v>0</v>
      </c>
      <c r="BJ139" s="787">
        <v>1842053.15</v>
      </c>
      <c r="BK139" s="787">
        <v>-105421.71999999785</v>
      </c>
      <c r="BL139" s="787">
        <v>-44985.611975284759</v>
      </c>
      <c r="BM139" s="787">
        <v>-150407.33197528261</v>
      </c>
      <c r="BN139" s="787">
        <v>0</v>
      </c>
      <c r="BO139" s="787">
        <v>0</v>
      </c>
      <c r="BP139" s="787">
        <v>0</v>
      </c>
      <c r="BQ139" s="787">
        <v>0</v>
      </c>
      <c r="BR139" s="787">
        <v>0</v>
      </c>
      <c r="BS139" s="787">
        <v>0</v>
      </c>
      <c r="BT139" s="787">
        <v>0</v>
      </c>
      <c r="BU139" s="787">
        <v>0</v>
      </c>
      <c r="BV139" s="787">
        <v>0</v>
      </c>
      <c r="BW139" s="787">
        <v>0</v>
      </c>
      <c r="BX139" s="787">
        <v>0</v>
      </c>
      <c r="BY139" s="787">
        <v>0</v>
      </c>
      <c r="BZ139" s="787">
        <v>0</v>
      </c>
      <c r="CA139" s="787">
        <v>0</v>
      </c>
      <c r="CB139" s="787">
        <v>0</v>
      </c>
      <c r="CC139" s="787">
        <v>0</v>
      </c>
      <c r="CD139" s="787">
        <v>0</v>
      </c>
      <c r="CE139" s="787">
        <v>0</v>
      </c>
      <c r="CF139" s="787">
        <v>0</v>
      </c>
      <c r="CG139" s="787">
        <v>0</v>
      </c>
      <c r="CH139" s="787">
        <v>0</v>
      </c>
      <c r="CI139" s="787">
        <v>0</v>
      </c>
      <c r="CJ139" s="787">
        <v>0</v>
      </c>
      <c r="CK139" s="787">
        <v>0</v>
      </c>
      <c r="CL139" s="787">
        <v>0</v>
      </c>
      <c r="CM139" s="787">
        <v>0</v>
      </c>
      <c r="CN139" s="787">
        <v>-150407.33197528261</v>
      </c>
      <c r="CO139" s="787">
        <v>0</v>
      </c>
      <c r="CP139" s="787">
        <v>0</v>
      </c>
      <c r="CQ139" s="787">
        <v>0</v>
      </c>
      <c r="CR139" s="787">
        <v>-150407.33197528261</v>
      </c>
      <c r="CS139" s="787">
        <v>-58226.6</v>
      </c>
      <c r="CT139" s="787">
        <v>62221.86</v>
      </c>
      <c r="CU139" s="787">
        <v>397.41</v>
      </c>
      <c r="CV139" s="787">
        <v>-120051.04999999999</v>
      </c>
      <c r="CW139" s="787">
        <v>0</v>
      </c>
      <c r="CX139" s="787">
        <v>10235.73</v>
      </c>
      <c r="CY139" s="787">
        <v>1746.54</v>
      </c>
      <c r="CZ139" s="787">
        <v>0</v>
      </c>
      <c r="DA139" s="787">
        <v>0</v>
      </c>
      <c r="DB139" s="787">
        <v>-108068.78</v>
      </c>
      <c r="DC139" s="787">
        <v>0</v>
      </c>
      <c r="DD139" s="787">
        <v>0</v>
      </c>
      <c r="DE139" s="787">
        <v>0</v>
      </c>
      <c r="DF139" s="787">
        <v>0</v>
      </c>
      <c r="DG139" s="787"/>
      <c r="DH139" s="787"/>
      <c r="DI139" s="787"/>
      <c r="DJ139" s="787">
        <v>0</v>
      </c>
      <c r="DK139" s="787">
        <v>0</v>
      </c>
      <c r="DL139" s="787">
        <v>77465</v>
      </c>
      <c r="DM139" s="787">
        <v>0</v>
      </c>
      <c r="DN139" s="787">
        <v>0</v>
      </c>
      <c r="DO139" s="787">
        <v>0</v>
      </c>
      <c r="DP139" s="787">
        <v>-113736.08</v>
      </c>
      <c r="DQ139" s="787">
        <v>-27893.59</v>
      </c>
      <c r="DR139" s="787">
        <v>0</v>
      </c>
      <c r="DS139" s="787">
        <v>0</v>
      </c>
      <c r="DT139" s="787">
        <v>-64164.67</v>
      </c>
      <c r="DU139" s="787">
        <v>0</v>
      </c>
      <c r="DV139" s="787">
        <v>0</v>
      </c>
      <c r="DW139" s="787">
        <v>0</v>
      </c>
      <c r="DX139" s="787">
        <v>0</v>
      </c>
      <c r="DY139" s="787">
        <v>21826.39</v>
      </c>
      <c r="DZ139" s="787">
        <v>0</v>
      </c>
      <c r="EA139" s="787">
        <v>-0.27197528260876425</v>
      </c>
      <c r="EE139">
        <f>_xlfn.XLOOKUP(C139,'[1]Cfwd Analysis'!$C:$C,'[1]Cfwd Analysis'!$I:$I,0,0)</f>
        <v>-150407.33197528261</v>
      </c>
      <c r="EF139" s="788">
        <f t="shared" si="2"/>
        <v>0</v>
      </c>
    </row>
    <row r="140" spans="1:136" ht="15.6" hidden="1">
      <c r="A140" s="782" t="s">
        <v>1434</v>
      </c>
      <c r="B140" s="782" t="s">
        <v>766</v>
      </c>
      <c r="C140" s="783">
        <v>2183</v>
      </c>
      <c r="D140" s="784" t="s">
        <v>767</v>
      </c>
      <c r="E140" s="785" t="s">
        <v>521</v>
      </c>
      <c r="F140" s="786">
        <v>46094</v>
      </c>
      <c r="G140" s="785" t="s">
        <v>5</v>
      </c>
      <c r="H140" s="785" t="s">
        <v>778</v>
      </c>
      <c r="I140" s="787">
        <v>2467604.3765575271</v>
      </c>
      <c r="J140" s="787">
        <v>0</v>
      </c>
      <c r="K140" s="787">
        <v>311040.14999999997</v>
      </c>
      <c r="L140" s="787">
        <v>0</v>
      </c>
      <c r="M140" s="787">
        <v>286335</v>
      </c>
      <c r="N140" s="787">
        <v>65267.25</v>
      </c>
      <c r="O140" s="787">
        <v>0</v>
      </c>
      <c r="P140" s="787">
        <v>0</v>
      </c>
      <c r="Q140" s="787">
        <v>20535.71</v>
      </c>
      <c r="R140" s="787">
        <v>15005.45</v>
      </c>
      <c r="S140" s="787">
        <v>0</v>
      </c>
      <c r="T140" s="787">
        <v>0</v>
      </c>
      <c r="U140" s="787">
        <v>4877.1000000000004</v>
      </c>
      <c r="V140" s="787">
        <v>0</v>
      </c>
      <c r="W140" s="787">
        <v>0</v>
      </c>
      <c r="X140" s="787">
        <v>3170665.0365575273</v>
      </c>
      <c r="Y140" s="787">
        <v>1241145.0799999998</v>
      </c>
      <c r="Z140" s="787">
        <v>0</v>
      </c>
      <c r="AA140" s="787">
        <v>407071.69999999995</v>
      </c>
      <c r="AB140" s="787">
        <v>133708.91</v>
      </c>
      <c r="AC140" s="787">
        <v>263938.57</v>
      </c>
      <c r="AD140" s="787">
        <v>0</v>
      </c>
      <c r="AE140" s="787">
        <v>88554.78</v>
      </c>
      <c r="AF140" s="787">
        <v>2520.46</v>
      </c>
      <c r="AG140" s="787">
        <v>7614</v>
      </c>
      <c r="AH140" s="787">
        <v>0</v>
      </c>
      <c r="AI140" s="787">
        <v>0</v>
      </c>
      <c r="AJ140" s="787">
        <v>37211.339999999997</v>
      </c>
      <c r="AK140" s="787">
        <v>0</v>
      </c>
      <c r="AL140" s="787">
        <v>1.0900000000000001</v>
      </c>
      <c r="AM140" s="787">
        <v>5408.75</v>
      </c>
      <c r="AN140" s="787">
        <v>35926.15</v>
      </c>
      <c r="AO140" s="787">
        <v>37394.07</v>
      </c>
      <c r="AP140" s="787">
        <v>15594.330000000002</v>
      </c>
      <c r="AQ140" s="787">
        <v>125205.13583333332</v>
      </c>
      <c r="AR140" s="787">
        <v>0</v>
      </c>
      <c r="AS140" s="787">
        <v>0</v>
      </c>
      <c r="AT140" s="787">
        <v>0</v>
      </c>
      <c r="AU140" s="787">
        <v>0</v>
      </c>
      <c r="AV140" s="787">
        <v>0</v>
      </c>
      <c r="AW140" s="787">
        <v>0</v>
      </c>
      <c r="AX140" s="787">
        <v>24</v>
      </c>
      <c r="AY140" s="787">
        <v>0</v>
      </c>
      <c r="AZ140" s="787">
        <v>5223.04</v>
      </c>
      <c r="BA140" s="787">
        <v>9471</v>
      </c>
      <c r="BB140" s="787">
        <v>2662</v>
      </c>
      <c r="BC140" s="787">
        <v>146434.97999999998</v>
      </c>
      <c r="BD140" s="787">
        <v>204950.06</v>
      </c>
      <c r="BE140" s="787">
        <v>23618.026666666665</v>
      </c>
      <c r="BF140" s="787">
        <v>101927.27</v>
      </c>
      <c r="BG140" s="787">
        <v>0</v>
      </c>
      <c r="BH140" s="787">
        <v>0</v>
      </c>
      <c r="BI140" s="787">
        <v>0</v>
      </c>
      <c r="BJ140" s="787">
        <v>2895604.7424999992</v>
      </c>
      <c r="BK140" s="787">
        <v>245176.52000000107</v>
      </c>
      <c r="BL140" s="787">
        <v>275060.29405752802</v>
      </c>
      <c r="BM140" s="787">
        <v>520236.81405752909</v>
      </c>
      <c r="BN140" s="787">
        <v>8061.25</v>
      </c>
      <c r="BO140" s="787">
        <v>0</v>
      </c>
      <c r="BP140" s="787">
        <v>0</v>
      </c>
      <c r="BQ140" s="787">
        <v>8061.25</v>
      </c>
      <c r="BR140" s="787">
        <v>0</v>
      </c>
      <c r="BS140" s="787">
        <v>0</v>
      </c>
      <c r="BT140" s="787">
        <v>0</v>
      </c>
      <c r="BU140" s="787">
        <v>0</v>
      </c>
      <c r="BV140" s="787">
        <v>0</v>
      </c>
      <c r="BW140" s="787">
        <v>0</v>
      </c>
      <c r="BX140" s="787">
        <v>8061</v>
      </c>
      <c r="BY140" s="787">
        <v>0</v>
      </c>
      <c r="BZ140" s="787">
        <v>8061</v>
      </c>
      <c r="CA140" s="787">
        <v>0</v>
      </c>
      <c r="CB140" s="787">
        <v>0.25</v>
      </c>
      <c r="CC140" s="787">
        <v>0.25</v>
      </c>
      <c r="CD140" s="787">
        <v>0</v>
      </c>
      <c r="CE140" s="787">
        <v>0</v>
      </c>
      <c r="CF140" s="787">
        <v>0</v>
      </c>
      <c r="CG140" s="787">
        <v>0</v>
      </c>
      <c r="CH140" s="787">
        <v>0</v>
      </c>
      <c r="CI140" s="787">
        <v>0</v>
      </c>
      <c r="CJ140" s="787">
        <v>0</v>
      </c>
      <c r="CK140" s="787">
        <v>0</v>
      </c>
      <c r="CL140" s="787">
        <v>0</v>
      </c>
      <c r="CM140" s="787">
        <v>520236.81405752909</v>
      </c>
      <c r="CN140" s="787">
        <v>0</v>
      </c>
      <c r="CO140" s="787">
        <v>0</v>
      </c>
      <c r="CP140" s="787">
        <v>0.25</v>
      </c>
      <c r="CQ140" s="787">
        <v>0</v>
      </c>
      <c r="CR140" s="787">
        <v>520237.06405752909</v>
      </c>
      <c r="CS140" s="787">
        <v>773961.98</v>
      </c>
      <c r="CT140" s="787">
        <v>0</v>
      </c>
      <c r="CU140" s="787">
        <v>0</v>
      </c>
      <c r="CV140" s="787">
        <v>773961.98</v>
      </c>
      <c r="CW140" s="787">
        <v>6304.88</v>
      </c>
      <c r="CX140" s="787">
        <v>7205.31</v>
      </c>
      <c r="CY140" s="787">
        <v>714.63</v>
      </c>
      <c r="CZ140" s="787">
        <v>0</v>
      </c>
      <c r="DA140" s="787">
        <v>0</v>
      </c>
      <c r="DB140" s="787">
        <v>788186.8</v>
      </c>
      <c r="DC140" s="787">
        <v>0</v>
      </c>
      <c r="DD140" s="787">
        <v>0</v>
      </c>
      <c r="DE140" s="787">
        <v>0</v>
      </c>
      <c r="DF140" s="787">
        <v>0</v>
      </c>
      <c r="DG140" s="787"/>
      <c r="DH140" s="787"/>
      <c r="DI140" s="787"/>
      <c r="DJ140" s="787">
        <v>0</v>
      </c>
      <c r="DK140" s="787">
        <v>0</v>
      </c>
      <c r="DL140" s="787">
        <v>0</v>
      </c>
      <c r="DM140" s="787">
        <v>0</v>
      </c>
      <c r="DN140" s="787">
        <v>15551.36</v>
      </c>
      <c r="DO140" s="787">
        <v>0</v>
      </c>
      <c r="DP140" s="787">
        <v>-201328.35</v>
      </c>
      <c r="DQ140" s="787">
        <v>-40103.53</v>
      </c>
      <c r="DR140" s="787">
        <v>0</v>
      </c>
      <c r="DS140" s="787">
        <v>0</v>
      </c>
      <c r="DT140" s="787">
        <v>-225880.52</v>
      </c>
      <c r="DU140" s="787">
        <v>0</v>
      </c>
      <c r="DV140" s="787">
        <v>0</v>
      </c>
      <c r="DW140" s="787">
        <v>-1911.99</v>
      </c>
      <c r="DX140" s="787">
        <v>0</v>
      </c>
      <c r="DY140" s="787">
        <v>0</v>
      </c>
      <c r="DZ140" s="787">
        <v>-40156.94</v>
      </c>
      <c r="EA140" s="787">
        <v>-0.28594247094588354</v>
      </c>
      <c r="EE140">
        <f>_xlfn.XLOOKUP(C140,'[1]Cfwd Analysis'!$C:$C,'[1]Cfwd Analysis'!$I:$I,0,0)</f>
        <v>520236.81405752909</v>
      </c>
      <c r="EF140" s="788">
        <f t="shared" si="2"/>
        <v>0</v>
      </c>
    </row>
    <row r="141" spans="1:136" ht="15.6" hidden="1">
      <c r="A141" s="782" t="s">
        <v>1435</v>
      </c>
      <c r="B141" s="782" t="s">
        <v>768</v>
      </c>
      <c r="C141" s="783">
        <v>3372</v>
      </c>
      <c r="D141" s="784" t="s">
        <v>769</v>
      </c>
      <c r="E141" s="785" t="s">
        <v>521</v>
      </c>
      <c r="F141" s="786">
        <v>46094</v>
      </c>
      <c r="G141" s="785" t="s">
        <v>5</v>
      </c>
      <c r="H141" s="785" t="s">
        <v>780</v>
      </c>
      <c r="I141" s="787">
        <v>3396447.9361720365</v>
      </c>
      <c r="J141" s="787">
        <v>0</v>
      </c>
      <c r="K141" s="787">
        <v>173300.97</v>
      </c>
      <c r="L141" s="787">
        <v>0</v>
      </c>
      <c r="M141" s="787">
        <v>393470</v>
      </c>
      <c r="N141" s="787">
        <v>86206.79</v>
      </c>
      <c r="O141" s="787">
        <v>0</v>
      </c>
      <c r="P141" s="787">
        <v>0</v>
      </c>
      <c r="Q141" s="787">
        <v>21197.136849999948</v>
      </c>
      <c r="R141" s="787">
        <v>31891.559999999998</v>
      </c>
      <c r="S141" s="787">
        <v>0</v>
      </c>
      <c r="T141" s="787">
        <v>0</v>
      </c>
      <c r="U141" s="787">
        <v>60209.14</v>
      </c>
      <c r="V141" s="787">
        <v>230722.01</v>
      </c>
      <c r="W141" s="787">
        <v>0</v>
      </c>
      <c r="X141" s="787">
        <v>4393445.5430220366</v>
      </c>
      <c r="Y141" s="787">
        <v>2233544.2399999998</v>
      </c>
      <c r="Z141" s="787">
        <v>0</v>
      </c>
      <c r="AA141" s="787">
        <v>679568.54</v>
      </c>
      <c r="AB141" s="787">
        <v>9774.64</v>
      </c>
      <c r="AC141" s="787">
        <v>369527.67</v>
      </c>
      <c r="AD141" s="787">
        <v>0</v>
      </c>
      <c r="AE141" s="787">
        <v>129352.35999999999</v>
      </c>
      <c r="AF141" s="787">
        <v>15924.09</v>
      </c>
      <c r="AG141" s="787">
        <v>29124.27</v>
      </c>
      <c r="AH141" s="787">
        <v>0</v>
      </c>
      <c r="AI141" s="787">
        <v>18220.87</v>
      </c>
      <c r="AJ141" s="787">
        <v>76913.680000000008</v>
      </c>
      <c r="AK141" s="787">
        <v>0</v>
      </c>
      <c r="AL141" s="787">
        <v>70986.960000000006</v>
      </c>
      <c r="AM141" s="787">
        <v>7620.68</v>
      </c>
      <c r="AN141" s="787">
        <v>24374.09</v>
      </c>
      <c r="AO141" s="787">
        <v>5776.9599999999991</v>
      </c>
      <c r="AP141" s="787">
        <v>19126.620000000003</v>
      </c>
      <c r="AQ141" s="787">
        <v>266131.77</v>
      </c>
      <c r="AR141" s="787">
        <v>65</v>
      </c>
      <c r="AS141" s="787">
        <v>0</v>
      </c>
      <c r="AT141" s="787">
        <v>19373.240000000002</v>
      </c>
      <c r="AU141" s="787">
        <v>0</v>
      </c>
      <c r="AV141" s="787">
        <v>0</v>
      </c>
      <c r="AW141" s="787">
        <v>10271.299999999999</v>
      </c>
      <c r="AX141" s="787">
        <v>1858</v>
      </c>
      <c r="AY141" s="787">
        <v>0</v>
      </c>
      <c r="AZ141" s="787">
        <v>60516.85</v>
      </c>
      <c r="BA141" s="787">
        <v>0</v>
      </c>
      <c r="BB141" s="787">
        <v>12000</v>
      </c>
      <c r="BC141" s="787">
        <v>254051.7</v>
      </c>
      <c r="BD141" s="787">
        <v>110805.36</v>
      </c>
      <c r="BE141" s="787">
        <v>89521.430000000008</v>
      </c>
      <c r="BF141" s="787">
        <v>132621.54999999999</v>
      </c>
      <c r="BG141" s="787">
        <v>0</v>
      </c>
      <c r="BH141" s="787">
        <v>0</v>
      </c>
      <c r="BI141" s="787">
        <v>0</v>
      </c>
      <c r="BJ141" s="787">
        <v>4647051.87</v>
      </c>
      <c r="BK141" s="787">
        <v>473047.099999998</v>
      </c>
      <c r="BL141" s="787">
        <v>-253606.32697796356</v>
      </c>
      <c r="BM141" s="787">
        <v>219440.77302203444</v>
      </c>
      <c r="BN141" s="787">
        <v>0</v>
      </c>
      <c r="BO141" s="787">
        <v>0</v>
      </c>
      <c r="BP141" s="787">
        <v>0</v>
      </c>
      <c r="BQ141" s="787">
        <v>0</v>
      </c>
      <c r="BR141" s="787">
        <v>0</v>
      </c>
      <c r="BS141" s="787">
        <v>0</v>
      </c>
      <c r="BT141" s="787">
        <v>0</v>
      </c>
      <c r="BU141" s="787">
        <v>0</v>
      </c>
      <c r="BV141" s="787">
        <v>0</v>
      </c>
      <c r="BW141" s="787">
        <v>0</v>
      </c>
      <c r="BX141" s="787">
        <v>0</v>
      </c>
      <c r="BY141" s="787">
        <v>0</v>
      </c>
      <c r="BZ141" s="787">
        <v>0</v>
      </c>
      <c r="CA141" s="787">
        <v>0</v>
      </c>
      <c r="CB141" s="787">
        <v>0</v>
      </c>
      <c r="CC141" s="787">
        <v>0</v>
      </c>
      <c r="CD141" s="787">
        <v>0</v>
      </c>
      <c r="CE141" s="787">
        <v>0</v>
      </c>
      <c r="CF141" s="787">
        <v>0</v>
      </c>
      <c r="CG141" s="787">
        <v>0</v>
      </c>
      <c r="CH141" s="787">
        <v>0</v>
      </c>
      <c r="CI141" s="787">
        <v>0</v>
      </c>
      <c r="CJ141" s="787">
        <v>0</v>
      </c>
      <c r="CK141" s="787">
        <v>0</v>
      </c>
      <c r="CL141" s="787">
        <v>0</v>
      </c>
      <c r="CM141" s="787">
        <v>219440.77302203444</v>
      </c>
      <c r="CN141" s="787">
        <v>0</v>
      </c>
      <c r="CO141" s="787">
        <v>0</v>
      </c>
      <c r="CP141" s="787">
        <v>0</v>
      </c>
      <c r="CQ141" s="787">
        <v>0</v>
      </c>
      <c r="CR141" s="787">
        <v>219440.77302203444</v>
      </c>
      <c r="CS141" s="787">
        <v>674347.4</v>
      </c>
      <c r="CT141" s="787">
        <v>7177.96</v>
      </c>
      <c r="CU141" s="787">
        <v>0</v>
      </c>
      <c r="CV141" s="787">
        <v>667169.44000000006</v>
      </c>
      <c r="CW141" s="787">
        <v>0</v>
      </c>
      <c r="CX141" s="787">
        <v>8885.2099999999991</v>
      </c>
      <c r="CY141" s="787">
        <v>5084.46</v>
      </c>
      <c r="CZ141" s="787">
        <v>0</v>
      </c>
      <c r="DA141" s="787">
        <v>0</v>
      </c>
      <c r="DB141" s="787">
        <v>681139.11</v>
      </c>
      <c r="DC141" s="787">
        <v>0</v>
      </c>
      <c r="DD141" s="787">
        <v>0</v>
      </c>
      <c r="DE141" s="787">
        <v>0</v>
      </c>
      <c r="DF141" s="787">
        <v>0</v>
      </c>
      <c r="DG141" s="787"/>
      <c r="DH141" s="787"/>
      <c r="DI141" s="787"/>
      <c r="DJ141" s="787">
        <v>0</v>
      </c>
      <c r="DK141" s="787">
        <v>0</v>
      </c>
      <c r="DL141" s="787">
        <v>0</v>
      </c>
      <c r="DM141" s="787">
        <v>0</v>
      </c>
      <c r="DN141" s="787">
        <v>0</v>
      </c>
      <c r="DO141" s="787">
        <v>0</v>
      </c>
      <c r="DP141" s="787">
        <v>-322424.24</v>
      </c>
      <c r="DQ141" s="787">
        <v>-70718.09</v>
      </c>
      <c r="DR141" s="787">
        <v>0</v>
      </c>
      <c r="DS141" s="787">
        <v>0</v>
      </c>
      <c r="DT141" s="787">
        <v>-393142.32999999996</v>
      </c>
      <c r="DU141" s="787">
        <v>0</v>
      </c>
      <c r="DV141" s="787">
        <v>0</v>
      </c>
      <c r="DW141" s="787">
        <v>0</v>
      </c>
      <c r="DX141" s="787">
        <v>0</v>
      </c>
      <c r="DY141" s="787">
        <v>0</v>
      </c>
      <c r="DZ141" s="787">
        <v>-68555.78</v>
      </c>
      <c r="EA141" s="787">
        <v>-0.22697796559077688</v>
      </c>
      <c r="EE141">
        <f>_xlfn.XLOOKUP(C141,'[1]Cfwd Analysis'!$C:$C,'[1]Cfwd Analysis'!$I:$I,0,0)</f>
        <v>219440.77302203444</v>
      </c>
      <c r="EF141" s="788">
        <f t="shared" si="2"/>
        <v>0</v>
      </c>
    </row>
    <row r="142" spans="1:136" ht="15.6" hidden="1">
      <c r="A142" s="782" t="s">
        <v>1436</v>
      </c>
      <c r="B142" s="782" t="s">
        <v>770</v>
      </c>
      <c r="C142" s="783">
        <v>3375</v>
      </c>
      <c r="D142" s="784" t="s">
        <v>771</v>
      </c>
      <c r="E142" s="785" t="s">
        <v>521</v>
      </c>
      <c r="F142" s="786">
        <v>46100</v>
      </c>
      <c r="G142" s="785" t="s">
        <v>5</v>
      </c>
      <c r="H142" s="785" t="s">
        <v>782</v>
      </c>
      <c r="I142" s="787">
        <v>2324198.3451499776</v>
      </c>
      <c r="J142" s="787">
        <v>0</v>
      </c>
      <c r="K142" s="787">
        <v>122142.99666666666</v>
      </c>
      <c r="L142" s="787">
        <v>0</v>
      </c>
      <c r="M142" s="787">
        <v>215130</v>
      </c>
      <c r="N142" s="787">
        <v>74551.64</v>
      </c>
      <c r="O142" s="787">
        <v>0</v>
      </c>
      <c r="P142" s="787">
        <v>0</v>
      </c>
      <c r="Q142" s="787">
        <v>51352.92</v>
      </c>
      <c r="R142" s="787">
        <v>30430.21</v>
      </c>
      <c r="S142" s="787">
        <v>0</v>
      </c>
      <c r="T142" s="787">
        <v>0</v>
      </c>
      <c r="U142" s="787">
        <v>26813.5</v>
      </c>
      <c r="V142" s="787">
        <v>0</v>
      </c>
      <c r="W142" s="787">
        <v>0</v>
      </c>
      <c r="X142" s="787">
        <v>2844619.6118166442</v>
      </c>
      <c r="Y142" s="787">
        <v>1434905.56</v>
      </c>
      <c r="Z142" s="787">
        <v>20594.439999999999</v>
      </c>
      <c r="AA142" s="787">
        <v>388594.12</v>
      </c>
      <c r="AB142" s="787">
        <v>104999.31</v>
      </c>
      <c r="AC142" s="787">
        <v>89325.21</v>
      </c>
      <c r="AD142" s="787">
        <v>0</v>
      </c>
      <c r="AE142" s="787">
        <v>68817.350000000006</v>
      </c>
      <c r="AF142" s="787">
        <v>1723.29</v>
      </c>
      <c r="AG142" s="787">
        <v>6235</v>
      </c>
      <c r="AH142" s="787">
        <v>0</v>
      </c>
      <c r="AI142" s="787">
        <v>0</v>
      </c>
      <c r="AJ142" s="787">
        <v>42442.48</v>
      </c>
      <c r="AK142" s="787">
        <v>19858.59</v>
      </c>
      <c r="AL142" s="787">
        <v>1415.91</v>
      </c>
      <c r="AM142" s="787">
        <v>10291.48</v>
      </c>
      <c r="AN142" s="787">
        <v>28342.79</v>
      </c>
      <c r="AO142" s="787">
        <v>3789.4699999999989</v>
      </c>
      <c r="AP142" s="787">
        <v>10557.74</v>
      </c>
      <c r="AQ142" s="787">
        <v>113774.34</v>
      </c>
      <c r="AR142" s="787">
        <v>9582.27</v>
      </c>
      <c r="AS142" s="787">
        <v>0</v>
      </c>
      <c r="AT142" s="787">
        <v>0</v>
      </c>
      <c r="AU142" s="787">
        <v>0</v>
      </c>
      <c r="AV142" s="787">
        <v>6381.48</v>
      </c>
      <c r="AW142" s="787">
        <v>0</v>
      </c>
      <c r="AX142" s="787">
        <v>0</v>
      </c>
      <c r="AY142" s="787">
        <v>0</v>
      </c>
      <c r="AZ142" s="787">
        <v>31230.05</v>
      </c>
      <c r="BA142" s="787">
        <v>17832.419999999998</v>
      </c>
      <c r="BB142" s="787">
        <v>0</v>
      </c>
      <c r="BC142" s="787">
        <v>228075.18</v>
      </c>
      <c r="BD142" s="787">
        <v>16840.61</v>
      </c>
      <c r="BE142" s="787">
        <v>25651.199999999997</v>
      </c>
      <c r="BF142" s="787">
        <v>124638.35</v>
      </c>
      <c r="BG142" s="787">
        <v>0</v>
      </c>
      <c r="BH142" s="787">
        <v>0</v>
      </c>
      <c r="BI142" s="787">
        <v>0</v>
      </c>
      <c r="BJ142" s="787">
        <v>2805898.6400000006</v>
      </c>
      <c r="BK142" s="787">
        <v>399442.97999999986</v>
      </c>
      <c r="BL142" s="787">
        <v>38720.971816643607</v>
      </c>
      <c r="BM142" s="787">
        <v>438163.95181664347</v>
      </c>
      <c r="BN142" s="787">
        <v>0</v>
      </c>
      <c r="BO142" s="787">
        <v>0</v>
      </c>
      <c r="BP142" s="787">
        <v>0</v>
      </c>
      <c r="BQ142" s="787">
        <v>0</v>
      </c>
      <c r="BR142" s="787">
        <v>0</v>
      </c>
      <c r="BS142" s="787">
        <v>0</v>
      </c>
      <c r="BT142" s="787">
        <v>0</v>
      </c>
      <c r="BU142" s="787">
        <v>0</v>
      </c>
      <c r="BV142" s="787">
        <v>0</v>
      </c>
      <c r="BW142" s="787">
        <v>0</v>
      </c>
      <c r="BX142" s="787">
        <v>0</v>
      </c>
      <c r="BY142" s="787">
        <v>0</v>
      </c>
      <c r="BZ142" s="787">
        <v>0</v>
      </c>
      <c r="CA142" s="787">
        <v>0</v>
      </c>
      <c r="CB142" s="787">
        <v>0</v>
      </c>
      <c r="CC142" s="787">
        <v>0</v>
      </c>
      <c r="CD142" s="787">
        <v>0</v>
      </c>
      <c r="CE142" s="787">
        <v>0</v>
      </c>
      <c r="CF142" s="787">
        <v>0</v>
      </c>
      <c r="CG142" s="787">
        <v>0</v>
      </c>
      <c r="CH142" s="787">
        <v>0</v>
      </c>
      <c r="CI142" s="787">
        <v>0</v>
      </c>
      <c r="CJ142" s="787">
        <v>0</v>
      </c>
      <c r="CK142" s="787">
        <v>0</v>
      </c>
      <c r="CL142" s="787">
        <v>0</v>
      </c>
      <c r="CM142" s="787">
        <v>438163.95181664347</v>
      </c>
      <c r="CN142" s="787">
        <v>0</v>
      </c>
      <c r="CO142" s="787">
        <v>0</v>
      </c>
      <c r="CP142" s="787">
        <v>0</v>
      </c>
      <c r="CQ142" s="787">
        <v>0</v>
      </c>
      <c r="CR142" s="787">
        <v>438163.95181664347</v>
      </c>
      <c r="CS142" s="787">
        <v>718248.84</v>
      </c>
      <c r="CT142" s="787">
        <v>202031.81</v>
      </c>
      <c r="CU142" s="787">
        <v>1436.08</v>
      </c>
      <c r="CV142" s="787">
        <v>517653.11</v>
      </c>
      <c r="CW142" s="787">
        <v>0</v>
      </c>
      <c r="CX142" s="787">
        <v>2705.51</v>
      </c>
      <c r="CY142" s="787">
        <v>2303.29</v>
      </c>
      <c r="CZ142" s="787">
        <v>0</v>
      </c>
      <c r="DA142" s="787">
        <v>0</v>
      </c>
      <c r="DB142" s="787">
        <v>522661.91</v>
      </c>
      <c r="DC142" s="787">
        <v>0</v>
      </c>
      <c r="DD142" s="787">
        <v>0</v>
      </c>
      <c r="DE142" s="787">
        <v>0</v>
      </c>
      <c r="DF142" s="787">
        <v>0</v>
      </c>
      <c r="DG142" s="787"/>
      <c r="DH142" s="787"/>
      <c r="DI142" s="787"/>
      <c r="DJ142" s="787">
        <v>0</v>
      </c>
      <c r="DK142" s="787">
        <v>0</v>
      </c>
      <c r="DL142" s="787">
        <v>0</v>
      </c>
      <c r="DM142" s="787">
        <v>0</v>
      </c>
      <c r="DN142" s="787">
        <v>0</v>
      </c>
      <c r="DO142" s="787">
        <v>0</v>
      </c>
      <c r="DP142" s="787">
        <v>0</v>
      </c>
      <c r="DQ142" s="787">
        <v>-49277.59</v>
      </c>
      <c r="DR142" s="787">
        <v>0</v>
      </c>
      <c r="DS142" s="787">
        <v>0</v>
      </c>
      <c r="DT142" s="787">
        <v>-49277.59</v>
      </c>
      <c r="DU142" s="787">
        <v>0</v>
      </c>
      <c r="DV142" s="787">
        <v>0</v>
      </c>
      <c r="DW142" s="787">
        <v>0</v>
      </c>
      <c r="DX142" s="787">
        <v>0</v>
      </c>
      <c r="DY142" s="787">
        <v>0</v>
      </c>
      <c r="DZ142" s="787">
        <v>-35220.839999999997</v>
      </c>
      <c r="EA142" s="787">
        <v>0.47181664349045604</v>
      </c>
      <c r="EE142">
        <f>_xlfn.XLOOKUP(C142,'[1]Cfwd Analysis'!$C:$C,'[1]Cfwd Analysis'!$I:$I,0,0)</f>
        <v>438163.95181664347</v>
      </c>
      <c r="EF142" s="788">
        <f t="shared" si="2"/>
        <v>0</v>
      </c>
    </row>
    <row r="143" spans="1:136" ht="15.6" hidden="1">
      <c r="A143" s="782" t="s">
        <v>1437</v>
      </c>
      <c r="B143" s="782" t="s">
        <v>772</v>
      </c>
      <c r="C143" s="783">
        <v>3331</v>
      </c>
      <c r="D143" s="784" t="s">
        <v>773</v>
      </c>
      <c r="E143" s="785" t="s">
        <v>521</v>
      </c>
      <c r="F143" s="786" t="s">
        <v>1315</v>
      </c>
      <c r="G143" s="785" t="s">
        <v>5</v>
      </c>
      <c r="H143" s="785" t="s">
        <v>784</v>
      </c>
      <c r="I143" s="787">
        <v>1487791.2906678712</v>
      </c>
      <c r="J143" s="787">
        <v>0</v>
      </c>
      <c r="K143" s="787">
        <v>75077.396666666667</v>
      </c>
      <c r="L143" s="787">
        <v>0</v>
      </c>
      <c r="M143" s="787">
        <v>116255</v>
      </c>
      <c r="N143" s="787">
        <v>48400.86</v>
      </c>
      <c r="O143" s="787">
        <v>0</v>
      </c>
      <c r="P143" s="787">
        <v>0</v>
      </c>
      <c r="Q143" s="787">
        <v>59739.199344999979</v>
      </c>
      <c r="R143" s="787">
        <v>20191.150000000001</v>
      </c>
      <c r="S143" s="787">
        <v>0</v>
      </c>
      <c r="T143" s="787">
        <v>0</v>
      </c>
      <c r="U143" s="787">
        <v>16613.830000000002</v>
      </c>
      <c r="V143" s="787">
        <v>0</v>
      </c>
      <c r="W143" s="787">
        <v>0</v>
      </c>
      <c r="X143" s="787">
        <v>1824068.7266795381</v>
      </c>
      <c r="Y143" s="787">
        <v>855504.9</v>
      </c>
      <c r="Z143" s="787">
        <v>0</v>
      </c>
      <c r="AA143" s="787">
        <v>277354.95999999996</v>
      </c>
      <c r="AB143" s="787">
        <v>58521.96</v>
      </c>
      <c r="AC143" s="787">
        <v>96040.5</v>
      </c>
      <c r="AD143" s="787">
        <v>0</v>
      </c>
      <c r="AE143" s="787">
        <v>55676.14</v>
      </c>
      <c r="AF143" s="787">
        <v>5950</v>
      </c>
      <c r="AG143" s="787">
        <v>6440.25</v>
      </c>
      <c r="AH143" s="787">
        <v>0</v>
      </c>
      <c r="AI143" s="787">
        <v>0</v>
      </c>
      <c r="AJ143" s="787">
        <v>19360.650000000001</v>
      </c>
      <c r="AK143" s="787">
        <v>0</v>
      </c>
      <c r="AL143" s="787">
        <v>1838.13</v>
      </c>
      <c r="AM143" s="787">
        <v>6577.68</v>
      </c>
      <c r="AN143" s="787">
        <v>11874.59</v>
      </c>
      <c r="AO143" s="787">
        <v>8213.56</v>
      </c>
      <c r="AP143" s="787">
        <v>4234.6400000000003</v>
      </c>
      <c r="AQ143" s="787">
        <v>29394.29</v>
      </c>
      <c r="AR143" s="787">
        <v>0</v>
      </c>
      <c r="AS143" s="787">
        <v>0</v>
      </c>
      <c r="AT143" s="787">
        <v>8603.9599999999991</v>
      </c>
      <c r="AU143" s="787">
        <v>0</v>
      </c>
      <c r="AV143" s="787">
        <v>0</v>
      </c>
      <c r="AW143" s="787">
        <v>0</v>
      </c>
      <c r="AX143" s="787">
        <v>0</v>
      </c>
      <c r="AY143" s="787">
        <v>0</v>
      </c>
      <c r="AZ143" s="787">
        <v>2650.12</v>
      </c>
      <c r="BA143" s="787">
        <v>18638.55</v>
      </c>
      <c r="BB143" s="787">
        <v>4492</v>
      </c>
      <c r="BC143" s="787">
        <v>152037.35</v>
      </c>
      <c r="BD143" s="787">
        <v>27150.77</v>
      </c>
      <c r="BE143" s="787">
        <v>14276.080000000002</v>
      </c>
      <c r="BF143" s="787">
        <v>103659.83</v>
      </c>
      <c r="BG143" s="787">
        <v>0</v>
      </c>
      <c r="BH143" s="787">
        <v>0</v>
      </c>
      <c r="BI143" s="787">
        <v>0</v>
      </c>
      <c r="BJ143" s="787">
        <v>1768490.91</v>
      </c>
      <c r="BK143" s="787">
        <v>78838.26999999932</v>
      </c>
      <c r="BL143" s="787">
        <v>55577.816679538228</v>
      </c>
      <c r="BM143" s="787">
        <v>134416.08667953755</v>
      </c>
      <c r="BN143" s="787">
        <v>15706.95</v>
      </c>
      <c r="BO143" s="787">
        <v>0</v>
      </c>
      <c r="BP143" s="787">
        <v>0</v>
      </c>
      <c r="BQ143" s="787">
        <v>15706.95</v>
      </c>
      <c r="BR143" s="787">
        <v>0</v>
      </c>
      <c r="BS143" s="787">
        <v>0</v>
      </c>
      <c r="BT143" s="787">
        <v>0</v>
      </c>
      <c r="BU143" s="787">
        <v>0</v>
      </c>
      <c r="BV143" s="787">
        <v>0</v>
      </c>
      <c r="BW143" s="787">
        <v>0</v>
      </c>
      <c r="BX143" s="787">
        <v>0</v>
      </c>
      <c r="BY143" s="787">
        <v>0</v>
      </c>
      <c r="BZ143" s="787">
        <v>0</v>
      </c>
      <c r="CA143" s="787">
        <v>0</v>
      </c>
      <c r="CB143" s="787">
        <v>15706.95</v>
      </c>
      <c r="CC143" s="787">
        <v>15706.95</v>
      </c>
      <c r="CD143" s="787">
        <v>0</v>
      </c>
      <c r="CE143" s="787">
        <v>0</v>
      </c>
      <c r="CF143" s="787">
        <v>0</v>
      </c>
      <c r="CG143" s="787">
        <v>0</v>
      </c>
      <c r="CH143" s="787">
        <v>0</v>
      </c>
      <c r="CI143" s="787">
        <v>0</v>
      </c>
      <c r="CJ143" s="787">
        <v>0</v>
      </c>
      <c r="CK143" s="787">
        <v>0</v>
      </c>
      <c r="CL143" s="787">
        <v>0</v>
      </c>
      <c r="CM143" s="787">
        <v>134416.08667953755</v>
      </c>
      <c r="CN143" s="787">
        <v>0</v>
      </c>
      <c r="CO143" s="787">
        <v>0</v>
      </c>
      <c r="CP143" s="787">
        <v>15706.95</v>
      </c>
      <c r="CQ143" s="787">
        <v>0</v>
      </c>
      <c r="CR143" s="787">
        <v>150123.03667953756</v>
      </c>
      <c r="CS143" s="787">
        <v>321917.87</v>
      </c>
      <c r="CT143" s="787">
        <v>0</v>
      </c>
      <c r="CU143" s="787">
        <v>0</v>
      </c>
      <c r="CV143" s="787">
        <v>321917.87</v>
      </c>
      <c r="CW143" s="787">
        <v>0</v>
      </c>
      <c r="CX143" s="787">
        <v>2355.44</v>
      </c>
      <c r="CY143" s="787">
        <v>932.2</v>
      </c>
      <c r="CZ143" s="787">
        <v>0</v>
      </c>
      <c r="DA143" s="787">
        <v>3861.3299999999954</v>
      </c>
      <c r="DB143" s="787">
        <v>329066.84000000003</v>
      </c>
      <c r="DC143" s="787">
        <v>0</v>
      </c>
      <c r="DD143" s="787">
        <v>0</v>
      </c>
      <c r="DE143" s="787">
        <v>0</v>
      </c>
      <c r="DF143" s="787">
        <v>0</v>
      </c>
      <c r="DG143" s="787"/>
      <c r="DH143" s="787"/>
      <c r="DI143" s="787"/>
      <c r="DJ143" s="787">
        <v>0</v>
      </c>
      <c r="DK143" s="787">
        <v>0</v>
      </c>
      <c r="DL143" s="787">
        <v>0</v>
      </c>
      <c r="DM143" s="787">
        <v>0</v>
      </c>
      <c r="DN143" s="787">
        <v>0</v>
      </c>
      <c r="DO143" s="787">
        <v>0</v>
      </c>
      <c r="DP143" s="787">
        <v>-115338</v>
      </c>
      <c r="DQ143" s="787">
        <v>-32133.13</v>
      </c>
      <c r="DR143" s="787">
        <v>0</v>
      </c>
      <c r="DS143" s="787">
        <v>0</v>
      </c>
      <c r="DT143" s="787">
        <v>-147471.13</v>
      </c>
      <c r="DU143" s="787">
        <v>0</v>
      </c>
      <c r="DV143" s="787">
        <v>0</v>
      </c>
      <c r="DW143" s="787">
        <v>-658.34</v>
      </c>
      <c r="DX143" s="787">
        <v>0</v>
      </c>
      <c r="DY143" s="787">
        <v>0</v>
      </c>
      <c r="DZ143" s="787">
        <v>-30814.33</v>
      </c>
      <c r="EA143" s="787">
        <v>-3.3204624778591096E-3</v>
      </c>
      <c r="EE143">
        <f>_xlfn.XLOOKUP(C143,'[1]Cfwd Analysis'!$C:$C,'[1]Cfwd Analysis'!$I:$I,0,0)</f>
        <v>134416.08667953755</v>
      </c>
      <c r="EF143" s="788">
        <f t="shared" si="2"/>
        <v>0</v>
      </c>
    </row>
    <row r="144" spans="1:136" ht="15.6" hidden="1">
      <c r="A144" s="782" t="s">
        <v>1438</v>
      </c>
      <c r="B144" s="782" t="s">
        <v>774</v>
      </c>
      <c r="C144" s="783">
        <v>3386</v>
      </c>
      <c r="D144" s="784" t="s">
        <v>775</v>
      </c>
      <c r="E144" s="785" t="s">
        <v>521</v>
      </c>
      <c r="F144" s="786">
        <v>46094</v>
      </c>
      <c r="G144" s="785" t="s">
        <v>5</v>
      </c>
      <c r="H144" s="785" t="s">
        <v>786</v>
      </c>
      <c r="I144" s="787">
        <v>1560118.727338627</v>
      </c>
      <c r="J144" s="787">
        <v>0</v>
      </c>
      <c r="K144" s="787">
        <v>99878.787666666671</v>
      </c>
      <c r="L144" s="787">
        <v>0</v>
      </c>
      <c r="M144" s="787">
        <v>186715</v>
      </c>
      <c r="N144" s="787">
        <v>32944</v>
      </c>
      <c r="O144" s="787">
        <v>0</v>
      </c>
      <c r="P144" s="787">
        <v>0</v>
      </c>
      <c r="Q144" s="787">
        <v>24509.614249999973</v>
      </c>
      <c r="R144" s="787">
        <v>0</v>
      </c>
      <c r="S144" s="787">
        <v>0</v>
      </c>
      <c r="T144" s="787">
        <v>0</v>
      </c>
      <c r="U144" s="787">
        <v>19135.330000000002</v>
      </c>
      <c r="V144" s="787">
        <v>1914.26</v>
      </c>
      <c r="W144" s="787">
        <v>0</v>
      </c>
      <c r="X144" s="787">
        <v>1925215.7192552937</v>
      </c>
      <c r="Y144" s="787">
        <v>823325.33</v>
      </c>
      <c r="Z144" s="787">
        <v>0</v>
      </c>
      <c r="AA144" s="787">
        <v>439332.24</v>
      </c>
      <c r="AB144" s="787">
        <v>65605.540000000008</v>
      </c>
      <c r="AC144" s="787">
        <v>86936.07</v>
      </c>
      <c r="AD144" s="787">
        <v>0</v>
      </c>
      <c r="AE144" s="787">
        <v>37598.76</v>
      </c>
      <c r="AF144" s="787">
        <v>3402.56</v>
      </c>
      <c r="AG144" s="787">
        <v>2054.8000000000002</v>
      </c>
      <c r="AH144" s="787">
        <v>0</v>
      </c>
      <c r="AI144" s="787">
        <v>0</v>
      </c>
      <c r="AJ144" s="787">
        <v>31694.81</v>
      </c>
      <c r="AK144" s="787">
        <v>0</v>
      </c>
      <c r="AL144" s="787">
        <v>4309.9799999999996</v>
      </c>
      <c r="AM144" s="787">
        <v>4256.43</v>
      </c>
      <c r="AN144" s="787">
        <v>35480.14</v>
      </c>
      <c r="AO144" s="787">
        <v>5511.96</v>
      </c>
      <c r="AP144" s="787">
        <v>7849.58</v>
      </c>
      <c r="AQ144" s="787">
        <v>913.87999999999784</v>
      </c>
      <c r="AR144" s="787">
        <v>0</v>
      </c>
      <c r="AS144" s="787">
        <v>0</v>
      </c>
      <c r="AT144" s="787">
        <v>0</v>
      </c>
      <c r="AU144" s="787">
        <v>0</v>
      </c>
      <c r="AV144" s="787">
        <v>0</v>
      </c>
      <c r="AW144" s="787">
        <v>0</v>
      </c>
      <c r="AX144" s="787">
        <v>387</v>
      </c>
      <c r="AY144" s="787">
        <v>0</v>
      </c>
      <c r="AZ144" s="787">
        <v>56047.47</v>
      </c>
      <c r="BA144" s="787">
        <v>10970.35</v>
      </c>
      <c r="BB144" s="787">
        <v>4356</v>
      </c>
      <c r="BC144" s="787">
        <v>160752.15</v>
      </c>
      <c r="BD144" s="787">
        <v>16763.46</v>
      </c>
      <c r="BE144" s="787">
        <v>5528.9600000000019</v>
      </c>
      <c r="BF144" s="787">
        <v>164107.5</v>
      </c>
      <c r="BG144" s="787">
        <v>0</v>
      </c>
      <c r="BH144" s="787">
        <v>0</v>
      </c>
      <c r="BI144" s="787">
        <v>0</v>
      </c>
      <c r="BJ144" s="787">
        <v>1967184.9699999997</v>
      </c>
      <c r="BK144" s="787">
        <v>208955.49999999892</v>
      </c>
      <c r="BL144" s="787">
        <v>-41969.25074470602</v>
      </c>
      <c r="BM144" s="787">
        <v>166986.2492552929</v>
      </c>
      <c r="BN144" s="787">
        <v>10417.98</v>
      </c>
      <c r="BO144" s="787">
        <v>0</v>
      </c>
      <c r="BP144" s="787">
        <v>0</v>
      </c>
      <c r="BQ144" s="787">
        <v>10417.98</v>
      </c>
      <c r="BR144" s="787">
        <v>0</v>
      </c>
      <c r="BS144" s="787">
        <v>0</v>
      </c>
      <c r="BT144" s="787">
        <v>0</v>
      </c>
      <c r="BU144" s="787">
        <v>0</v>
      </c>
      <c r="BV144" s="787">
        <v>0</v>
      </c>
      <c r="BW144" s="787">
        <v>0</v>
      </c>
      <c r="BX144" s="787">
        <v>8999.7800000000007</v>
      </c>
      <c r="BY144" s="787">
        <v>0</v>
      </c>
      <c r="BZ144" s="787">
        <v>8999.7800000000007</v>
      </c>
      <c r="CA144" s="787">
        <v>0</v>
      </c>
      <c r="CB144" s="787">
        <v>1418.1999999999989</v>
      </c>
      <c r="CC144" s="787">
        <v>1418.1999999999989</v>
      </c>
      <c r="CD144" s="787">
        <v>0</v>
      </c>
      <c r="CE144" s="787">
        <v>0</v>
      </c>
      <c r="CF144" s="787">
        <v>0</v>
      </c>
      <c r="CG144" s="787">
        <v>0</v>
      </c>
      <c r="CH144" s="787">
        <v>0</v>
      </c>
      <c r="CI144" s="787">
        <v>0</v>
      </c>
      <c r="CJ144" s="787">
        <v>0</v>
      </c>
      <c r="CK144" s="787">
        <v>0</v>
      </c>
      <c r="CL144" s="787">
        <v>0</v>
      </c>
      <c r="CM144" s="787">
        <v>166986.2492552929</v>
      </c>
      <c r="CN144" s="787">
        <v>0</v>
      </c>
      <c r="CO144" s="787">
        <v>0</v>
      </c>
      <c r="CP144" s="787">
        <v>1418.1999999999989</v>
      </c>
      <c r="CQ144" s="787">
        <v>0</v>
      </c>
      <c r="CR144" s="787">
        <v>168404.44925529292</v>
      </c>
      <c r="CS144" s="787">
        <v>348387.94</v>
      </c>
      <c r="CT144" s="787">
        <v>0</v>
      </c>
      <c r="CU144" s="787">
        <v>0</v>
      </c>
      <c r="CV144" s="787">
        <v>348387.94</v>
      </c>
      <c r="CW144" s="787">
        <v>0</v>
      </c>
      <c r="CX144" s="787">
        <v>0</v>
      </c>
      <c r="CY144" s="787">
        <v>6209.58</v>
      </c>
      <c r="CZ144" s="787">
        <v>0</v>
      </c>
      <c r="DA144" s="787">
        <v>0</v>
      </c>
      <c r="DB144" s="787">
        <v>354597.52</v>
      </c>
      <c r="DC144" s="787">
        <v>0</v>
      </c>
      <c r="DD144" s="787">
        <v>0</v>
      </c>
      <c r="DE144" s="787">
        <v>0</v>
      </c>
      <c r="DF144" s="787">
        <v>0</v>
      </c>
      <c r="DG144" s="787"/>
      <c r="DH144" s="787"/>
      <c r="DI144" s="787"/>
      <c r="DJ144" s="787">
        <v>0</v>
      </c>
      <c r="DK144" s="787">
        <v>0</v>
      </c>
      <c r="DL144" s="787">
        <v>0</v>
      </c>
      <c r="DM144" s="787">
        <v>0</v>
      </c>
      <c r="DN144" s="787">
        <v>0</v>
      </c>
      <c r="DO144" s="787">
        <v>0</v>
      </c>
      <c r="DP144" s="787">
        <v>-134174.85999999999</v>
      </c>
      <c r="DQ144" s="787">
        <v>-31125.74</v>
      </c>
      <c r="DR144" s="787">
        <v>0</v>
      </c>
      <c r="DS144" s="787">
        <v>0</v>
      </c>
      <c r="DT144" s="787">
        <v>-165300.59999999998</v>
      </c>
      <c r="DU144" s="787">
        <v>0</v>
      </c>
      <c r="DV144" s="787">
        <v>0</v>
      </c>
      <c r="DW144" s="787">
        <v>0</v>
      </c>
      <c r="DX144" s="787">
        <v>0</v>
      </c>
      <c r="DY144" s="787">
        <v>0</v>
      </c>
      <c r="DZ144" s="787">
        <v>-20892</v>
      </c>
      <c r="EA144" s="787">
        <v>-0.47074470712686889</v>
      </c>
      <c r="EE144">
        <f>_xlfn.XLOOKUP(C144,'[1]Cfwd Analysis'!$C:$C,'[1]Cfwd Analysis'!$I:$I,0,0)</f>
        <v>166986.2492552929</v>
      </c>
      <c r="EF144" s="788">
        <f t="shared" si="2"/>
        <v>0</v>
      </c>
    </row>
    <row r="145" spans="1:136" ht="15.6" hidden="1">
      <c r="A145" s="782" t="s">
        <v>1439</v>
      </c>
      <c r="B145" s="782" t="s">
        <v>776</v>
      </c>
      <c r="C145" s="783">
        <v>3363</v>
      </c>
      <c r="D145" s="784" t="s">
        <v>777</v>
      </c>
      <c r="E145" s="785" t="s">
        <v>521</v>
      </c>
      <c r="F145" s="786">
        <v>46092</v>
      </c>
      <c r="G145" s="785" t="s">
        <v>5</v>
      </c>
      <c r="H145" s="785" t="s">
        <v>788</v>
      </c>
      <c r="I145" s="787">
        <v>1732708.9769884539</v>
      </c>
      <c r="J145" s="787">
        <v>0</v>
      </c>
      <c r="K145" s="787">
        <v>62988.575333333341</v>
      </c>
      <c r="L145" s="787">
        <v>0</v>
      </c>
      <c r="M145" s="787">
        <v>148070</v>
      </c>
      <c r="N145" s="787">
        <v>55511</v>
      </c>
      <c r="O145" s="787">
        <v>0</v>
      </c>
      <c r="P145" s="787">
        <v>0</v>
      </c>
      <c r="Q145" s="787">
        <v>27.41</v>
      </c>
      <c r="R145" s="787">
        <v>22006.9</v>
      </c>
      <c r="S145" s="787">
        <v>0</v>
      </c>
      <c r="T145" s="787">
        <v>0</v>
      </c>
      <c r="U145" s="787">
        <v>58639.88</v>
      </c>
      <c r="V145" s="787">
        <v>37676.36</v>
      </c>
      <c r="W145" s="787">
        <v>0</v>
      </c>
      <c r="X145" s="787">
        <v>2117629.1023217868</v>
      </c>
      <c r="Y145" s="787">
        <v>1051523.54</v>
      </c>
      <c r="Z145" s="787">
        <v>0</v>
      </c>
      <c r="AA145" s="787">
        <v>167342.89000000001</v>
      </c>
      <c r="AB145" s="787">
        <v>47045.74</v>
      </c>
      <c r="AC145" s="787">
        <v>222005.96</v>
      </c>
      <c r="AD145" s="787">
        <v>78949</v>
      </c>
      <c r="AE145" s="787">
        <v>39070.089999999997</v>
      </c>
      <c r="AF145" s="787">
        <v>0</v>
      </c>
      <c r="AG145" s="787">
        <v>2109</v>
      </c>
      <c r="AH145" s="787">
        <v>0</v>
      </c>
      <c r="AI145" s="787">
        <v>0</v>
      </c>
      <c r="AJ145" s="787">
        <v>8054.75</v>
      </c>
      <c r="AK145" s="787">
        <v>0</v>
      </c>
      <c r="AL145" s="787">
        <v>37767.919999999998</v>
      </c>
      <c r="AM145" s="787">
        <v>6223.74</v>
      </c>
      <c r="AN145" s="787">
        <v>38919.370000000003</v>
      </c>
      <c r="AO145" s="787">
        <v>3073.98</v>
      </c>
      <c r="AP145" s="787">
        <v>22888.97</v>
      </c>
      <c r="AQ145" s="787">
        <v>36151.58</v>
      </c>
      <c r="AR145" s="787">
        <v>0</v>
      </c>
      <c r="AS145" s="787">
        <v>0</v>
      </c>
      <c r="AT145" s="787">
        <v>10761.64</v>
      </c>
      <c r="AU145" s="787">
        <v>0</v>
      </c>
      <c r="AV145" s="787">
        <v>0</v>
      </c>
      <c r="AW145" s="787">
        <v>0</v>
      </c>
      <c r="AX145" s="787">
        <v>0</v>
      </c>
      <c r="AY145" s="787">
        <v>0</v>
      </c>
      <c r="AZ145" s="787">
        <v>29247.34</v>
      </c>
      <c r="BA145" s="787">
        <v>5139.75</v>
      </c>
      <c r="BB145" s="787">
        <v>2800</v>
      </c>
      <c r="BC145" s="787">
        <v>49339.82</v>
      </c>
      <c r="BD145" s="787">
        <v>23989.93</v>
      </c>
      <c r="BE145" s="787">
        <v>73003</v>
      </c>
      <c r="BF145" s="787">
        <v>85243.99</v>
      </c>
      <c r="BG145" s="787">
        <v>0</v>
      </c>
      <c r="BH145" s="787">
        <v>0</v>
      </c>
      <c r="BI145" s="787">
        <v>0</v>
      </c>
      <c r="BJ145" s="787">
        <v>2040652.0000000002</v>
      </c>
      <c r="BK145" s="787">
        <v>133538.21999999986</v>
      </c>
      <c r="BL145" s="787">
        <v>76977.102321786573</v>
      </c>
      <c r="BM145" s="787">
        <v>210515.32232178643</v>
      </c>
      <c r="BN145" s="787">
        <v>24697</v>
      </c>
      <c r="BO145" s="787">
        <v>0</v>
      </c>
      <c r="BP145" s="787">
        <v>0</v>
      </c>
      <c r="BQ145" s="787">
        <v>24697</v>
      </c>
      <c r="BR145" s="787">
        <v>10926</v>
      </c>
      <c r="BS145" s="787">
        <v>0</v>
      </c>
      <c r="BT145" s="787">
        <v>0</v>
      </c>
      <c r="BU145" s="787">
        <v>0</v>
      </c>
      <c r="BV145" s="787">
        <v>0</v>
      </c>
      <c r="BW145" s="787">
        <v>0</v>
      </c>
      <c r="BX145" s="787">
        <v>0</v>
      </c>
      <c r="BY145" s="787">
        <v>0</v>
      </c>
      <c r="BZ145" s="787">
        <v>10926</v>
      </c>
      <c r="CA145" s="787">
        <v>0</v>
      </c>
      <c r="CB145" s="787">
        <v>13771</v>
      </c>
      <c r="CC145" s="787">
        <v>13771</v>
      </c>
      <c r="CD145" s="787">
        <v>0</v>
      </c>
      <c r="CE145" s="787">
        <v>0</v>
      </c>
      <c r="CF145" s="787">
        <v>0</v>
      </c>
      <c r="CG145" s="787">
        <v>0</v>
      </c>
      <c r="CH145" s="787">
        <v>0</v>
      </c>
      <c r="CI145" s="787">
        <v>0</v>
      </c>
      <c r="CJ145" s="787">
        <v>0</v>
      </c>
      <c r="CK145" s="787">
        <v>0</v>
      </c>
      <c r="CL145" s="787">
        <v>0</v>
      </c>
      <c r="CM145" s="787">
        <v>210515.32232178643</v>
      </c>
      <c r="CN145" s="787">
        <v>0</v>
      </c>
      <c r="CO145" s="787">
        <v>0</v>
      </c>
      <c r="CP145" s="787">
        <v>13771</v>
      </c>
      <c r="CQ145" s="787">
        <v>0</v>
      </c>
      <c r="CR145" s="787">
        <v>224286.32232178643</v>
      </c>
      <c r="CS145" s="787">
        <v>380217.21</v>
      </c>
      <c r="CT145" s="787">
        <v>175739.92</v>
      </c>
      <c r="CU145" s="787">
        <v>0</v>
      </c>
      <c r="CV145" s="787">
        <v>204477.29</v>
      </c>
      <c r="CW145" s="787">
        <v>0</v>
      </c>
      <c r="CX145" s="787">
        <v>5651.12</v>
      </c>
      <c r="CY145" s="787">
        <v>3658.52</v>
      </c>
      <c r="CZ145" s="787">
        <v>0</v>
      </c>
      <c r="DA145" s="787">
        <v>0</v>
      </c>
      <c r="DB145" s="787">
        <v>213786.93</v>
      </c>
      <c r="DC145" s="787">
        <v>15133.43</v>
      </c>
      <c r="DD145" s="787">
        <v>0</v>
      </c>
      <c r="DE145" s="787">
        <v>0</v>
      </c>
      <c r="DF145" s="787">
        <v>15133.43</v>
      </c>
      <c r="DG145" s="787"/>
      <c r="DH145" s="787"/>
      <c r="DI145" s="787"/>
      <c r="DJ145" s="787">
        <v>0</v>
      </c>
      <c r="DK145" s="787">
        <v>15133.43</v>
      </c>
      <c r="DL145" s="787">
        <v>0</v>
      </c>
      <c r="DM145" s="787">
        <v>0</v>
      </c>
      <c r="DN145" s="787">
        <v>0</v>
      </c>
      <c r="DO145" s="787">
        <v>0</v>
      </c>
      <c r="DP145" s="787">
        <v>-9932.77</v>
      </c>
      <c r="DQ145" s="787">
        <v>0</v>
      </c>
      <c r="DR145" s="787">
        <v>0</v>
      </c>
      <c r="DS145" s="787">
        <v>0</v>
      </c>
      <c r="DT145" s="787">
        <v>-9932.77</v>
      </c>
      <c r="DU145" s="787">
        <v>0</v>
      </c>
      <c r="DV145" s="787">
        <v>0</v>
      </c>
      <c r="DW145" s="787">
        <v>0</v>
      </c>
      <c r="DX145" s="787">
        <v>0</v>
      </c>
      <c r="DY145" s="787">
        <v>5298.81</v>
      </c>
      <c r="DZ145" s="787">
        <v>0</v>
      </c>
      <c r="EA145" s="787">
        <v>-7.7678213565377519E-2</v>
      </c>
      <c r="EE145">
        <f>_xlfn.XLOOKUP(C145,'[1]Cfwd Analysis'!$C:$C,'[1]Cfwd Analysis'!$I:$I,0,0)</f>
        <v>210515.32232178643</v>
      </c>
      <c r="EF145" s="788">
        <f t="shared" si="2"/>
        <v>0</v>
      </c>
    </row>
    <row r="146" spans="1:136" ht="15.6" hidden="1">
      <c r="A146" s="782" t="s">
        <v>1440</v>
      </c>
      <c r="B146" s="782" t="s">
        <v>778</v>
      </c>
      <c r="C146" s="783">
        <v>3355</v>
      </c>
      <c r="D146" s="784" t="s">
        <v>779</v>
      </c>
      <c r="E146" s="785" t="s">
        <v>521</v>
      </c>
      <c r="F146" s="786">
        <v>46094</v>
      </c>
      <c r="G146" s="785" t="s">
        <v>5</v>
      </c>
      <c r="H146" s="785" t="s">
        <v>790</v>
      </c>
      <c r="I146" s="787">
        <v>2131260.1187073169</v>
      </c>
      <c r="J146" s="787">
        <v>0</v>
      </c>
      <c r="K146" s="787">
        <v>144800.67333333331</v>
      </c>
      <c r="L146" s="787">
        <v>0</v>
      </c>
      <c r="M146" s="787">
        <v>141610</v>
      </c>
      <c r="N146" s="787">
        <v>76594.289999999994</v>
      </c>
      <c r="O146" s="787">
        <v>0</v>
      </c>
      <c r="P146" s="787">
        <v>0</v>
      </c>
      <c r="Q146" s="787">
        <v>55717.236860000055</v>
      </c>
      <c r="R146" s="787">
        <v>0</v>
      </c>
      <c r="S146" s="787">
        <v>0</v>
      </c>
      <c r="T146" s="787">
        <v>0</v>
      </c>
      <c r="U146" s="787">
        <v>36756.730000000003</v>
      </c>
      <c r="V146" s="787">
        <v>99975.79</v>
      </c>
      <c r="W146" s="787">
        <v>0</v>
      </c>
      <c r="X146" s="787">
        <v>2686714.8389006504</v>
      </c>
      <c r="Y146" s="787">
        <v>1200834.7</v>
      </c>
      <c r="Z146" s="787">
        <v>0</v>
      </c>
      <c r="AA146" s="787">
        <v>473234.76</v>
      </c>
      <c r="AB146" s="787">
        <v>58647.86</v>
      </c>
      <c r="AC146" s="787">
        <v>137724</v>
      </c>
      <c r="AD146" s="787">
        <v>0</v>
      </c>
      <c r="AE146" s="787">
        <v>29085.37</v>
      </c>
      <c r="AF146" s="787">
        <v>43.5</v>
      </c>
      <c r="AG146" s="787">
        <v>3522.86</v>
      </c>
      <c r="AH146" s="787">
        <v>0</v>
      </c>
      <c r="AI146" s="787">
        <v>0</v>
      </c>
      <c r="AJ146" s="787">
        <v>47270.91</v>
      </c>
      <c r="AK146" s="787">
        <v>3015.55</v>
      </c>
      <c r="AL146" s="787">
        <v>52628.44</v>
      </c>
      <c r="AM146" s="787">
        <v>6666.97</v>
      </c>
      <c r="AN146" s="787">
        <v>71580.87</v>
      </c>
      <c r="AO146" s="787">
        <v>6200.9600000000019</v>
      </c>
      <c r="AP146" s="787">
        <v>15245.5</v>
      </c>
      <c r="AQ146" s="787">
        <v>82378.06</v>
      </c>
      <c r="AR146" s="787">
        <v>23.52</v>
      </c>
      <c r="AS146" s="787">
        <v>0</v>
      </c>
      <c r="AT146" s="787">
        <v>4998</v>
      </c>
      <c r="AU146" s="787">
        <v>0</v>
      </c>
      <c r="AV146" s="787">
        <v>0</v>
      </c>
      <c r="AW146" s="787">
        <v>962.07</v>
      </c>
      <c r="AX146" s="787">
        <v>6560.44</v>
      </c>
      <c r="AY146" s="787">
        <v>0</v>
      </c>
      <c r="AZ146" s="787">
        <v>45163.67</v>
      </c>
      <c r="BA146" s="787">
        <v>9471</v>
      </c>
      <c r="BB146" s="787">
        <v>5600</v>
      </c>
      <c r="BC146" s="787">
        <v>159752.89000000001</v>
      </c>
      <c r="BD146" s="787">
        <v>99223.5</v>
      </c>
      <c r="BE146" s="787">
        <v>11507.700000000003</v>
      </c>
      <c r="BF146" s="787">
        <v>305587.61</v>
      </c>
      <c r="BG146" s="787">
        <v>0</v>
      </c>
      <c r="BH146" s="787">
        <v>0</v>
      </c>
      <c r="BI146" s="787">
        <v>0</v>
      </c>
      <c r="BJ146" s="787">
        <v>2836930.71</v>
      </c>
      <c r="BK146" s="787">
        <v>391034.76000000234</v>
      </c>
      <c r="BL146" s="787">
        <v>-150215.87109934958</v>
      </c>
      <c r="BM146" s="787">
        <v>240818.88890065276</v>
      </c>
      <c r="BN146" s="787">
        <v>13107.33</v>
      </c>
      <c r="BO146" s="787">
        <v>0</v>
      </c>
      <c r="BP146" s="787">
        <v>0</v>
      </c>
      <c r="BQ146" s="787">
        <v>13107.33</v>
      </c>
      <c r="BR146" s="787">
        <v>0</v>
      </c>
      <c r="BS146" s="787">
        <v>0</v>
      </c>
      <c r="BT146" s="787">
        <v>0</v>
      </c>
      <c r="BU146" s="787">
        <v>0</v>
      </c>
      <c r="BV146" s="787">
        <v>0</v>
      </c>
      <c r="BW146" s="787">
        <v>0</v>
      </c>
      <c r="BX146" s="787">
        <v>4050</v>
      </c>
      <c r="BY146" s="787">
        <v>0</v>
      </c>
      <c r="BZ146" s="787">
        <v>4050</v>
      </c>
      <c r="CA146" s="787">
        <v>0</v>
      </c>
      <c r="CB146" s="787">
        <v>9057.33</v>
      </c>
      <c r="CC146" s="787">
        <v>9057.33</v>
      </c>
      <c r="CD146" s="787">
        <v>0</v>
      </c>
      <c r="CE146" s="787">
        <v>0</v>
      </c>
      <c r="CF146" s="787">
        <v>0</v>
      </c>
      <c r="CG146" s="787">
        <v>0</v>
      </c>
      <c r="CH146" s="787">
        <v>0</v>
      </c>
      <c r="CI146" s="787">
        <v>0</v>
      </c>
      <c r="CJ146" s="787">
        <v>0</v>
      </c>
      <c r="CK146" s="787">
        <v>0</v>
      </c>
      <c r="CL146" s="787">
        <v>0</v>
      </c>
      <c r="CM146" s="787">
        <v>240818.88890065276</v>
      </c>
      <c r="CN146" s="787">
        <v>0</v>
      </c>
      <c r="CO146" s="787">
        <v>0</v>
      </c>
      <c r="CP146" s="787">
        <v>9057.33</v>
      </c>
      <c r="CQ146" s="787">
        <v>0</v>
      </c>
      <c r="CR146" s="787">
        <v>249876.21890065275</v>
      </c>
      <c r="CS146" s="787">
        <v>468527.27</v>
      </c>
      <c r="CT146" s="787">
        <v>0</v>
      </c>
      <c r="CU146" s="787">
        <v>0</v>
      </c>
      <c r="CV146" s="787">
        <v>468527.27</v>
      </c>
      <c r="CW146" s="787">
        <v>0</v>
      </c>
      <c r="CX146" s="787">
        <v>4982.2299999999996</v>
      </c>
      <c r="CY146" s="787">
        <v>5025.07</v>
      </c>
      <c r="CZ146" s="787">
        <v>0</v>
      </c>
      <c r="DA146" s="787">
        <v>0</v>
      </c>
      <c r="DB146" s="787">
        <v>478534.57</v>
      </c>
      <c r="DC146" s="787">
        <v>0</v>
      </c>
      <c r="DD146" s="787">
        <v>0</v>
      </c>
      <c r="DE146" s="787">
        <v>0</v>
      </c>
      <c r="DF146" s="787">
        <v>0</v>
      </c>
      <c r="DG146" s="787"/>
      <c r="DH146" s="787"/>
      <c r="DI146" s="787"/>
      <c r="DJ146" s="787">
        <v>0</v>
      </c>
      <c r="DK146" s="787">
        <v>0</v>
      </c>
      <c r="DL146" s="787">
        <v>0</v>
      </c>
      <c r="DM146" s="787">
        <v>0</v>
      </c>
      <c r="DN146" s="787">
        <v>0</v>
      </c>
      <c r="DO146" s="787">
        <v>0</v>
      </c>
      <c r="DP146" s="787">
        <v>-30835.86</v>
      </c>
      <c r="DQ146" s="787">
        <v>-40662.54</v>
      </c>
      <c r="DR146" s="787">
        <v>0</v>
      </c>
      <c r="DS146" s="787">
        <v>0</v>
      </c>
      <c r="DT146" s="787">
        <v>-71498.399999999994</v>
      </c>
      <c r="DU146" s="787">
        <v>0</v>
      </c>
      <c r="DV146" s="787">
        <v>0</v>
      </c>
      <c r="DW146" s="787">
        <v>0</v>
      </c>
      <c r="DX146" s="787">
        <v>0</v>
      </c>
      <c r="DY146" s="787">
        <v>0</v>
      </c>
      <c r="DZ146" s="787">
        <v>-157160.39000000001</v>
      </c>
      <c r="EA146" s="787">
        <v>0.43890065271989442</v>
      </c>
      <c r="EE146">
        <f>_xlfn.XLOOKUP(C146,'[1]Cfwd Analysis'!$C:$C,'[1]Cfwd Analysis'!$I:$I,0,0)</f>
        <v>240818.88890065276</v>
      </c>
      <c r="EF146" s="788">
        <f t="shared" si="2"/>
        <v>0</v>
      </c>
    </row>
    <row r="147" spans="1:136" ht="15.6" hidden="1">
      <c r="A147" s="782" t="s">
        <v>1441</v>
      </c>
      <c r="B147" s="782" t="s">
        <v>780</v>
      </c>
      <c r="C147" s="783">
        <v>3367</v>
      </c>
      <c r="D147" s="784" t="s">
        <v>781</v>
      </c>
      <c r="E147" s="785" t="s">
        <v>521</v>
      </c>
      <c r="F147" s="786">
        <v>46094</v>
      </c>
      <c r="G147" s="785" t="s">
        <v>5</v>
      </c>
      <c r="H147" s="785" t="s">
        <v>792</v>
      </c>
      <c r="I147" s="787">
        <v>1412557.9450326143</v>
      </c>
      <c r="J147" s="787">
        <v>0</v>
      </c>
      <c r="K147" s="787">
        <v>42204.123333333337</v>
      </c>
      <c r="L147" s="787">
        <v>0</v>
      </c>
      <c r="M147" s="787">
        <v>148070</v>
      </c>
      <c r="N147" s="787">
        <v>40733.93</v>
      </c>
      <c r="O147" s="787">
        <v>0</v>
      </c>
      <c r="P147" s="787">
        <v>0</v>
      </c>
      <c r="Q147" s="787">
        <v>4294.4011100000253</v>
      </c>
      <c r="R147" s="787">
        <v>2229.6999999999998</v>
      </c>
      <c r="S147" s="787">
        <v>0</v>
      </c>
      <c r="T147" s="787">
        <v>0</v>
      </c>
      <c r="U147" s="787">
        <v>40897.72</v>
      </c>
      <c r="V147" s="787">
        <v>36128.79</v>
      </c>
      <c r="W147" s="787">
        <v>0</v>
      </c>
      <c r="X147" s="787">
        <v>1727116.6094759475</v>
      </c>
      <c r="Y147" s="787">
        <v>852626.90999999992</v>
      </c>
      <c r="Z147" s="787">
        <v>0</v>
      </c>
      <c r="AA147" s="787">
        <v>232904.08</v>
      </c>
      <c r="AB147" s="787">
        <v>43653.97</v>
      </c>
      <c r="AC147" s="787">
        <v>116005.78</v>
      </c>
      <c r="AD147" s="787">
        <v>0</v>
      </c>
      <c r="AE147" s="787">
        <v>39095.79</v>
      </c>
      <c r="AF147" s="787">
        <v>1905.8</v>
      </c>
      <c r="AG147" s="787">
        <v>10027.1</v>
      </c>
      <c r="AH147" s="787">
        <v>0</v>
      </c>
      <c r="AI147" s="787">
        <v>0</v>
      </c>
      <c r="AJ147" s="787">
        <v>9882.26</v>
      </c>
      <c r="AK147" s="787">
        <v>2530</v>
      </c>
      <c r="AL147" s="787">
        <v>1507.64</v>
      </c>
      <c r="AM147" s="787">
        <v>8719.23</v>
      </c>
      <c r="AN147" s="787">
        <v>23780.6</v>
      </c>
      <c r="AO147" s="787">
        <v>3141.8199999999993</v>
      </c>
      <c r="AP147" s="787">
        <v>11478.88</v>
      </c>
      <c r="AQ147" s="787">
        <v>45543.73</v>
      </c>
      <c r="AR147" s="787">
        <v>0</v>
      </c>
      <c r="AS147" s="787">
        <v>0</v>
      </c>
      <c r="AT147" s="787">
        <v>80</v>
      </c>
      <c r="AU147" s="787">
        <v>0</v>
      </c>
      <c r="AV147" s="787">
        <v>0</v>
      </c>
      <c r="AW147" s="787">
        <v>6959.93</v>
      </c>
      <c r="AX147" s="787">
        <v>0</v>
      </c>
      <c r="AY147" s="787">
        <v>0</v>
      </c>
      <c r="AZ147" s="787">
        <v>21589.82</v>
      </c>
      <c r="BA147" s="787">
        <v>9631.27</v>
      </c>
      <c r="BB147" s="787">
        <v>1650</v>
      </c>
      <c r="BC147" s="787">
        <v>119988.5</v>
      </c>
      <c r="BD147" s="787">
        <v>6196</v>
      </c>
      <c r="BE147" s="787">
        <v>5773.1200000000008</v>
      </c>
      <c r="BF147" s="787">
        <v>96817.959999999992</v>
      </c>
      <c r="BG147" s="787">
        <v>0</v>
      </c>
      <c r="BH147" s="787">
        <v>0</v>
      </c>
      <c r="BI147" s="787">
        <v>3927</v>
      </c>
      <c r="BJ147" s="787">
        <v>1675417.1900000002</v>
      </c>
      <c r="BK147" s="787">
        <v>35570.260000001297</v>
      </c>
      <c r="BL147" s="787">
        <v>51699.419475947274</v>
      </c>
      <c r="BM147" s="787">
        <v>87269.679475948564</v>
      </c>
      <c r="BN147" s="787">
        <v>11246</v>
      </c>
      <c r="BO147" s="787">
        <v>0</v>
      </c>
      <c r="BP147" s="787">
        <v>3927</v>
      </c>
      <c r="BQ147" s="787">
        <v>15173</v>
      </c>
      <c r="BR147" s="787">
        <v>0</v>
      </c>
      <c r="BS147" s="787">
        <v>15173</v>
      </c>
      <c r="BT147" s="787">
        <v>0</v>
      </c>
      <c r="BU147" s="787">
        <v>0</v>
      </c>
      <c r="BV147" s="787">
        <v>0</v>
      </c>
      <c r="BW147" s="787">
        <v>0</v>
      </c>
      <c r="BX147" s="787">
        <v>0</v>
      </c>
      <c r="BY147" s="787">
        <v>0</v>
      </c>
      <c r="BZ147" s="787">
        <v>15173</v>
      </c>
      <c r="CA147" s="787">
        <v>0</v>
      </c>
      <c r="CB147" s="787">
        <v>0</v>
      </c>
      <c r="CC147" s="787">
        <v>0</v>
      </c>
      <c r="CD147" s="787">
        <v>0</v>
      </c>
      <c r="CE147" s="787">
        <v>0</v>
      </c>
      <c r="CF147" s="787">
        <v>0</v>
      </c>
      <c r="CG147" s="787">
        <v>0</v>
      </c>
      <c r="CH147" s="787">
        <v>0</v>
      </c>
      <c r="CI147" s="787">
        <v>0</v>
      </c>
      <c r="CJ147" s="787">
        <v>0</v>
      </c>
      <c r="CK147" s="787">
        <v>0</v>
      </c>
      <c r="CL147" s="787">
        <v>0</v>
      </c>
      <c r="CM147" s="787">
        <v>87269.679475948564</v>
      </c>
      <c r="CN147" s="787">
        <v>0</v>
      </c>
      <c r="CO147" s="787">
        <v>0</v>
      </c>
      <c r="CP147" s="787">
        <v>0</v>
      </c>
      <c r="CQ147" s="787">
        <v>0</v>
      </c>
      <c r="CR147" s="787">
        <v>87269.679475948564</v>
      </c>
      <c r="CS147" s="787">
        <v>248314.84</v>
      </c>
      <c r="CT147" s="787">
        <v>24264.95</v>
      </c>
      <c r="CU147" s="787">
        <v>1296.6300000000001</v>
      </c>
      <c r="CV147" s="787">
        <v>225346.52</v>
      </c>
      <c r="CW147" s="787">
        <v>0</v>
      </c>
      <c r="CX147" s="787">
        <v>4179.95</v>
      </c>
      <c r="CY147" s="787">
        <v>1168.9000000000001</v>
      </c>
      <c r="CZ147" s="787">
        <v>-1096.7400000000002</v>
      </c>
      <c r="DA147" s="787">
        <v>0</v>
      </c>
      <c r="DB147" s="787">
        <v>229598.63</v>
      </c>
      <c r="DC147" s="787">
        <v>0</v>
      </c>
      <c r="DD147" s="787">
        <v>0</v>
      </c>
      <c r="DE147" s="787">
        <v>0</v>
      </c>
      <c r="DF147" s="787">
        <v>0</v>
      </c>
      <c r="DG147" s="787"/>
      <c r="DH147" s="787"/>
      <c r="DI147" s="787"/>
      <c r="DJ147" s="787">
        <v>0</v>
      </c>
      <c r="DK147" s="787">
        <v>0</v>
      </c>
      <c r="DL147" s="787">
        <v>0</v>
      </c>
      <c r="DM147" s="787">
        <v>0</v>
      </c>
      <c r="DN147" s="787">
        <v>0</v>
      </c>
      <c r="DO147" s="787">
        <v>0</v>
      </c>
      <c r="DP147" s="787">
        <v>-112981.42</v>
      </c>
      <c r="DQ147" s="787">
        <v>-25290.87</v>
      </c>
      <c r="DR147" s="787">
        <v>0</v>
      </c>
      <c r="DS147" s="787">
        <v>0</v>
      </c>
      <c r="DT147" s="787">
        <v>-138272.29</v>
      </c>
      <c r="DU147" s="787">
        <v>0</v>
      </c>
      <c r="DV147" s="787">
        <v>0</v>
      </c>
      <c r="DW147" s="787">
        <v>0</v>
      </c>
      <c r="DX147" s="787">
        <v>-4056.44</v>
      </c>
      <c r="DY147" s="787">
        <v>0</v>
      </c>
      <c r="DZ147" s="787">
        <v>0</v>
      </c>
      <c r="EA147" s="787">
        <v>-0.22052405143040232</v>
      </c>
      <c r="EE147">
        <f>_xlfn.XLOOKUP(C147,'[1]Cfwd Analysis'!$C:$C,'[1]Cfwd Analysis'!$I:$I,0,0)</f>
        <v>87269.679475948564</v>
      </c>
      <c r="EF147" s="788">
        <f t="shared" si="2"/>
        <v>0</v>
      </c>
    </row>
    <row r="148" spans="1:136" ht="15.6" hidden="1">
      <c r="A148" s="782" t="s">
        <v>1442</v>
      </c>
      <c r="B148" s="782" t="s">
        <v>782</v>
      </c>
      <c r="C148" s="783">
        <v>3010</v>
      </c>
      <c r="D148" s="784" t="s">
        <v>783</v>
      </c>
      <c r="E148" s="785" t="s">
        <v>521</v>
      </c>
      <c r="F148" s="786">
        <v>0</v>
      </c>
      <c r="G148" s="785" t="s">
        <v>5</v>
      </c>
      <c r="H148" s="785" t="s">
        <v>794</v>
      </c>
      <c r="I148" s="787">
        <v>2658314.0306348447</v>
      </c>
      <c r="J148" s="787">
        <v>0</v>
      </c>
      <c r="K148" s="787">
        <v>188087.33666666664</v>
      </c>
      <c r="L148" s="787">
        <v>0</v>
      </c>
      <c r="M148" s="787">
        <v>293945</v>
      </c>
      <c r="N148" s="787">
        <v>69211.929999999993</v>
      </c>
      <c r="O148" s="787">
        <v>3656</v>
      </c>
      <c r="P148" s="787">
        <v>0</v>
      </c>
      <c r="Q148" s="787">
        <v>27838.200374999971</v>
      </c>
      <c r="R148" s="787">
        <v>24043.1</v>
      </c>
      <c r="S148" s="787">
        <v>0</v>
      </c>
      <c r="T148" s="787">
        <v>0</v>
      </c>
      <c r="U148" s="787">
        <v>0</v>
      </c>
      <c r="V148" s="787">
        <v>0</v>
      </c>
      <c r="W148" s="787">
        <v>0</v>
      </c>
      <c r="X148" s="787">
        <v>3265095.5976765114</v>
      </c>
      <c r="Y148" s="787">
        <v>1463571</v>
      </c>
      <c r="Z148" s="787">
        <v>0</v>
      </c>
      <c r="AA148" s="787">
        <v>663541</v>
      </c>
      <c r="AB148" s="787">
        <v>0</v>
      </c>
      <c r="AC148" s="787">
        <v>187085</v>
      </c>
      <c r="AD148" s="787">
        <v>0</v>
      </c>
      <c r="AE148" s="787">
        <v>77776</v>
      </c>
      <c r="AF148" s="787">
        <v>20116</v>
      </c>
      <c r="AG148" s="787">
        <v>7319</v>
      </c>
      <c r="AH148" s="787">
        <v>0</v>
      </c>
      <c r="AI148" s="787">
        <v>0</v>
      </c>
      <c r="AJ148" s="787">
        <v>33968</v>
      </c>
      <c r="AK148" s="787">
        <v>96</v>
      </c>
      <c r="AL148" s="787">
        <v>325</v>
      </c>
      <c r="AM148" s="787">
        <v>39483.440000000002</v>
      </c>
      <c r="AN148" s="787">
        <v>13746</v>
      </c>
      <c r="AO148" s="787">
        <v>15367.06</v>
      </c>
      <c r="AP148" s="787">
        <v>28002</v>
      </c>
      <c r="AQ148" s="787">
        <v>64251.519999999997</v>
      </c>
      <c r="AR148" s="787">
        <v>0</v>
      </c>
      <c r="AS148" s="787">
        <v>0</v>
      </c>
      <c r="AT148" s="787">
        <v>25268</v>
      </c>
      <c r="AU148" s="787">
        <v>0</v>
      </c>
      <c r="AV148" s="787">
        <v>0</v>
      </c>
      <c r="AW148" s="787">
        <v>42</v>
      </c>
      <c r="AX148" s="787">
        <v>900</v>
      </c>
      <c r="AY148" s="787">
        <v>0</v>
      </c>
      <c r="AZ148" s="787">
        <v>24583.41</v>
      </c>
      <c r="BA148" s="787">
        <v>9471</v>
      </c>
      <c r="BB148" s="787">
        <v>3460</v>
      </c>
      <c r="BC148" s="787">
        <v>168364</v>
      </c>
      <c r="BD148" s="787">
        <v>204160</v>
      </c>
      <c r="BE148" s="787">
        <v>47552.6</v>
      </c>
      <c r="BF148" s="787">
        <v>248250</v>
      </c>
      <c r="BG148" s="787">
        <v>0</v>
      </c>
      <c r="BH148" s="787">
        <v>0</v>
      </c>
      <c r="BI148" s="787">
        <v>0</v>
      </c>
      <c r="BJ148" s="787">
        <v>3346698.0300000003</v>
      </c>
      <c r="BK148" s="787">
        <v>540387.24999999884</v>
      </c>
      <c r="BL148" s="787">
        <v>-81602.432323488872</v>
      </c>
      <c r="BM148" s="787">
        <v>458784.81767650996</v>
      </c>
      <c r="BN148" s="787">
        <v>8635</v>
      </c>
      <c r="BO148" s="787">
        <v>0</v>
      </c>
      <c r="BP148" s="787">
        <v>0</v>
      </c>
      <c r="BQ148" s="787">
        <v>8635</v>
      </c>
      <c r="BR148" s="787">
        <v>0</v>
      </c>
      <c r="BS148" s="787">
        <v>0</v>
      </c>
      <c r="BT148" s="787">
        <v>0</v>
      </c>
      <c r="BU148" s="787">
        <v>0</v>
      </c>
      <c r="BV148" s="787">
        <v>0</v>
      </c>
      <c r="BW148" s="787">
        <v>0</v>
      </c>
      <c r="BX148" s="787">
        <v>0</v>
      </c>
      <c r="BY148" s="787">
        <v>0</v>
      </c>
      <c r="BZ148" s="787">
        <v>0</v>
      </c>
      <c r="CA148" s="787">
        <v>8702.5</v>
      </c>
      <c r="CB148" s="787">
        <v>8635</v>
      </c>
      <c r="CC148" s="787">
        <v>17337.5</v>
      </c>
      <c r="CD148" s="787">
        <v>0</v>
      </c>
      <c r="CE148" s="787">
        <v>0</v>
      </c>
      <c r="CF148" s="787">
        <v>0</v>
      </c>
      <c r="CG148" s="787">
        <v>0</v>
      </c>
      <c r="CH148" s="787">
        <v>0</v>
      </c>
      <c r="CI148" s="787">
        <v>0</v>
      </c>
      <c r="CJ148" s="787">
        <v>0</v>
      </c>
      <c r="CK148" s="787">
        <v>0</v>
      </c>
      <c r="CL148" s="787">
        <v>0</v>
      </c>
      <c r="CM148" s="787">
        <v>458784.81767650996</v>
      </c>
      <c r="CN148" s="787">
        <v>0</v>
      </c>
      <c r="CO148" s="787">
        <v>17337.5</v>
      </c>
      <c r="CP148" s="787">
        <v>0</v>
      </c>
      <c r="CQ148" s="787">
        <v>0</v>
      </c>
      <c r="CR148" s="787">
        <v>476122.31767650996</v>
      </c>
      <c r="CS148" s="787">
        <v>785517.9</v>
      </c>
      <c r="CT148" s="787">
        <v>0</v>
      </c>
      <c r="CU148" s="787">
        <v>0</v>
      </c>
      <c r="CV148" s="787">
        <v>785517.9</v>
      </c>
      <c r="CW148" s="787">
        <v>0</v>
      </c>
      <c r="CX148" s="787">
        <v>14360.36</v>
      </c>
      <c r="CY148" s="787">
        <v>3751.63</v>
      </c>
      <c r="CZ148" s="787">
        <v>5018</v>
      </c>
      <c r="DA148" s="787">
        <v>-3675</v>
      </c>
      <c r="DB148" s="787">
        <v>804972.89</v>
      </c>
      <c r="DC148" s="787">
        <v>0</v>
      </c>
      <c r="DD148" s="787">
        <v>0</v>
      </c>
      <c r="DE148" s="787">
        <v>0</v>
      </c>
      <c r="DF148" s="787">
        <v>0</v>
      </c>
      <c r="DG148" s="787"/>
      <c r="DH148" s="787"/>
      <c r="DI148" s="787"/>
      <c r="DJ148" s="787">
        <v>0</v>
      </c>
      <c r="DK148" s="787">
        <v>0</v>
      </c>
      <c r="DL148" s="787">
        <v>0</v>
      </c>
      <c r="DM148" s="787">
        <v>0</v>
      </c>
      <c r="DN148" s="787">
        <v>0</v>
      </c>
      <c r="DO148" s="787">
        <v>0</v>
      </c>
      <c r="DP148" s="787">
        <v>-268518.78000000003</v>
      </c>
      <c r="DQ148" s="787">
        <v>-17514.66</v>
      </c>
      <c r="DR148" s="787">
        <v>0</v>
      </c>
      <c r="DS148" s="787">
        <v>0</v>
      </c>
      <c r="DT148" s="787">
        <v>-286033.44</v>
      </c>
      <c r="DU148" s="787">
        <v>0</v>
      </c>
      <c r="DV148" s="787">
        <v>0</v>
      </c>
      <c r="DW148" s="787">
        <v>0</v>
      </c>
      <c r="DX148" s="787">
        <v>0</v>
      </c>
      <c r="DY148" s="787">
        <v>0</v>
      </c>
      <c r="DZ148" s="787">
        <v>-42817</v>
      </c>
      <c r="EA148" s="787">
        <v>-0.13232349004829302</v>
      </c>
      <c r="EE148">
        <f>_xlfn.XLOOKUP(C148,'[1]Cfwd Analysis'!$C:$C,'[1]Cfwd Analysis'!$I:$I,0,0)</f>
        <v>458784.81767650996</v>
      </c>
      <c r="EF148" s="788">
        <f t="shared" si="2"/>
        <v>0</v>
      </c>
    </row>
    <row r="149" spans="1:136" ht="15.6" hidden="1">
      <c r="A149" s="782" t="s">
        <v>1443</v>
      </c>
      <c r="B149" s="782" t="s">
        <v>784</v>
      </c>
      <c r="C149" s="783">
        <v>4625</v>
      </c>
      <c r="D149" s="784" t="s">
        <v>785</v>
      </c>
      <c r="E149" s="785" t="s">
        <v>521</v>
      </c>
      <c r="F149" s="786">
        <v>46094</v>
      </c>
      <c r="G149" s="785" t="s">
        <v>5</v>
      </c>
      <c r="H149" s="785" t="s">
        <v>796</v>
      </c>
      <c r="I149" s="787">
        <v>5331904.3600000003</v>
      </c>
      <c r="J149" s="787">
        <v>0</v>
      </c>
      <c r="K149" s="787">
        <v>104506.2</v>
      </c>
      <c r="L149" s="787">
        <v>0</v>
      </c>
      <c r="M149" s="787">
        <v>393000</v>
      </c>
      <c r="N149" s="787">
        <v>9199.5</v>
      </c>
      <c r="O149" s="787">
        <v>24165</v>
      </c>
      <c r="P149" s="787">
        <v>0</v>
      </c>
      <c r="Q149" s="787">
        <v>230465.05000000002</v>
      </c>
      <c r="R149" s="787">
        <v>0</v>
      </c>
      <c r="S149" s="787">
        <v>0</v>
      </c>
      <c r="T149" s="787">
        <v>0</v>
      </c>
      <c r="U149" s="787">
        <v>23165.920000000002</v>
      </c>
      <c r="V149" s="787">
        <v>0</v>
      </c>
      <c r="W149" s="787">
        <v>7301</v>
      </c>
      <c r="X149" s="787">
        <v>6123707.0300000003</v>
      </c>
      <c r="Y149" s="787">
        <v>3450455.5700000003</v>
      </c>
      <c r="Z149" s="787">
        <v>0</v>
      </c>
      <c r="AA149" s="787">
        <v>707743.3899999999</v>
      </c>
      <c r="AB149" s="787">
        <v>244358.11000000002</v>
      </c>
      <c r="AC149" s="787">
        <v>546903.68999999994</v>
      </c>
      <c r="AD149" s="787">
        <v>0</v>
      </c>
      <c r="AE149" s="787">
        <v>11083.74</v>
      </c>
      <c r="AF149" s="787">
        <v>28667.63</v>
      </c>
      <c r="AG149" s="787">
        <v>24644.2</v>
      </c>
      <c r="AH149" s="787">
        <v>0</v>
      </c>
      <c r="AI149" s="787">
        <v>0</v>
      </c>
      <c r="AJ149" s="787">
        <v>66394.350000000006</v>
      </c>
      <c r="AK149" s="787">
        <v>4410</v>
      </c>
      <c r="AL149" s="787">
        <v>2848.03</v>
      </c>
      <c r="AM149" s="787">
        <v>5928.92</v>
      </c>
      <c r="AN149" s="787">
        <v>76735.25</v>
      </c>
      <c r="AO149" s="787">
        <v>13885.92</v>
      </c>
      <c r="AP149" s="787">
        <v>34116.350000000006</v>
      </c>
      <c r="AQ149" s="787">
        <v>119649.87999999999</v>
      </c>
      <c r="AR149" s="787">
        <v>6850</v>
      </c>
      <c r="AS149" s="787">
        <v>389.34000000000003</v>
      </c>
      <c r="AT149" s="787">
        <v>68210.02</v>
      </c>
      <c r="AU149" s="787">
        <v>51753.520000000004</v>
      </c>
      <c r="AV149" s="787">
        <v>26969.279999999999</v>
      </c>
      <c r="AW149" s="787">
        <v>14943.970000000001</v>
      </c>
      <c r="AX149" s="787">
        <v>11463.82</v>
      </c>
      <c r="AY149" s="787">
        <v>86925.69</v>
      </c>
      <c r="AZ149" s="787">
        <v>30721.82</v>
      </c>
      <c r="BA149" s="787">
        <v>20922.419999999998</v>
      </c>
      <c r="BB149" s="787">
        <v>922.5</v>
      </c>
      <c r="BC149" s="787">
        <v>187416.23</v>
      </c>
      <c r="BD149" s="787">
        <v>95801.03</v>
      </c>
      <c r="BE149" s="787">
        <v>111213.67000000001</v>
      </c>
      <c r="BF149" s="787">
        <v>129146.95</v>
      </c>
      <c r="BG149" s="787">
        <v>0</v>
      </c>
      <c r="BH149" s="787">
        <v>0</v>
      </c>
      <c r="BI149" s="787">
        <v>2150.6000000000004</v>
      </c>
      <c r="BJ149" s="787">
        <v>6183625.8899999997</v>
      </c>
      <c r="BK149" s="787">
        <v>411888.28999999957</v>
      </c>
      <c r="BL149" s="787">
        <v>-59918.859999999404</v>
      </c>
      <c r="BM149" s="787">
        <v>351969.43000000017</v>
      </c>
      <c r="BN149" s="787">
        <v>28108.47</v>
      </c>
      <c r="BO149" s="787">
        <v>18000</v>
      </c>
      <c r="BP149" s="787">
        <v>2150.6000000000004</v>
      </c>
      <c r="BQ149" s="787">
        <v>48259.07</v>
      </c>
      <c r="BR149" s="787">
        <v>0</v>
      </c>
      <c r="BS149" s="787">
        <v>15851.84</v>
      </c>
      <c r="BT149" s="787">
        <v>0</v>
      </c>
      <c r="BU149" s="787">
        <v>0</v>
      </c>
      <c r="BV149" s="787">
        <v>0</v>
      </c>
      <c r="BW149" s="787">
        <v>0</v>
      </c>
      <c r="BX149" s="787">
        <v>0</v>
      </c>
      <c r="BY149" s="787">
        <v>0</v>
      </c>
      <c r="BZ149" s="787">
        <v>15851.84</v>
      </c>
      <c r="CA149" s="787">
        <v>0</v>
      </c>
      <c r="CB149" s="787">
        <v>32407.23</v>
      </c>
      <c r="CC149" s="787">
        <v>32407.23</v>
      </c>
      <c r="CD149" s="787">
        <v>0</v>
      </c>
      <c r="CE149" s="787">
        <v>0</v>
      </c>
      <c r="CF149" s="787">
        <v>0</v>
      </c>
      <c r="CG149" s="787">
        <v>0</v>
      </c>
      <c r="CH149" s="787">
        <v>0</v>
      </c>
      <c r="CI149" s="787">
        <v>0</v>
      </c>
      <c r="CJ149" s="787">
        <v>0</v>
      </c>
      <c r="CK149" s="787">
        <v>0</v>
      </c>
      <c r="CL149" s="787">
        <v>0</v>
      </c>
      <c r="CM149" s="787">
        <v>351969.43000000017</v>
      </c>
      <c r="CN149" s="787">
        <v>0</v>
      </c>
      <c r="CO149" s="787">
        <v>16965</v>
      </c>
      <c r="CP149" s="787">
        <v>15442.23</v>
      </c>
      <c r="CQ149" s="787">
        <v>0</v>
      </c>
      <c r="CR149" s="787">
        <v>384376.66000000015</v>
      </c>
      <c r="CS149" s="787">
        <v>796935.93</v>
      </c>
      <c r="CT149" s="787">
        <v>0</v>
      </c>
      <c r="CU149" s="787">
        <v>0</v>
      </c>
      <c r="CV149" s="787">
        <v>796935.93</v>
      </c>
      <c r="CW149" s="787">
        <v>0</v>
      </c>
      <c r="CX149" s="787">
        <v>19456.09</v>
      </c>
      <c r="CY149" s="787">
        <v>8576.32</v>
      </c>
      <c r="CZ149" s="787">
        <v>0</v>
      </c>
      <c r="DA149" s="787">
        <v>0</v>
      </c>
      <c r="DB149" s="787">
        <v>824968.34</v>
      </c>
      <c r="DC149" s="787">
        <v>0</v>
      </c>
      <c r="DD149" s="787">
        <v>0</v>
      </c>
      <c r="DE149" s="787">
        <v>0</v>
      </c>
      <c r="DF149" s="787">
        <v>0</v>
      </c>
      <c r="DG149" s="787"/>
      <c r="DH149" s="787"/>
      <c r="DI149" s="787"/>
      <c r="DJ149" s="787">
        <v>0</v>
      </c>
      <c r="DK149" s="787">
        <v>0</v>
      </c>
      <c r="DL149" s="787">
        <v>375</v>
      </c>
      <c r="DM149" s="787">
        <v>0</v>
      </c>
      <c r="DN149" s="787">
        <v>0</v>
      </c>
      <c r="DO149" s="787">
        <v>0</v>
      </c>
      <c r="DP149" s="787">
        <v>-467109.46</v>
      </c>
      <c r="DQ149" s="787">
        <v>0</v>
      </c>
      <c r="DR149" s="787">
        <v>0</v>
      </c>
      <c r="DS149" s="787">
        <v>0</v>
      </c>
      <c r="DT149" s="787">
        <v>-466734.46</v>
      </c>
      <c r="DU149" s="787">
        <v>1368.66</v>
      </c>
      <c r="DV149" s="787">
        <v>24774.11</v>
      </c>
      <c r="DW149" s="787">
        <v>0</v>
      </c>
      <c r="DX149" s="787">
        <v>0</v>
      </c>
      <c r="DY149" s="787">
        <v>0</v>
      </c>
      <c r="DZ149" s="787">
        <v>0</v>
      </c>
      <c r="EA149" s="787">
        <v>1.0000000242143869E-2</v>
      </c>
      <c r="EE149">
        <f>_xlfn.XLOOKUP(C149,'[1]Cfwd Analysis'!$C:$C,'[1]Cfwd Analysis'!$I:$I,0,0)</f>
        <v>351969.43000000017</v>
      </c>
      <c r="EF149" s="788">
        <f t="shared" si="2"/>
        <v>0</v>
      </c>
    </row>
    <row r="150" spans="1:136" ht="15.6" hidden="1">
      <c r="A150" s="782" t="s">
        <v>1444</v>
      </c>
      <c r="B150" s="782" t="s">
        <v>786</v>
      </c>
      <c r="C150" s="783">
        <v>3377</v>
      </c>
      <c r="D150" s="784" t="s">
        <v>787</v>
      </c>
      <c r="E150" s="785" t="s">
        <v>521</v>
      </c>
      <c r="F150" s="786">
        <v>46094</v>
      </c>
      <c r="G150" s="785" t="s">
        <v>5</v>
      </c>
      <c r="H150" s="785" t="s">
        <v>798</v>
      </c>
      <c r="I150" s="787">
        <v>1410244.4078671401</v>
      </c>
      <c r="J150" s="787">
        <v>0</v>
      </c>
      <c r="K150" s="787">
        <v>62078.559999999998</v>
      </c>
      <c r="L150" s="787">
        <v>0</v>
      </c>
      <c r="M150" s="787">
        <v>192005</v>
      </c>
      <c r="N150" s="787">
        <v>28457.64</v>
      </c>
      <c r="O150" s="787">
        <v>0</v>
      </c>
      <c r="P150" s="787">
        <v>0</v>
      </c>
      <c r="Q150" s="787">
        <v>4384.9399999999996</v>
      </c>
      <c r="R150" s="787">
        <v>4308.54</v>
      </c>
      <c r="S150" s="787">
        <v>0</v>
      </c>
      <c r="T150" s="787">
        <v>1824</v>
      </c>
      <c r="U150" s="787">
        <v>4529</v>
      </c>
      <c r="V150" s="787">
        <v>26134.5</v>
      </c>
      <c r="W150" s="787">
        <v>0</v>
      </c>
      <c r="X150" s="787">
        <v>1733966.5878671401</v>
      </c>
      <c r="Y150" s="787">
        <v>796620.6</v>
      </c>
      <c r="Z150" s="787">
        <v>0</v>
      </c>
      <c r="AA150" s="787">
        <v>258899.91</v>
      </c>
      <c r="AB150" s="787">
        <v>55705.54</v>
      </c>
      <c r="AC150" s="787">
        <v>114616.47</v>
      </c>
      <c r="AD150" s="787">
        <v>0</v>
      </c>
      <c r="AE150" s="787">
        <v>40548.1</v>
      </c>
      <c r="AF150" s="787">
        <v>550</v>
      </c>
      <c r="AG150" s="787">
        <v>270</v>
      </c>
      <c r="AH150" s="787">
        <v>0</v>
      </c>
      <c r="AI150" s="787">
        <v>0</v>
      </c>
      <c r="AJ150" s="787">
        <v>20919.12</v>
      </c>
      <c r="AK150" s="787">
        <v>1220.98</v>
      </c>
      <c r="AL150" s="787">
        <v>5826.75</v>
      </c>
      <c r="AM150" s="787">
        <v>6723.52</v>
      </c>
      <c r="AN150" s="787">
        <v>24324.5</v>
      </c>
      <c r="AO150" s="787">
        <v>7560.7500000000009</v>
      </c>
      <c r="AP150" s="787">
        <v>12932.599999999999</v>
      </c>
      <c r="AQ150" s="787">
        <v>51193.52</v>
      </c>
      <c r="AR150" s="787">
        <v>0</v>
      </c>
      <c r="AS150" s="787">
        <v>0</v>
      </c>
      <c r="AT150" s="787">
        <v>15384.44</v>
      </c>
      <c r="AU150" s="787">
        <v>0</v>
      </c>
      <c r="AV150" s="787">
        <v>0</v>
      </c>
      <c r="AW150" s="787">
        <v>0</v>
      </c>
      <c r="AX150" s="787">
        <v>0</v>
      </c>
      <c r="AY150" s="787">
        <v>0</v>
      </c>
      <c r="AZ150" s="787">
        <v>21105.41</v>
      </c>
      <c r="BA150" s="787">
        <v>5510.36</v>
      </c>
      <c r="BB150" s="787">
        <v>4356</v>
      </c>
      <c r="BC150" s="787">
        <v>97762.91</v>
      </c>
      <c r="BD150" s="787">
        <v>42506.780000000006</v>
      </c>
      <c r="BE150" s="787">
        <v>20122.989999999998</v>
      </c>
      <c r="BF150" s="787">
        <v>106547.86</v>
      </c>
      <c r="BG150" s="787">
        <v>0</v>
      </c>
      <c r="BH150" s="787">
        <v>0</v>
      </c>
      <c r="BI150" s="787">
        <v>0</v>
      </c>
      <c r="BJ150" s="787">
        <v>1711209.1100000003</v>
      </c>
      <c r="BK150" s="787">
        <v>244131.6399999999</v>
      </c>
      <c r="BL150" s="787">
        <v>22757.477867139736</v>
      </c>
      <c r="BM150" s="787">
        <v>266889.11786713963</v>
      </c>
      <c r="BN150" s="787">
        <v>0</v>
      </c>
      <c r="BO150" s="787">
        <v>0</v>
      </c>
      <c r="BP150" s="787">
        <v>0</v>
      </c>
      <c r="BQ150" s="787">
        <v>0</v>
      </c>
      <c r="BR150" s="787">
        <v>0</v>
      </c>
      <c r="BS150" s="787">
        <v>0</v>
      </c>
      <c r="BT150" s="787">
        <v>0</v>
      </c>
      <c r="BU150" s="787">
        <v>0</v>
      </c>
      <c r="BV150" s="787">
        <v>0</v>
      </c>
      <c r="BW150" s="787">
        <v>0</v>
      </c>
      <c r="BX150" s="787">
        <v>0</v>
      </c>
      <c r="BY150" s="787">
        <v>0</v>
      </c>
      <c r="BZ150" s="787">
        <v>0</v>
      </c>
      <c r="CA150" s="787">
        <v>0</v>
      </c>
      <c r="CB150" s="787">
        <v>0</v>
      </c>
      <c r="CC150" s="787">
        <v>0</v>
      </c>
      <c r="CD150" s="787">
        <v>0</v>
      </c>
      <c r="CE150" s="787">
        <v>0</v>
      </c>
      <c r="CF150" s="787">
        <v>0</v>
      </c>
      <c r="CG150" s="787">
        <v>0</v>
      </c>
      <c r="CH150" s="787">
        <v>0</v>
      </c>
      <c r="CI150" s="787">
        <v>0</v>
      </c>
      <c r="CJ150" s="787">
        <v>0</v>
      </c>
      <c r="CK150" s="787">
        <v>0</v>
      </c>
      <c r="CL150" s="787">
        <v>0</v>
      </c>
      <c r="CM150" s="787">
        <v>266889.11786713963</v>
      </c>
      <c r="CN150" s="787">
        <v>0</v>
      </c>
      <c r="CO150" s="787">
        <v>0</v>
      </c>
      <c r="CP150" s="787">
        <v>0</v>
      </c>
      <c r="CQ150" s="787">
        <v>0</v>
      </c>
      <c r="CR150" s="787">
        <v>266889.11786713963</v>
      </c>
      <c r="CS150" s="787">
        <v>445626.06</v>
      </c>
      <c r="CT150" s="787">
        <v>19688.240000000002</v>
      </c>
      <c r="CU150" s="787">
        <v>0</v>
      </c>
      <c r="CV150" s="787">
        <v>425937.82</v>
      </c>
      <c r="CW150" s="787">
        <v>0</v>
      </c>
      <c r="CX150" s="787">
        <v>2827.74</v>
      </c>
      <c r="CY150" s="787">
        <v>1427.35</v>
      </c>
      <c r="CZ150" s="787">
        <v>0</v>
      </c>
      <c r="DA150" s="787">
        <v>0</v>
      </c>
      <c r="DB150" s="787">
        <v>430192.91</v>
      </c>
      <c r="DC150" s="787">
        <v>0</v>
      </c>
      <c r="DD150" s="787">
        <v>0</v>
      </c>
      <c r="DE150" s="787">
        <v>0</v>
      </c>
      <c r="DF150" s="787">
        <v>0</v>
      </c>
      <c r="DG150" s="787"/>
      <c r="DH150" s="787"/>
      <c r="DI150" s="787"/>
      <c r="DJ150" s="787">
        <v>0</v>
      </c>
      <c r="DK150" s="787">
        <v>0</v>
      </c>
      <c r="DL150" s="787">
        <v>0</v>
      </c>
      <c r="DM150" s="787">
        <v>0</v>
      </c>
      <c r="DN150" s="787">
        <v>0</v>
      </c>
      <c r="DO150" s="787">
        <v>0</v>
      </c>
      <c r="DP150" s="787">
        <v>-136625.16</v>
      </c>
      <c r="DQ150" s="787">
        <v>-26678.85</v>
      </c>
      <c r="DR150" s="787">
        <v>0</v>
      </c>
      <c r="DS150" s="787">
        <v>0</v>
      </c>
      <c r="DT150" s="787">
        <v>-163304.01</v>
      </c>
      <c r="DU150" s="787">
        <v>0</v>
      </c>
      <c r="DV150" s="787">
        <v>0</v>
      </c>
      <c r="DW150" s="787">
        <v>0</v>
      </c>
      <c r="DX150" s="787">
        <v>0</v>
      </c>
      <c r="DY150" s="787">
        <v>0</v>
      </c>
      <c r="DZ150" s="787">
        <v>0</v>
      </c>
      <c r="EA150" s="787">
        <v>0.21786713966866955</v>
      </c>
      <c r="EE150">
        <f>_xlfn.XLOOKUP(C150,'[1]Cfwd Analysis'!$C:$C,'[1]Cfwd Analysis'!$I:$I,0,0)</f>
        <v>266889.11786713963</v>
      </c>
      <c r="EF150" s="788">
        <f t="shared" si="2"/>
        <v>0</v>
      </c>
    </row>
    <row r="151" spans="1:136" ht="15.6" hidden="1">
      <c r="A151" s="782" t="s">
        <v>1445</v>
      </c>
      <c r="B151" s="782" t="s">
        <v>788</v>
      </c>
      <c r="C151" s="783">
        <v>3371</v>
      </c>
      <c r="D151" s="784" t="s">
        <v>789</v>
      </c>
      <c r="E151" s="785" t="s">
        <v>521</v>
      </c>
      <c r="F151" s="786">
        <v>46094</v>
      </c>
      <c r="G151" s="785" t="s">
        <v>5</v>
      </c>
      <c r="H151" s="785" t="s">
        <v>800</v>
      </c>
      <c r="I151" s="787">
        <v>1535064.6820762265</v>
      </c>
      <c r="J151" s="787">
        <v>0</v>
      </c>
      <c r="K151" s="787">
        <v>95484.466666666645</v>
      </c>
      <c r="L151" s="787">
        <v>0</v>
      </c>
      <c r="M151" s="787">
        <v>99890</v>
      </c>
      <c r="N151" s="787">
        <v>105138.93</v>
      </c>
      <c r="O151" s="787">
        <v>0</v>
      </c>
      <c r="P151" s="787">
        <v>0</v>
      </c>
      <c r="Q151" s="787">
        <v>90442.64</v>
      </c>
      <c r="R151" s="787">
        <v>27.060000000000002</v>
      </c>
      <c r="S151" s="787">
        <v>0</v>
      </c>
      <c r="T151" s="787">
        <v>0</v>
      </c>
      <c r="U151" s="787">
        <v>772.66000000000008</v>
      </c>
      <c r="V151" s="787">
        <v>0</v>
      </c>
      <c r="W151" s="787">
        <v>0</v>
      </c>
      <c r="X151" s="787">
        <v>1926820.4387428928</v>
      </c>
      <c r="Y151" s="787">
        <v>805358.83</v>
      </c>
      <c r="Z151" s="787">
        <v>0</v>
      </c>
      <c r="AA151" s="787">
        <v>334847.93</v>
      </c>
      <c r="AB151" s="787">
        <v>60462.9</v>
      </c>
      <c r="AC151" s="787">
        <v>110989.78</v>
      </c>
      <c r="AD151" s="787">
        <v>71213.77</v>
      </c>
      <c r="AE151" s="787">
        <v>61569.29</v>
      </c>
      <c r="AF151" s="787">
        <v>5336.29</v>
      </c>
      <c r="AG151" s="787">
        <v>3978.45</v>
      </c>
      <c r="AH151" s="787">
        <v>0</v>
      </c>
      <c r="AI151" s="787">
        <v>0</v>
      </c>
      <c r="AJ151" s="787">
        <v>16181.17</v>
      </c>
      <c r="AK151" s="787">
        <v>6898.48</v>
      </c>
      <c r="AL151" s="787">
        <v>4333.8500000000004</v>
      </c>
      <c r="AM151" s="787">
        <v>3692.78</v>
      </c>
      <c r="AN151" s="787">
        <v>10670.24</v>
      </c>
      <c r="AO151" s="787">
        <v>18761.88</v>
      </c>
      <c r="AP151" s="787">
        <v>7460.87</v>
      </c>
      <c r="AQ151" s="787">
        <v>19776.150000000001</v>
      </c>
      <c r="AR151" s="787">
        <v>0</v>
      </c>
      <c r="AS151" s="787">
        <v>0</v>
      </c>
      <c r="AT151" s="787">
        <v>5533.64</v>
      </c>
      <c r="AU151" s="787">
        <v>0</v>
      </c>
      <c r="AV151" s="787">
        <v>0</v>
      </c>
      <c r="AW151" s="787">
        <v>0</v>
      </c>
      <c r="AX151" s="787">
        <v>0</v>
      </c>
      <c r="AY151" s="787">
        <v>0</v>
      </c>
      <c r="AZ151" s="787">
        <v>89128.79</v>
      </c>
      <c r="BA151" s="787">
        <v>7236</v>
      </c>
      <c r="BB151" s="787">
        <v>0</v>
      </c>
      <c r="BC151" s="787">
        <v>42319.519999999997</v>
      </c>
      <c r="BD151" s="787">
        <v>111124.44</v>
      </c>
      <c r="BE151" s="787">
        <v>35629.57</v>
      </c>
      <c r="BF151" s="787">
        <v>108968.34</v>
      </c>
      <c r="BG151" s="787">
        <v>0</v>
      </c>
      <c r="BH151" s="787">
        <v>0</v>
      </c>
      <c r="BI151" s="787">
        <v>0</v>
      </c>
      <c r="BJ151" s="787">
        <v>1941472.96</v>
      </c>
      <c r="BK151" s="787">
        <v>221346.31000000008</v>
      </c>
      <c r="BL151" s="787">
        <v>-14652.521257107146</v>
      </c>
      <c r="BM151" s="787">
        <v>206693.78874289294</v>
      </c>
      <c r="BN151" s="787">
        <v>0</v>
      </c>
      <c r="BO151" s="787">
        <v>0</v>
      </c>
      <c r="BP151" s="787">
        <v>0</v>
      </c>
      <c r="BQ151" s="787">
        <v>0</v>
      </c>
      <c r="BR151" s="787">
        <v>0</v>
      </c>
      <c r="BS151" s="787">
        <v>0</v>
      </c>
      <c r="BT151" s="787">
        <v>0</v>
      </c>
      <c r="BU151" s="787">
        <v>0</v>
      </c>
      <c r="BV151" s="787">
        <v>0</v>
      </c>
      <c r="BW151" s="787">
        <v>0</v>
      </c>
      <c r="BX151" s="787">
        <v>0</v>
      </c>
      <c r="BY151" s="787">
        <v>0</v>
      </c>
      <c r="BZ151" s="787">
        <v>0</v>
      </c>
      <c r="CA151" s="787">
        <v>0</v>
      </c>
      <c r="CB151" s="787">
        <v>0</v>
      </c>
      <c r="CC151" s="787">
        <v>0</v>
      </c>
      <c r="CD151" s="787">
        <v>0</v>
      </c>
      <c r="CE151" s="787">
        <v>0</v>
      </c>
      <c r="CF151" s="787">
        <v>0</v>
      </c>
      <c r="CG151" s="787">
        <v>0</v>
      </c>
      <c r="CH151" s="787">
        <v>0</v>
      </c>
      <c r="CI151" s="787">
        <v>0</v>
      </c>
      <c r="CJ151" s="787">
        <v>0</v>
      </c>
      <c r="CK151" s="787">
        <v>0</v>
      </c>
      <c r="CL151" s="787">
        <v>0</v>
      </c>
      <c r="CM151" s="787">
        <v>206693.78874289294</v>
      </c>
      <c r="CN151" s="787">
        <v>0</v>
      </c>
      <c r="CO151" s="787">
        <v>0</v>
      </c>
      <c r="CP151" s="787">
        <v>0</v>
      </c>
      <c r="CQ151" s="787">
        <v>0</v>
      </c>
      <c r="CR151" s="787">
        <v>206693.78874289294</v>
      </c>
      <c r="CS151" s="787">
        <v>270888.99</v>
      </c>
      <c r="CT151" s="787">
        <v>2415.9</v>
      </c>
      <c r="CU151" s="787">
        <v>0</v>
      </c>
      <c r="CV151" s="787">
        <v>268473.08999999997</v>
      </c>
      <c r="CW151" s="787">
        <v>0</v>
      </c>
      <c r="CX151" s="787">
        <v>11506.37</v>
      </c>
      <c r="CY151" s="787">
        <v>3064.45</v>
      </c>
      <c r="CZ151" s="787">
        <v>1263.5999999999999</v>
      </c>
      <c r="DA151" s="787">
        <v>2143.25</v>
      </c>
      <c r="DB151" s="787">
        <v>286450.75999999995</v>
      </c>
      <c r="DC151" s="787">
        <v>0</v>
      </c>
      <c r="DD151" s="787">
        <v>0</v>
      </c>
      <c r="DE151" s="787">
        <v>0</v>
      </c>
      <c r="DF151" s="787">
        <v>0</v>
      </c>
      <c r="DG151" s="787"/>
      <c r="DH151" s="787"/>
      <c r="DI151" s="787"/>
      <c r="DJ151" s="787">
        <v>0</v>
      </c>
      <c r="DK151" s="787">
        <v>0</v>
      </c>
      <c r="DL151" s="787">
        <v>774.13</v>
      </c>
      <c r="DM151" s="787">
        <v>0</v>
      </c>
      <c r="DN151" s="787">
        <v>0</v>
      </c>
      <c r="DO151" s="787">
        <v>0</v>
      </c>
      <c r="DP151" s="787">
        <v>0</v>
      </c>
      <c r="DQ151" s="787">
        <v>0</v>
      </c>
      <c r="DR151" s="787">
        <v>0</v>
      </c>
      <c r="DS151" s="787">
        <v>0</v>
      </c>
      <c r="DT151" s="787">
        <v>774.13</v>
      </c>
      <c r="DU151" s="787">
        <v>1065.01</v>
      </c>
      <c r="DV151" s="787">
        <v>61243.17</v>
      </c>
      <c r="DW151" s="787">
        <v>0</v>
      </c>
      <c r="DX151" s="787">
        <v>0</v>
      </c>
      <c r="DY151" s="787">
        <v>0</v>
      </c>
      <c r="DZ151" s="787">
        <v>-142839.45000000001</v>
      </c>
      <c r="EA151" s="787">
        <v>0.16874289300176315</v>
      </c>
      <c r="EE151">
        <f>_xlfn.XLOOKUP(C151,'[1]Cfwd Analysis'!$C:$C,'[1]Cfwd Analysis'!$I:$I,0,0)</f>
        <v>206693.78874289294</v>
      </c>
      <c r="EF151" s="788">
        <f t="shared" si="2"/>
        <v>0</v>
      </c>
    </row>
    <row r="152" spans="1:136" ht="15.6" hidden="1">
      <c r="A152" s="782" t="s">
        <v>1446</v>
      </c>
      <c r="B152" s="782" t="s">
        <v>790</v>
      </c>
      <c r="C152" s="783">
        <v>3307</v>
      </c>
      <c r="D152" s="784" t="s">
        <v>791</v>
      </c>
      <c r="E152" s="785" t="s">
        <v>521</v>
      </c>
      <c r="F152" s="786">
        <v>0</v>
      </c>
      <c r="G152" s="785" t="s">
        <v>5</v>
      </c>
      <c r="H152" s="785" t="s">
        <v>802</v>
      </c>
      <c r="I152" s="787">
        <v>1936863.692483301</v>
      </c>
      <c r="J152" s="787">
        <v>0</v>
      </c>
      <c r="K152" s="787">
        <v>93508</v>
      </c>
      <c r="L152" s="787">
        <v>0</v>
      </c>
      <c r="M152" s="787">
        <v>147455</v>
      </c>
      <c r="N152" s="787">
        <v>18788.93</v>
      </c>
      <c r="O152" s="787">
        <v>0</v>
      </c>
      <c r="P152" s="787">
        <v>0</v>
      </c>
      <c r="Q152" s="787">
        <v>82338.432000000073</v>
      </c>
      <c r="R152" s="787">
        <v>0</v>
      </c>
      <c r="S152" s="787">
        <v>0</v>
      </c>
      <c r="T152" s="787">
        <v>0</v>
      </c>
      <c r="U152" s="787">
        <v>0</v>
      </c>
      <c r="V152" s="787">
        <v>0</v>
      </c>
      <c r="W152" s="787">
        <v>0</v>
      </c>
      <c r="X152" s="787">
        <v>2278954.0544833015</v>
      </c>
      <c r="Y152" s="787">
        <v>0</v>
      </c>
      <c r="Z152" s="787">
        <v>0</v>
      </c>
      <c r="AA152" s="787">
        <v>0</v>
      </c>
      <c r="AB152" s="787">
        <v>0</v>
      </c>
      <c r="AC152" s="787">
        <v>0</v>
      </c>
      <c r="AD152" s="787">
        <v>0</v>
      </c>
      <c r="AE152" s="787">
        <v>0</v>
      </c>
      <c r="AF152" s="787">
        <v>0</v>
      </c>
      <c r="AG152" s="787">
        <v>0</v>
      </c>
      <c r="AH152" s="787">
        <v>0</v>
      </c>
      <c r="AI152" s="787">
        <v>0</v>
      </c>
      <c r="AJ152" s="787">
        <v>0</v>
      </c>
      <c r="AK152" s="787">
        <v>0</v>
      </c>
      <c r="AL152" s="787">
        <v>0</v>
      </c>
      <c r="AM152" s="787">
        <v>0</v>
      </c>
      <c r="AN152" s="787">
        <v>0</v>
      </c>
      <c r="AO152" s="787">
        <v>4398.9799999999987</v>
      </c>
      <c r="AP152" s="787">
        <v>0</v>
      </c>
      <c r="AQ152" s="787">
        <v>2508315.8599999985</v>
      </c>
      <c r="AR152" s="787">
        <v>0</v>
      </c>
      <c r="AS152" s="787">
        <v>0</v>
      </c>
      <c r="AT152" s="787">
        <v>0</v>
      </c>
      <c r="AU152" s="787">
        <v>0</v>
      </c>
      <c r="AV152" s="787">
        <v>0</v>
      </c>
      <c r="AW152" s="787">
        <v>0</v>
      </c>
      <c r="AX152" s="787">
        <v>0</v>
      </c>
      <c r="AY152" s="787">
        <v>0</v>
      </c>
      <c r="AZ152" s="787">
        <v>121.84000000000002</v>
      </c>
      <c r="BA152" s="787">
        <v>9666</v>
      </c>
      <c r="BB152" s="787">
        <v>0</v>
      </c>
      <c r="BC152" s="787">
        <v>0</v>
      </c>
      <c r="BD152" s="787">
        <v>0</v>
      </c>
      <c r="BE152" s="787">
        <v>9336.64</v>
      </c>
      <c r="BF152" s="787">
        <v>0</v>
      </c>
      <c r="BG152" s="787">
        <v>0</v>
      </c>
      <c r="BH152" s="787">
        <v>0</v>
      </c>
      <c r="BI152" s="787">
        <v>0</v>
      </c>
      <c r="BJ152" s="787">
        <v>2531839.3199999984</v>
      </c>
      <c r="BK152" s="787">
        <v>305852</v>
      </c>
      <c r="BL152" s="787">
        <v>-252885.26551669696</v>
      </c>
      <c r="BM152" s="787">
        <v>52966.734483303037</v>
      </c>
      <c r="BN152" s="787">
        <v>0</v>
      </c>
      <c r="BO152" s="787">
        <v>0</v>
      </c>
      <c r="BP152" s="787">
        <v>0</v>
      </c>
      <c r="BQ152" s="787">
        <v>0</v>
      </c>
      <c r="BR152" s="787">
        <v>0</v>
      </c>
      <c r="BS152" s="787">
        <v>0</v>
      </c>
      <c r="BT152" s="787">
        <v>0</v>
      </c>
      <c r="BU152" s="787">
        <v>0</v>
      </c>
      <c r="BV152" s="787">
        <v>0</v>
      </c>
      <c r="BW152" s="787">
        <v>0</v>
      </c>
      <c r="BX152" s="787">
        <v>0</v>
      </c>
      <c r="BY152" s="787">
        <v>0</v>
      </c>
      <c r="BZ152" s="787">
        <v>0</v>
      </c>
      <c r="CA152" s="787">
        <v>0</v>
      </c>
      <c r="CB152" s="787">
        <v>0</v>
      </c>
      <c r="CC152" s="787">
        <v>0</v>
      </c>
      <c r="CD152" s="787">
        <v>0</v>
      </c>
      <c r="CE152" s="787">
        <v>0</v>
      </c>
      <c r="CF152" s="787">
        <v>0</v>
      </c>
      <c r="CG152" s="787">
        <v>0</v>
      </c>
      <c r="CH152" s="787">
        <v>0</v>
      </c>
      <c r="CI152" s="787">
        <v>0</v>
      </c>
      <c r="CJ152" s="787">
        <v>0</v>
      </c>
      <c r="CK152" s="787">
        <v>0</v>
      </c>
      <c r="CL152" s="787">
        <v>0</v>
      </c>
      <c r="CM152" s="787">
        <v>52966.734483303037</v>
      </c>
      <c r="CN152" s="787">
        <v>0</v>
      </c>
      <c r="CO152" s="787">
        <v>0</v>
      </c>
      <c r="CP152" s="787">
        <v>0</v>
      </c>
      <c r="CQ152" s="787">
        <v>0</v>
      </c>
      <c r="CR152" s="787">
        <v>52966.734483303037</v>
      </c>
      <c r="CS152" s="787">
        <v>52966.5</v>
      </c>
      <c r="CT152" s="787">
        <v>0</v>
      </c>
      <c r="CU152" s="787">
        <v>0</v>
      </c>
      <c r="CV152" s="787">
        <v>52966.5</v>
      </c>
      <c r="CW152" s="787">
        <v>0</v>
      </c>
      <c r="CX152" s="787">
        <v>0</v>
      </c>
      <c r="CY152" s="787">
        <v>0</v>
      </c>
      <c r="CZ152" s="787">
        <v>0</v>
      </c>
      <c r="DA152" s="787">
        <v>0</v>
      </c>
      <c r="DB152" s="787">
        <v>52966.5</v>
      </c>
      <c r="DC152" s="787">
        <v>0</v>
      </c>
      <c r="DD152" s="787">
        <v>0</v>
      </c>
      <c r="DE152" s="787">
        <v>0</v>
      </c>
      <c r="DF152" s="787">
        <v>0</v>
      </c>
      <c r="DG152" s="787"/>
      <c r="DH152" s="787"/>
      <c r="DI152" s="787"/>
      <c r="DJ152" s="787">
        <v>0</v>
      </c>
      <c r="DK152" s="787">
        <v>0</v>
      </c>
      <c r="DL152" s="787">
        <v>0</v>
      </c>
      <c r="DM152" s="787">
        <v>0</v>
      </c>
      <c r="DN152" s="787">
        <v>0</v>
      </c>
      <c r="DO152" s="787">
        <v>0</v>
      </c>
      <c r="DP152" s="787">
        <v>0</v>
      </c>
      <c r="DQ152" s="787">
        <v>0</v>
      </c>
      <c r="DR152" s="787">
        <v>0</v>
      </c>
      <c r="DS152" s="787">
        <v>0</v>
      </c>
      <c r="DT152" s="787">
        <v>0</v>
      </c>
      <c r="DU152" s="787">
        <v>0</v>
      </c>
      <c r="DV152" s="787">
        <v>0</v>
      </c>
      <c r="DW152" s="787">
        <v>0</v>
      </c>
      <c r="DX152" s="787">
        <v>0</v>
      </c>
      <c r="DY152" s="787">
        <v>0</v>
      </c>
      <c r="DZ152" s="787">
        <v>0</v>
      </c>
      <c r="EA152" s="787">
        <v>0.23448330303654075</v>
      </c>
      <c r="EE152">
        <f>_xlfn.XLOOKUP(C152,'[1]Cfwd Analysis'!$C:$C,'[1]Cfwd Analysis'!$I:$I,0,0)</f>
        <v>52966.734483303037</v>
      </c>
      <c r="EF152" s="788">
        <f t="shared" si="2"/>
        <v>0</v>
      </c>
    </row>
    <row r="153" spans="1:136" ht="15.6" hidden="1">
      <c r="A153" s="782" t="s">
        <v>1447</v>
      </c>
      <c r="B153" s="782" t="s">
        <v>792</v>
      </c>
      <c r="C153" s="783">
        <v>3361</v>
      </c>
      <c r="D153" s="784" t="s">
        <v>793</v>
      </c>
      <c r="E153" s="785" t="s">
        <v>521</v>
      </c>
      <c r="F153" s="786" t="s">
        <v>1322</v>
      </c>
      <c r="G153" s="785" t="s">
        <v>5</v>
      </c>
      <c r="H153" s="785" t="s">
        <v>804</v>
      </c>
      <c r="I153" s="787">
        <v>2073909.0420830147</v>
      </c>
      <c r="J153" s="787">
        <v>0</v>
      </c>
      <c r="K153" s="787">
        <v>42718.333333333328</v>
      </c>
      <c r="L153" s="787">
        <v>0</v>
      </c>
      <c r="M153" s="787">
        <v>243915</v>
      </c>
      <c r="N153" s="787">
        <v>54520.86</v>
      </c>
      <c r="O153" s="787">
        <v>0</v>
      </c>
      <c r="P153" s="787">
        <v>0</v>
      </c>
      <c r="Q153" s="787">
        <v>7115.8404300000248</v>
      </c>
      <c r="R153" s="787">
        <v>22466.92</v>
      </c>
      <c r="S153" s="787">
        <v>0</v>
      </c>
      <c r="T153" s="787">
        <v>0</v>
      </c>
      <c r="U153" s="787">
        <v>19328.63</v>
      </c>
      <c r="V153" s="787">
        <v>27178.639999999999</v>
      </c>
      <c r="W153" s="787">
        <v>0</v>
      </c>
      <c r="X153" s="787">
        <v>2491153.2658463479</v>
      </c>
      <c r="Y153" s="787">
        <v>1384242.98</v>
      </c>
      <c r="Z153" s="787">
        <v>0</v>
      </c>
      <c r="AA153" s="787">
        <v>451267.75</v>
      </c>
      <c r="AB153" s="787">
        <v>35211.409999999996</v>
      </c>
      <c r="AC153" s="787">
        <v>99889.18</v>
      </c>
      <c r="AD153" s="787">
        <v>0</v>
      </c>
      <c r="AE153" s="787">
        <v>101499.98999999999</v>
      </c>
      <c r="AF153" s="787">
        <v>759.5</v>
      </c>
      <c r="AG153" s="787">
        <v>960</v>
      </c>
      <c r="AH153" s="787">
        <v>0</v>
      </c>
      <c r="AI153" s="787">
        <v>0</v>
      </c>
      <c r="AJ153" s="787">
        <v>21169.200000000001</v>
      </c>
      <c r="AK153" s="787">
        <v>2061.1999999999998</v>
      </c>
      <c r="AL153" s="787">
        <v>37766.730000000003</v>
      </c>
      <c r="AM153" s="787">
        <v>12250.08</v>
      </c>
      <c r="AN153" s="787">
        <v>28172.15</v>
      </c>
      <c r="AO153" s="787">
        <v>6942.96</v>
      </c>
      <c r="AP153" s="787">
        <v>35528.35</v>
      </c>
      <c r="AQ153" s="787">
        <v>43449.41</v>
      </c>
      <c r="AR153" s="787">
        <v>0</v>
      </c>
      <c r="AS153" s="787">
        <v>1105</v>
      </c>
      <c r="AT153" s="787">
        <v>2377.75</v>
      </c>
      <c r="AU153" s="787">
        <v>2102.35</v>
      </c>
      <c r="AV153" s="787">
        <v>0</v>
      </c>
      <c r="AW153" s="787">
        <v>0</v>
      </c>
      <c r="AX153" s="787">
        <v>623.5</v>
      </c>
      <c r="AY153" s="787">
        <v>0</v>
      </c>
      <c r="AZ153" s="787">
        <v>22711.43</v>
      </c>
      <c r="BA153" s="787">
        <v>9471</v>
      </c>
      <c r="BB153" s="787">
        <v>6928</v>
      </c>
      <c r="BC153" s="787">
        <v>150697.29</v>
      </c>
      <c r="BD153" s="787">
        <v>2595.38</v>
      </c>
      <c r="BE153" s="787">
        <v>37437.660000000003</v>
      </c>
      <c r="BF153" s="787">
        <v>53704.85</v>
      </c>
      <c r="BG153" s="787">
        <v>0</v>
      </c>
      <c r="BH153" s="787">
        <v>0</v>
      </c>
      <c r="BI153" s="787">
        <v>0</v>
      </c>
      <c r="BJ153" s="787">
        <v>2550925.1000000006</v>
      </c>
      <c r="BK153" s="787">
        <v>47649.380000001052</v>
      </c>
      <c r="BL153" s="787">
        <v>-59771.834153652657</v>
      </c>
      <c r="BM153" s="787">
        <v>-12122.454153651604</v>
      </c>
      <c r="BN153" s="787">
        <v>0</v>
      </c>
      <c r="BO153" s="787">
        <v>0</v>
      </c>
      <c r="BP153" s="787">
        <v>0</v>
      </c>
      <c r="BQ153" s="787">
        <v>0</v>
      </c>
      <c r="BR153" s="787">
        <v>0</v>
      </c>
      <c r="BS153" s="787">
        <v>0</v>
      </c>
      <c r="BT153" s="787">
        <v>0</v>
      </c>
      <c r="BU153" s="787">
        <v>0</v>
      </c>
      <c r="BV153" s="787">
        <v>0</v>
      </c>
      <c r="BW153" s="787">
        <v>0</v>
      </c>
      <c r="BX153" s="787">
        <v>0</v>
      </c>
      <c r="BY153" s="787">
        <v>0</v>
      </c>
      <c r="BZ153" s="787">
        <v>0</v>
      </c>
      <c r="CA153" s="787">
        <v>0</v>
      </c>
      <c r="CB153" s="787">
        <v>0</v>
      </c>
      <c r="CC153" s="787">
        <v>0</v>
      </c>
      <c r="CD153" s="787">
        <v>0</v>
      </c>
      <c r="CE153" s="787">
        <v>0</v>
      </c>
      <c r="CF153" s="787">
        <v>0</v>
      </c>
      <c r="CG153" s="787">
        <v>0</v>
      </c>
      <c r="CH153" s="787">
        <v>0</v>
      </c>
      <c r="CI153" s="787">
        <v>0</v>
      </c>
      <c r="CJ153" s="787">
        <v>0</v>
      </c>
      <c r="CK153" s="787">
        <v>0</v>
      </c>
      <c r="CL153" s="787">
        <v>0</v>
      </c>
      <c r="CM153" s="787">
        <v>0</v>
      </c>
      <c r="CN153" s="787">
        <v>-12122.454153651604</v>
      </c>
      <c r="CO153" s="787">
        <v>0</v>
      </c>
      <c r="CP153" s="787">
        <v>0</v>
      </c>
      <c r="CQ153" s="787">
        <v>0</v>
      </c>
      <c r="CR153" s="787">
        <v>-12122.454153651604</v>
      </c>
      <c r="CS153" s="787">
        <v>320324.68000000005</v>
      </c>
      <c r="CT153" s="787">
        <v>126851.77</v>
      </c>
      <c r="CU153" s="787">
        <v>0</v>
      </c>
      <c r="CV153" s="787">
        <v>193472.91000000003</v>
      </c>
      <c r="CW153" s="787">
        <v>0</v>
      </c>
      <c r="CX153" s="787">
        <v>8108.57</v>
      </c>
      <c r="CY153" s="787">
        <v>3826.28</v>
      </c>
      <c r="CZ153" s="787">
        <v>0</v>
      </c>
      <c r="DA153" s="787">
        <v>0</v>
      </c>
      <c r="DB153" s="787">
        <v>205407.76000000004</v>
      </c>
      <c r="DC153" s="787">
        <v>0</v>
      </c>
      <c r="DD153" s="787">
        <v>0</v>
      </c>
      <c r="DE153" s="787">
        <v>0</v>
      </c>
      <c r="DF153" s="787">
        <v>0</v>
      </c>
      <c r="DG153" s="787"/>
      <c r="DH153" s="787"/>
      <c r="DI153" s="787"/>
      <c r="DJ153" s="787">
        <v>0</v>
      </c>
      <c r="DK153" s="787">
        <v>0</v>
      </c>
      <c r="DL153" s="787">
        <v>0</v>
      </c>
      <c r="DM153" s="787">
        <v>0</v>
      </c>
      <c r="DN153" s="787">
        <v>0</v>
      </c>
      <c r="DO153" s="787">
        <v>0</v>
      </c>
      <c r="DP153" s="787">
        <v>-178010.75</v>
      </c>
      <c r="DQ153" s="787">
        <v>-42018.61</v>
      </c>
      <c r="DR153" s="787">
        <v>0</v>
      </c>
      <c r="DS153" s="787">
        <v>0</v>
      </c>
      <c r="DT153" s="787">
        <v>-220029.36</v>
      </c>
      <c r="DU153" s="787">
        <v>2498.92</v>
      </c>
      <c r="DV153" s="787">
        <v>0</v>
      </c>
      <c r="DW153" s="787">
        <v>0</v>
      </c>
      <c r="DX153" s="787">
        <v>0</v>
      </c>
      <c r="DY153" s="787">
        <v>0</v>
      </c>
      <c r="DZ153" s="787">
        <v>0</v>
      </c>
      <c r="EA153" s="787">
        <v>0.22584634833037853</v>
      </c>
      <c r="EE153">
        <f>_xlfn.XLOOKUP(C153,'[1]Cfwd Analysis'!$C:$C,'[1]Cfwd Analysis'!$I:$I,0,0)</f>
        <v>-12122.454153651604</v>
      </c>
      <c r="EF153" s="788">
        <f t="shared" si="2"/>
        <v>0</v>
      </c>
    </row>
    <row r="154" spans="1:136" ht="15.6" hidden="1">
      <c r="A154" s="782" t="s">
        <v>1448</v>
      </c>
      <c r="B154" s="782" t="s">
        <v>924</v>
      </c>
      <c r="C154" s="783">
        <v>3382</v>
      </c>
      <c r="D154" s="784" t="s">
        <v>925</v>
      </c>
      <c r="E154" s="785" t="s">
        <v>521</v>
      </c>
      <c r="F154" s="786">
        <v>0</v>
      </c>
      <c r="G154" s="785" t="s">
        <v>5</v>
      </c>
      <c r="H154" s="785" t="s">
        <v>874</v>
      </c>
      <c r="I154" s="787">
        <v>1284145.8869547979</v>
      </c>
      <c r="J154" s="787">
        <v>0</v>
      </c>
      <c r="K154" s="787">
        <v>86460.66333333333</v>
      </c>
      <c r="L154" s="787">
        <v>0</v>
      </c>
      <c r="M154" s="787">
        <v>114690</v>
      </c>
      <c r="N154" s="787">
        <v>42219</v>
      </c>
      <c r="O154" s="787">
        <v>0</v>
      </c>
      <c r="P154" s="787">
        <v>0</v>
      </c>
      <c r="Q154" s="787">
        <v>15848.266079999985</v>
      </c>
      <c r="R154" s="787">
        <v>5534.66</v>
      </c>
      <c r="S154" s="787">
        <v>0</v>
      </c>
      <c r="T154" s="787">
        <v>0</v>
      </c>
      <c r="U154" s="787">
        <v>12826.05</v>
      </c>
      <c r="V154" s="787">
        <v>4100</v>
      </c>
      <c r="W154" s="787">
        <v>0</v>
      </c>
      <c r="X154" s="787">
        <v>1565824.5263681312</v>
      </c>
      <c r="Y154" s="787">
        <v>754229.36</v>
      </c>
      <c r="Z154" s="787">
        <v>0</v>
      </c>
      <c r="AA154" s="787">
        <v>212905.27999999997</v>
      </c>
      <c r="AB154" s="787">
        <v>29688.45</v>
      </c>
      <c r="AC154" s="787">
        <v>103022.94</v>
      </c>
      <c r="AD154" s="787">
        <v>0</v>
      </c>
      <c r="AE154" s="787">
        <v>25109.760000000002</v>
      </c>
      <c r="AF154" s="787">
        <v>4884.8999999999996</v>
      </c>
      <c r="AG154" s="787">
        <v>1170</v>
      </c>
      <c r="AH154" s="787">
        <v>0</v>
      </c>
      <c r="AI154" s="787">
        <v>5307.15</v>
      </c>
      <c r="AJ154" s="787">
        <v>16883.48</v>
      </c>
      <c r="AK154" s="787">
        <v>308</v>
      </c>
      <c r="AL154" s="787">
        <v>32766.09</v>
      </c>
      <c r="AM154" s="787">
        <v>6937.42</v>
      </c>
      <c r="AN154" s="787">
        <v>26532.74</v>
      </c>
      <c r="AO154" s="787">
        <v>4557.9799999999996</v>
      </c>
      <c r="AP154" s="787">
        <v>18593.43</v>
      </c>
      <c r="AQ154" s="787">
        <v>37721.75</v>
      </c>
      <c r="AR154" s="787">
        <v>0</v>
      </c>
      <c r="AS154" s="787">
        <v>0</v>
      </c>
      <c r="AT154" s="787">
        <v>5769.37</v>
      </c>
      <c r="AU154" s="787">
        <v>0</v>
      </c>
      <c r="AV154" s="787">
        <v>0</v>
      </c>
      <c r="AW154" s="787">
        <v>7622.75</v>
      </c>
      <c r="AX154" s="787">
        <v>780</v>
      </c>
      <c r="AY154" s="787">
        <v>0</v>
      </c>
      <c r="AZ154" s="787">
        <v>7257.91</v>
      </c>
      <c r="BA154" s="787">
        <v>0</v>
      </c>
      <c r="BB154" s="787">
        <v>2584</v>
      </c>
      <c r="BC154" s="787">
        <v>126944.87999999999</v>
      </c>
      <c r="BD154" s="787">
        <v>135</v>
      </c>
      <c r="BE154" s="787">
        <v>7981.7999999999984</v>
      </c>
      <c r="BF154" s="787">
        <v>92562.57</v>
      </c>
      <c r="BG154" s="787">
        <v>0</v>
      </c>
      <c r="BH154" s="787">
        <v>0</v>
      </c>
      <c r="BI154" s="787">
        <v>0</v>
      </c>
      <c r="BJ154" s="787">
        <v>1532257.0099999995</v>
      </c>
      <c r="BK154" s="787">
        <v>40897.279999999417</v>
      </c>
      <c r="BL154" s="787">
        <v>33567.516368131619</v>
      </c>
      <c r="BM154" s="787">
        <v>74464.796368131036</v>
      </c>
      <c r="BN154" s="787">
        <v>7846.66</v>
      </c>
      <c r="BO154" s="787">
        <v>0</v>
      </c>
      <c r="BP154" s="787">
        <v>0</v>
      </c>
      <c r="BQ154" s="787">
        <v>7846.66</v>
      </c>
      <c r="BR154" s="787">
        <v>0</v>
      </c>
      <c r="BS154" s="787">
        <v>0</v>
      </c>
      <c r="BT154" s="787">
        <v>0</v>
      </c>
      <c r="BU154" s="787">
        <v>0</v>
      </c>
      <c r="BV154" s="787">
        <v>0</v>
      </c>
      <c r="BW154" s="787">
        <v>0</v>
      </c>
      <c r="BX154" s="787">
        <v>0</v>
      </c>
      <c r="BY154" s="787">
        <v>0</v>
      </c>
      <c r="BZ154" s="787">
        <v>0</v>
      </c>
      <c r="CA154" s="787">
        <v>0</v>
      </c>
      <c r="CB154" s="787">
        <v>7846.66</v>
      </c>
      <c r="CC154" s="787">
        <v>7846.66</v>
      </c>
      <c r="CD154" s="787">
        <v>0</v>
      </c>
      <c r="CE154" s="787">
        <v>0</v>
      </c>
      <c r="CF154" s="787">
        <v>0</v>
      </c>
      <c r="CG154" s="787">
        <v>0</v>
      </c>
      <c r="CH154" s="787">
        <v>0</v>
      </c>
      <c r="CI154" s="787">
        <v>0</v>
      </c>
      <c r="CJ154" s="787">
        <v>0</v>
      </c>
      <c r="CK154" s="787">
        <v>0</v>
      </c>
      <c r="CL154" s="787">
        <v>0</v>
      </c>
      <c r="CM154" s="787">
        <v>74464.796368131036</v>
      </c>
      <c r="CN154" s="787">
        <v>0</v>
      </c>
      <c r="CO154" s="787">
        <v>0</v>
      </c>
      <c r="CP154" s="787">
        <v>7846.66</v>
      </c>
      <c r="CQ154" s="787">
        <v>0</v>
      </c>
      <c r="CR154" s="787">
        <v>82311.456368131039</v>
      </c>
      <c r="CS154" s="787">
        <v>252459.93</v>
      </c>
      <c r="CT154" s="787">
        <v>728.88</v>
      </c>
      <c r="CU154" s="787">
        <v>0</v>
      </c>
      <c r="CV154" s="787">
        <v>251731.05</v>
      </c>
      <c r="CW154" s="787">
        <v>-2175.37</v>
      </c>
      <c r="CX154" s="787">
        <v>5671.08</v>
      </c>
      <c r="CY154" s="787">
        <v>1585.95</v>
      </c>
      <c r="CZ154" s="787">
        <v>0</v>
      </c>
      <c r="DA154" s="787">
        <v>12176.139999999985</v>
      </c>
      <c r="DB154" s="787">
        <v>268988.84999999998</v>
      </c>
      <c r="DC154" s="787">
        <v>0</v>
      </c>
      <c r="DD154" s="787">
        <v>0</v>
      </c>
      <c r="DE154" s="787">
        <v>0</v>
      </c>
      <c r="DF154" s="787">
        <v>0</v>
      </c>
      <c r="DG154" s="787"/>
      <c r="DH154" s="787"/>
      <c r="DI154" s="787"/>
      <c r="DJ154" s="787">
        <v>0</v>
      </c>
      <c r="DK154" s="787">
        <v>0</v>
      </c>
      <c r="DL154" s="787">
        <v>0</v>
      </c>
      <c r="DM154" s="787">
        <v>0</v>
      </c>
      <c r="DN154" s="787">
        <v>0</v>
      </c>
      <c r="DO154" s="787">
        <v>0</v>
      </c>
      <c r="DP154" s="787">
        <v>-106960.39</v>
      </c>
      <c r="DQ154" s="787">
        <v>-60395.46</v>
      </c>
      <c r="DR154" s="787">
        <v>0</v>
      </c>
      <c r="DS154" s="787">
        <v>0</v>
      </c>
      <c r="DT154" s="787">
        <v>-167355.85</v>
      </c>
      <c r="DU154" s="787">
        <v>0</v>
      </c>
      <c r="DV154" s="787">
        <v>0</v>
      </c>
      <c r="DW154" s="787">
        <v>0</v>
      </c>
      <c r="DX154" s="787">
        <v>0</v>
      </c>
      <c r="DY154" s="787">
        <v>0</v>
      </c>
      <c r="DZ154" s="787">
        <v>-19321.13</v>
      </c>
      <c r="EA154" s="787">
        <v>-0.41363186892704107</v>
      </c>
      <c r="EE154">
        <f>_xlfn.XLOOKUP(C154,'[1]Cfwd Analysis'!$C:$C,'[1]Cfwd Analysis'!$I:$I,0,0)</f>
        <v>74464.796368131036</v>
      </c>
      <c r="EF154" s="788">
        <f t="shared" si="2"/>
        <v>0</v>
      </c>
    </row>
    <row r="155" spans="1:136" ht="15.6" hidden="1">
      <c r="A155" s="782" t="s">
        <v>1449</v>
      </c>
      <c r="B155" s="782" t="s">
        <v>794</v>
      </c>
      <c r="C155" s="783">
        <v>3344</v>
      </c>
      <c r="D155" s="784" t="s">
        <v>795</v>
      </c>
      <c r="E155" s="785" t="s">
        <v>521</v>
      </c>
      <c r="F155" s="786">
        <v>46092</v>
      </c>
      <c r="G155" s="785" t="s">
        <v>5</v>
      </c>
      <c r="H155" s="785" t="s">
        <v>806</v>
      </c>
      <c r="I155" s="787">
        <v>2212932.9329626816</v>
      </c>
      <c r="J155" s="787">
        <v>0</v>
      </c>
      <c r="K155" s="787">
        <v>105983.66666666667</v>
      </c>
      <c r="L155" s="787">
        <v>0</v>
      </c>
      <c r="M155" s="787">
        <v>129415</v>
      </c>
      <c r="N155" s="787">
        <v>98978.64</v>
      </c>
      <c r="O155" s="787">
        <v>0</v>
      </c>
      <c r="P155" s="787">
        <v>11283</v>
      </c>
      <c r="Q155" s="787">
        <v>18586.77</v>
      </c>
      <c r="R155" s="787">
        <v>45780.69</v>
      </c>
      <c r="S155" s="787">
        <v>0</v>
      </c>
      <c r="T155" s="787">
        <v>0</v>
      </c>
      <c r="U155" s="787">
        <v>15123</v>
      </c>
      <c r="V155" s="787">
        <v>1000</v>
      </c>
      <c r="W155" s="787">
        <v>0</v>
      </c>
      <c r="X155" s="787">
        <v>2639083.6996293482</v>
      </c>
      <c r="Y155" s="787">
        <v>1284255.06</v>
      </c>
      <c r="Z155" s="787">
        <v>0</v>
      </c>
      <c r="AA155" s="787">
        <v>471517.35000000003</v>
      </c>
      <c r="AB155" s="787">
        <v>96505.2</v>
      </c>
      <c r="AC155" s="787">
        <v>157933.79</v>
      </c>
      <c r="AD155" s="787">
        <v>0</v>
      </c>
      <c r="AE155" s="787">
        <v>87899.96</v>
      </c>
      <c r="AF155" s="787">
        <v>1300.71</v>
      </c>
      <c r="AG155" s="787">
        <v>8599.49</v>
      </c>
      <c r="AH155" s="787">
        <v>0</v>
      </c>
      <c r="AI155" s="787">
        <v>0</v>
      </c>
      <c r="AJ155" s="787">
        <v>36910.31</v>
      </c>
      <c r="AK155" s="787">
        <v>20686.2</v>
      </c>
      <c r="AL155" s="787">
        <v>3704.5</v>
      </c>
      <c r="AM155" s="787">
        <v>8223.2799999999988</v>
      </c>
      <c r="AN155" s="787">
        <v>36787.620000000003</v>
      </c>
      <c r="AO155" s="787">
        <v>3047.4799999999996</v>
      </c>
      <c r="AP155" s="787">
        <v>16065.05</v>
      </c>
      <c r="AQ155" s="787">
        <v>57003.42</v>
      </c>
      <c r="AR155" s="787">
        <v>5655.05</v>
      </c>
      <c r="AS155" s="787">
        <v>1275</v>
      </c>
      <c r="AT155" s="787">
        <v>8622.4500000000007</v>
      </c>
      <c r="AU155" s="787">
        <v>16149.43</v>
      </c>
      <c r="AV155" s="787">
        <v>15793.47</v>
      </c>
      <c r="AW155" s="787">
        <v>71.13</v>
      </c>
      <c r="AX155" s="787">
        <v>10873.36</v>
      </c>
      <c r="AY155" s="787">
        <v>0</v>
      </c>
      <c r="AZ155" s="787">
        <v>10365.9</v>
      </c>
      <c r="BA155" s="787">
        <v>13481.55</v>
      </c>
      <c r="BB155" s="787">
        <v>0</v>
      </c>
      <c r="BC155" s="787">
        <v>145010.62</v>
      </c>
      <c r="BD155" s="787">
        <v>9697.119999999999</v>
      </c>
      <c r="BE155" s="787">
        <v>33419.57</v>
      </c>
      <c r="BF155" s="787">
        <v>113265.51999999999</v>
      </c>
      <c r="BG155" s="787">
        <v>0</v>
      </c>
      <c r="BH155" s="787">
        <v>0</v>
      </c>
      <c r="BI155" s="787">
        <v>0</v>
      </c>
      <c r="BJ155" s="787">
        <v>2674119.5900000003</v>
      </c>
      <c r="BK155" s="787">
        <v>163527.43999999776</v>
      </c>
      <c r="BL155" s="787">
        <v>-35035.89037065208</v>
      </c>
      <c r="BM155" s="787">
        <v>128491.54962934568</v>
      </c>
      <c r="BN155" s="787">
        <v>12230.69</v>
      </c>
      <c r="BO155" s="787">
        <v>0</v>
      </c>
      <c r="BP155" s="787">
        <v>0</v>
      </c>
      <c r="BQ155" s="787">
        <v>12230.69</v>
      </c>
      <c r="BR155" s="787">
        <v>0</v>
      </c>
      <c r="BS155" s="787">
        <v>0</v>
      </c>
      <c r="BT155" s="787">
        <v>0</v>
      </c>
      <c r="BU155" s="787">
        <v>0</v>
      </c>
      <c r="BV155" s="787">
        <v>0</v>
      </c>
      <c r="BW155" s="787">
        <v>0</v>
      </c>
      <c r="BX155" s="787">
        <v>12230.69</v>
      </c>
      <c r="BY155" s="787">
        <v>0</v>
      </c>
      <c r="BZ155" s="787">
        <v>12230.69</v>
      </c>
      <c r="CA155" s="787">
        <v>0</v>
      </c>
      <c r="CB155" s="787">
        <v>0</v>
      </c>
      <c r="CC155" s="787">
        <v>0</v>
      </c>
      <c r="CD155" s="787">
        <v>0</v>
      </c>
      <c r="CE155" s="787">
        <v>0</v>
      </c>
      <c r="CF155" s="787">
        <v>0</v>
      </c>
      <c r="CG155" s="787">
        <v>0</v>
      </c>
      <c r="CH155" s="787">
        <v>0</v>
      </c>
      <c r="CI155" s="787">
        <v>0</v>
      </c>
      <c r="CJ155" s="787">
        <v>0</v>
      </c>
      <c r="CK155" s="787">
        <v>0</v>
      </c>
      <c r="CL155" s="787">
        <v>0</v>
      </c>
      <c r="CM155" s="787">
        <v>128491.54962934568</v>
      </c>
      <c r="CN155" s="787">
        <v>0</v>
      </c>
      <c r="CO155" s="787">
        <v>0</v>
      </c>
      <c r="CP155" s="787">
        <v>0</v>
      </c>
      <c r="CQ155" s="787">
        <v>0</v>
      </c>
      <c r="CR155" s="787">
        <v>128491.54962934568</v>
      </c>
      <c r="CS155" s="787">
        <v>384903.45</v>
      </c>
      <c r="CT155" s="787">
        <v>0</v>
      </c>
      <c r="CU155" s="787">
        <v>0</v>
      </c>
      <c r="CV155" s="787">
        <v>384903.45</v>
      </c>
      <c r="CW155" s="787">
        <v>0</v>
      </c>
      <c r="CX155" s="787">
        <v>6155.95</v>
      </c>
      <c r="CY155" s="787">
        <v>8264.33</v>
      </c>
      <c r="CZ155" s="787">
        <v>0</v>
      </c>
      <c r="DA155" s="787">
        <v>0</v>
      </c>
      <c r="DB155" s="787">
        <v>399323.73000000004</v>
      </c>
      <c r="DC155" s="787">
        <v>0</v>
      </c>
      <c r="DD155" s="787">
        <v>0</v>
      </c>
      <c r="DE155" s="787">
        <v>0</v>
      </c>
      <c r="DF155" s="787">
        <v>0</v>
      </c>
      <c r="DG155" s="787"/>
      <c r="DH155" s="787"/>
      <c r="DI155" s="787"/>
      <c r="DJ155" s="787">
        <v>0</v>
      </c>
      <c r="DK155" s="787">
        <v>0</v>
      </c>
      <c r="DL155" s="787">
        <v>0</v>
      </c>
      <c r="DM155" s="787">
        <v>0</v>
      </c>
      <c r="DN155" s="787">
        <v>4056</v>
      </c>
      <c r="DO155" s="787">
        <v>0</v>
      </c>
      <c r="DP155" s="787">
        <v>-196525.69</v>
      </c>
      <c r="DQ155" s="787">
        <v>-39050.78</v>
      </c>
      <c r="DR155" s="787">
        <v>0</v>
      </c>
      <c r="DS155" s="787">
        <v>0</v>
      </c>
      <c r="DT155" s="787">
        <v>-231520.47</v>
      </c>
      <c r="DU155" s="787">
        <v>0</v>
      </c>
      <c r="DV155" s="787">
        <v>0</v>
      </c>
      <c r="DW155" s="787">
        <v>0</v>
      </c>
      <c r="DX155" s="787">
        <v>0</v>
      </c>
      <c r="DY155" s="787">
        <v>0</v>
      </c>
      <c r="DZ155" s="787">
        <v>-39311.760000000002</v>
      </c>
      <c r="EA155" s="787">
        <v>4.9629345652647316E-2</v>
      </c>
      <c r="EE155">
        <f>_xlfn.XLOOKUP(C155,'[1]Cfwd Analysis'!$C:$C,'[1]Cfwd Analysis'!$I:$I,0,0)</f>
        <v>128491.54962934568</v>
      </c>
      <c r="EF155" s="788">
        <f t="shared" si="2"/>
        <v>0</v>
      </c>
    </row>
    <row r="156" spans="1:136" ht="15.6" hidden="1">
      <c r="A156" s="782" t="s">
        <v>1450</v>
      </c>
      <c r="B156" s="782" t="s">
        <v>796</v>
      </c>
      <c r="C156" s="783">
        <v>3025</v>
      </c>
      <c r="D156" s="784" t="s">
        <v>797</v>
      </c>
      <c r="E156" s="785" t="s">
        <v>521</v>
      </c>
      <c r="F156" s="786">
        <v>46094</v>
      </c>
      <c r="G156" s="785" t="s">
        <v>5</v>
      </c>
      <c r="H156" s="785" t="s">
        <v>808</v>
      </c>
      <c r="I156" s="787">
        <v>2276074.8299793173</v>
      </c>
      <c r="J156" s="787">
        <v>0</v>
      </c>
      <c r="K156" s="787">
        <v>275566.94433333329</v>
      </c>
      <c r="L156" s="787">
        <v>0</v>
      </c>
      <c r="M156" s="787">
        <v>161970</v>
      </c>
      <c r="N156" s="787">
        <v>88269.86</v>
      </c>
      <c r="O156" s="787">
        <v>0</v>
      </c>
      <c r="P156" s="787">
        <v>0</v>
      </c>
      <c r="Q156" s="787">
        <v>10516.916499999999</v>
      </c>
      <c r="R156" s="787">
        <v>34928.550000000003</v>
      </c>
      <c r="S156" s="787">
        <v>6830.75</v>
      </c>
      <c r="T156" s="787">
        <v>0</v>
      </c>
      <c r="U156" s="787">
        <v>42959.88</v>
      </c>
      <c r="V156" s="787">
        <v>6582.94</v>
      </c>
      <c r="W156" s="787">
        <v>0</v>
      </c>
      <c r="X156" s="787">
        <v>2903700.6708126501</v>
      </c>
      <c r="Y156" s="787">
        <v>1237559.7</v>
      </c>
      <c r="Z156" s="787">
        <v>0</v>
      </c>
      <c r="AA156" s="787">
        <v>305599.91000000003</v>
      </c>
      <c r="AB156" s="787">
        <v>49664.819999999992</v>
      </c>
      <c r="AC156" s="787">
        <v>183528.65999999997</v>
      </c>
      <c r="AD156" s="787">
        <v>60162.080000000002</v>
      </c>
      <c r="AE156" s="787">
        <v>77904.23</v>
      </c>
      <c r="AF156" s="787">
        <v>532.64</v>
      </c>
      <c r="AG156" s="787">
        <v>6336.57</v>
      </c>
      <c r="AH156" s="787">
        <v>0</v>
      </c>
      <c r="AI156" s="787">
        <v>0</v>
      </c>
      <c r="AJ156" s="787">
        <v>40688.979999999996</v>
      </c>
      <c r="AK156" s="787">
        <v>1570</v>
      </c>
      <c r="AL156" s="787">
        <v>1107.98</v>
      </c>
      <c r="AM156" s="787">
        <v>8631.8799999999992</v>
      </c>
      <c r="AN156" s="787">
        <v>22685.23</v>
      </c>
      <c r="AO156" s="787">
        <v>5126.119999999999</v>
      </c>
      <c r="AP156" s="787">
        <v>9919.61</v>
      </c>
      <c r="AQ156" s="787">
        <v>74556.479999999996</v>
      </c>
      <c r="AR156" s="787">
        <v>0</v>
      </c>
      <c r="AS156" s="787">
        <v>0</v>
      </c>
      <c r="AT156" s="787">
        <v>6696.17</v>
      </c>
      <c r="AU156" s="787">
        <v>13626.17</v>
      </c>
      <c r="AV156" s="787">
        <v>0</v>
      </c>
      <c r="AW156" s="787">
        <v>3420.33</v>
      </c>
      <c r="AX156" s="787">
        <v>0</v>
      </c>
      <c r="AY156" s="787">
        <v>0</v>
      </c>
      <c r="AZ156" s="787">
        <v>23585.34</v>
      </c>
      <c r="BA156" s="787">
        <v>18942</v>
      </c>
      <c r="BB156" s="787">
        <v>2185</v>
      </c>
      <c r="BC156" s="787">
        <v>46949.41</v>
      </c>
      <c r="BD156" s="787">
        <v>447078.75999999995</v>
      </c>
      <c r="BE156" s="787">
        <v>25867.83</v>
      </c>
      <c r="BF156" s="787">
        <v>108488.12</v>
      </c>
      <c r="BG156" s="787">
        <v>0</v>
      </c>
      <c r="BH156" s="787">
        <v>0</v>
      </c>
      <c r="BI156" s="787">
        <v>0</v>
      </c>
      <c r="BJ156" s="787">
        <v>2782414.02</v>
      </c>
      <c r="BK156" s="787">
        <v>160539</v>
      </c>
      <c r="BL156" s="787">
        <v>121286.6508126501</v>
      </c>
      <c r="BM156" s="787">
        <v>281825.6508126501</v>
      </c>
      <c r="BN156" s="787">
        <v>0</v>
      </c>
      <c r="BO156" s="787">
        <v>0</v>
      </c>
      <c r="BP156" s="787">
        <v>0</v>
      </c>
      <c r="BQ156" s="787">
        <v>0</v>
      </c>
      <c r="BR156" s="787">
        <v>0</v>
      </c>
      <c r="BS156" s="787">
        <v>0</v>
      </c>
      <c r="BT156" s="787">
        <v>0</v>
      </c>
      <c r="BU156" s="787">
        <v>0</v>
      </c>
      <c r="BV156" s="787">
        <v>0</v>
      </c>
      <c r="BW156" s="787">
        <v>0</v>
      </c>
      <c r="BX156" s="787">
        <v>0</v>
      </c>
      <c r="BY156" s="787">
        <v>0</v>
      </c>
      <c r="BZ156" s="787">
        <v>0</v>
      </c>
      <c r="CA156" s="787">
        <v>0</v>
      </c>
      <c r="CB156" s="787">
        <v>0</v>
      </c>
      <c r="CC156" s="787">
        <v>0</v>
      </c>
      <c r="CD156" s="787">
        <v>0</v>
      </c>
      <c r="CE156" s="787">
        <v>0</v>
      </c>
      <c r="CF156" s="787">
        <v>0</v>
      </c>
      <c r="CG156" s="787">
        <v>0</v>
      </c>
      <c r="CH156" s="787">
        <v>0</v>
      </c>
      <c r="CI156" s="787">
        <v>0</v>
      </c>
      <c r="CJ156" s="787">
        <v>0</v>
      </c>
      <c r="CK156" s="787">
        <v>0</v>
      </c>
      <c r="CL156" s="787">
        <v>0</v>
      </c>
      <c r="CM156" s="787">
        <v>281825.6508126501</v>
      </c>
      <c r="CN156" s="787">
        <v>0</v>
      </c>
      <c r="CO156" s="787">
        <v>0</v>
      </c>
      <c r="CP156" s="787">
        <v>0</v>
      </c>
      <c r="CQ156" s="787">
        <v>0</v>
      </c>
      <c r="CR156" s="787">
        <v>281825.6508126501</v>
      </c>
      <c r="CS156" s="787">
        <v>528488.79</v>
      </c>
      <c r="CT156" s="787">
        <v>15115.45</v>
      </c>
      <c r="CU156" s="787">
        <v>0</v>
      </c>
      <c r="CV156" s="787">
        <v>513373.34</v>
      </c>
      <c r="CW156" s="787">
        <v>0</v>
      </c>
      <c r="CX156" s="787">
        <v>16845.46</v>
      </c>
      <c r="CY156" s="787">
        <v>5920.28</v>
      </c>
      <c r="CZ156" s="787">
        <v>0</v>
      </c>
      <c r="DA156" s="787">
        <v>0</v>
      </c>
      <c r="DB156" s="787">
        <v>536139.08000000007</v>
      </c>
      <c r="DC156" s="787">
        <v>0</v>
      </c>
      <c r="DD156" s="787">
        <v>0</v>
      </c>
      <c r="DE156" s="787">
        <v>0</v>
      </c>
      <c r="DF156" s="787">
        <v>0</v>
      </c>
      <c r="DG156" s="787"/>
      <c r="DH156" s="787"/>
      <c r="DI156" s="787"/>
      <c r="DJ156" s="787">
        <v>0</v>
      </c>
      <c r="DK156" s="787">
        <v>0</v>
      </c>
      <c r="DL156" s="787">
        <v>0</v>
      </c>
      <c r="DM156" s="787">
        <v>0</v>
      </c>
      <c r="DN156" s="787">
        <v>0</v>
      </c>
      <c r="DO156" s="787">
        <v>0</v>
      </c>
      <c r="DP156" s="787">
        <v>-254313.43</v>
      </c>
      <c r="DQ156" s="787">
        <v>0</v>
      </c>
      <c r="DR156" s="787">
        <v>0</v>
      </c>
      <c r="DS156" s="787">
        <v>0</v>
      </c>
      <c r="DT156" s="787">
        <v>-254313.43</v>
      </c>
      <c r="DU156" s="787">
        <v>0</v>
      </c>
      <c r="DV156" s="787">
        <v>0</v>
      </c>
      <c r="DW156" s="787">
        <v>0</v>
      </c>
      <c r="DX156" s="787">
        <v>0</v>
      </c>
      <c r="DY156" s="787">
        <v>0</v>
      </c>
      <c r="DZ156" s="787">
        <v>0</v>
      </c>
      <c r="EA156" s="787">
        <v>8.1265001790598035E-4</v>
      </c>
      <c r="EE156">
        <f>_xlfn.XLOOKUP(C156,'[1]Cfwd Analysis'!$C:$C,'[1]Cfwd Analysis'!$I:$I,0,0)</f>
        <v>281825.6508126501</v>
      </c>
      <c r="EF156" s="788">
        <f t="shared" si="2"/>
        <v>0</v>
      </c>
    </row>
    <row r="157" spans="1:136" ht="15.6" hidden="1">
      <c r="A157" s="782" t="s">
        <v>1451</v>
      </c>
      <c r="B157" s="782" t="s">
        <v>798</v>
      </c>
      <c r="C157" s="783">
        <v>3016</v>
      </c>
      <c r="D157" s="784" t="s">
        <v>799</v>
      </c>
      <c r="E157" s="785" t="s">
        <v>521</v>
      </c>
      <c r="F157" s="786">
        <v>46094</v>
      </c>
      <c r="G157" s="785" t="s">
        <v>5</v>
      </c>
      <c r="H157" s="785" t="s">
        <v>810</v>
      </c>
      <c r="I157" s="787">
        <v>1480120.8025428576</v>
      </c>
      <c r="J157" s="787">
        <v>0</v>
      </c>
      <c r="K157" s="787">
        <v>135682.33666666667</v>
      </c>
      <c r="L157" s="787">
        <v>0</v>
      </c>
      <c r="M157" s="787">
        <v>204525</v>
      </c>
      <c r="N157" s="787">
        <v>30135</v>
      </c>
      <c r="O157" s="787">
        <v>8193.01</v>
      </c>
      <c r="P157" s="787">
        <v>0</v>
      </c>
      <c r="Q157" s="787">
        <v>132958</v>
      </c>
      <c r="R157" s="787">
        <v>2618.54</v>
      </c>
      <c r="S157" s="787">
        <v>0</v>
      </c>
      <c r="T157" s="787">
        <v>0</v>
      </c>
      <c r="U157" s="787">
        <v>414.39</v>
      </c>
      <c r="V157" s="787">
        <v>0</v>
      </c>
      <c r="W157" s="787">
        <v>0</v>
      </c>
      <c r="X157" s="787">
        <v>1994647.0792095242</v>
      </c>
      <c r="Y157" s="787">
        <v>746183.54</v>
      </c>
      <c r="Z157" s="787">
        <v>0</v>
      </c>
      <c r="AA157" s="787">
        <v>325674.44</v>
      </c>
      <c r="AB157" s="787">
        <v>83714.680000000008</v>
      </c>
      <c r="AC157" s="787">
        <v>119734.75</v>
      </c>
      <c r="AD157" s="787">
        <v>0</v>
      </c>
      <c r="AE157" s="787">
        <v>61567.53</v>
      </c>
      <c r="AF157" s="787">
        <v>1190.0899999999999</v>
      </c>
      <c r="AG157" s="787">
        <v>6948.94</v>
      </c>
      <c r="AH157" s="787">
        <v>0</v>
      </c>
      <c r="AI157" s="787">
        <v>5792</v>
      </c>
      <c r="AJ157" s="787">
        <v>20069.86</v>
      </c>
      <c r="AK157" s="787">
        <v>4954.13</v>
      </c>
      <c r="AL157" s="787">
        <v>2760.38</v>
      </c>
      <c r="AM157" s="787">
        <v>6969.18</v>
      </c>
      <c r="AN157" s="787">
        <v>18268.509999999998</v>
      </c>
      <c r="AO157" s="787">
        <v>15625.330000000004</v>
      </c>
      <c r="AP157" s="787">
        <v>21405.62</v>
      </c>
      <c r="AQ157" s="787">
        <v>112628.15999999999</v>
      </c>
      <c r="AR157" s="787">
        <v>3434.66</v>
      </c>
      <c r="AS157" s="787">
        <v>0</v>
      </c>
      <c r="AT157" s="787">
        <v>0</v>
      </c>
      <c r="AU157" s="787">
        <v>32783.440000000002</v>
      </c>
      <c r="AV157" s="787">
        <v>9416.5499999999993</v>
      </c>
      <c r="AW157" s="787">
        <v>0</v>
      </c>
      <c r="AX157" s="787">
        <v>14423.8</v>
      </c>
      <c r="AY157" s="787">
        <v>0</v>
      </c>
      <c r="AZ157" s="787">
        <v>2476.61</v>
      </c>
      <c r="BA157" s="787">
        <v>5139.75</v>
      </c>
      <c r="BB157" s="787">
        <v>0</v>
      </c>
      <c r="BC157" s="787">
        <v>129296.16</v>
      </c>
      <c r="BD157" s="787">
        <v>37844.61</v>
      </c>
      <c r="BE157" s="787">
        <v>5320.32</v>
      </c>
      <c r="BF157" s="787">
        <v>112873.5</v>
      </c>
      <c r="BG157" s="787">
        <v>400</v>
      </c>
      <c r="BH157" s="787">
        <v>0</v>
      </c>
      <c r="BI157" s="787">
        <v>0</v>
      </c>
      <c r="BJ157" s="787">
        <v>1906896.54</v>
      </c>
      <c r="BK157" s="787">
        <v>573548.19999999995</v>
      </c>
      <c r="BL157" s="787">
        <v>87750.53920952417</v>
      </c>
      <c r="BM157" s="787">
        <v>661298.73920952412</v>
      </c>
      <c r="BN157" s="787">
        <v>12486.5</v>
      </c>
      <c r="BO157" s="787">
        <v>0</v>
      </c>
      <c r="BP157" s="787">
        <v>0</v>
      </c>
      <c r="BQ157" s="787">
        <v>12486.5</v>
      </c>
      <c r="BR157" s="787">
        <v>0</v>
      </c>
      <c r="BS157" s="787">
        <v>13802.5</v>
      </c>
      <c r="BT157" s="787">
        <v>0</v>
      </c>
      <c r="BU157" s="787">
        <v>0</v>
      </c>
      <c r="BV157" s="787">
        <v>0</v>
      </c>
      <c r="BW157" s="787">
        <v>0</v>
      </c>
      <c r="BX157" s="787">
        <v>0</v>
      </c>
      <c r="BY157" s="787">
        <v>0</v>
      </c>
      <c r="BZ157" s="787">
        <v>13802.5</v>
      </c>
      <c r="CA157" s="787">
        <v>1316.25</v>
      </c>
      <c r="CB157" s="787">
        <v>-1316</v>
      </c>
      <c r="CC157" s="787">
        <v>0.25</v>
      </c>
      <c r="CD157" s="787">
        <v>0</v>
      </c>
      <c r="CE157" s="787">
        <v>0</v>
      </c>
      <c r="CF157" s="787">
        <v>0</v>
      </c>
      <c r="CG157" s="787">
        <v>0</v>
      </c>
      <c r="CH157" s="787">
        <v>0</v>
      </c>
      <c r="CI157" s="787">
        <v>0</v>
      </c>
      <c r="CJ157" s="787">
        <v>0</v>
      </c>
      <c r="CK157" s="787">
        <v>0</v>
      </c>
      <c r="CL157" s="787">
        <v>0</v>
      </c>
      <c r="CM157" s="787">
        <v>661298.73920952412</v>
      </c>
      <c r="CN157" s="787">
        <v>0</v>
      </c>
      <c r="CO157" s="787">
        <v>0</v>
      </c>
      <c r="CP157" s="787">
        <v>0.25</v>
      </c>
      <c r="CQ157" s="787">
        <v>0</v>
      </c>
      <c r="CR157" s="787">
        <v>661298.98920952412</v>
      </c>
      <c r="CS157" s="787">
        <v>761519.85</v>
      </c>
      <c r="CT157" s="787">
        <v>13324.14</v>
      </c>
      <c r="CU157" s="787">
        <v>400</v>
      </c>
      <c r="CV157" s="787">
        <v>748595.71</v>
      </c>
      <c r="CW157" s="787">
        <v>0</v>
      </c>
      <c r="CX157" s="787">
        <v>3812.94</v>
      </c>
      <c r="CY157" s="787">
        <v>1276.93</v>
      </c>
      <c r="CZ157" s="787">
        <v>-3516.6</v>
      </c>
      <c r="DA157" s="787">
        <v>2.0299999999999998</v>
      </c>
      <c r="DB157" s="787">
        <v>750171.01</v>
      </c>
      <c r="DC157" s="787">
        <v>0</v>
      </c>
      <c r="DD157" s="787">
        <v>0</v>
      </c>
      <c r="DE157" s="787">
        <v>0</v>
      </c>
      <c r="DF157" s="787">
        <v>0</v>
      </c>
      <c r="DG157" s="787"/>
      <c r="DH157" s="787"/>
      <c r="DI157" s="787"/>
      <c r="DJ157" s="787">
        <v>0</v>
      </c>
      <c r="DK157" s="787">
        <v>0</v>
      </c>
      <c r="DL157" s="787">
        <v>8193.01</v>
      </c>
      <c r="DM157" s="787">
        <v>0</v>
      </c>
      <c r="DN157" s="787">
        <v>8082</v>
      </c>
      <c r="DO157" s="787">
        <v>0</v>
      </c>
      <c r="DP157" s="787">
        <v>-18268.41</v>
      </c>
      <c r="DQ157" s="787">
        <v>-32935.769999999997</v>
      </c>
      <c r="DR157" s="787">
        <v>0</v>
      </c>
      <c r="DS157" s="787">
        <v>0</v>
      </c>
      <c r="DT157" s="787">
        <v>-34929.17</v>
      </c>
      <c r="DU157" s="787">
        <v>55976.72</v>
      </c>
      <c r="DV157" s="787">
        <v>0</v>
      </c>
      <c r="DW157" s="787">
        <v>0</v>
      </c>
      <c r="DX157" s="787">
        <v>0</v>
      </c>
      <c r="DY157" s="787">
        <v>0</v>
      </c>
      <c r="DZ157" s="787">
        <v>-109919.59</v>
      </c>
      <c r="EA157" s="787">
        <v>1.9209524034522474E-2</v>
      </c>
      <c r="EE157">
        <f>_xlfn.XLOOKUP(C157,'[1]Cfwd Analysis'!$C:$C,'[1]Cfwd Analysis'!$I:$I,0,0)</f>
        <v>661298.73920952412</v>
      </c>
      <c r="EF157" s="788">
        <f t="shared" si="2"/>
        <v>0</v>
      </c>
    </row>
    <row r="158" spans="1:136" ht="15.6" hidden="1">
      <c r="A158" s="782" t="s">
        <v>1452</v>
      </c>
      <c r="B158" s="782" t="s">
        <v>926</v>
      </c>
      <c r="C158" s="783">
        <v>3346</v>
      </c>
      <c r="D158" s="784" t="s">
        <v>927</v>
      </c>
      <c r="E158" s="785" t="s">
        <v>521</v>
      </c>
      <c r="F158" s="786">
        <v>46094</v>
      </c>
      <c r="G158" s="785" t="s">
        <v>5</v>
      </c>
      <c r="H158" s="785" t="s">
        <v>878</v>
      </c>
      <c r="I158" s="787">
        <v>2444223.3771132822</v>
      </c>
      <c r="J158" s="787">
        <v>0</v>
      </c>
      <c r="K158" s="787">
        <v>198052.22999999998</v>
      </c>
      <c r="L158" s="787">
        <v>0</v>
      </c>
      <c r="M158" s="787">
        <v>238520</v>
      </c>
      <c r="N158" s="787">
        <v>88710.69</v>
      </c>
      <c r="O158" s="787">
        <v>0</v>
      </c>
      <c r="P158" s="787">
        <v>0</v>
      </c>
      <c r="Q158" s="787">
        <v>32567.54</v>
      </c>
      <c r="R158" s="787">
        <v>23059</v>
      </c>
      <c r="S158" s="787">
        <v>0</v>
      </c>
      <c r="T158" s="787">
        <v>0</v>
      </c>
      <c r="U158" s="787">
        <v>4075</v>
      </c>
      <c r="V158" s="787">
        <v>0</v>
      </c>
      <c r="W158" s="787">
        <v>0</v>
      </c>
      <c r="X158" s="787">
        <v>3029207.8371132822</v>
      </c>
      <c r="Y158" s="787">
        <v>1378537.86</v>
      </c>
      <c r="Z158" s="787">
        <v>0</v>
      </c>
      <c r="AA158" s="787">
        <v>508104.95</v>
      </c>
      <c r="AB158" s="787">
        <v>92482.94</v>
      </c>
      <c r="AC158" s="787">
        <v>183656.17</v>
      </c>
      <c r="AD158" s="787">
        <v>0</v>
      </c>
      <c r="AE158" s="787">
        <v>105182.36</v>
      </c>
      <c r="AF158" s="787">
        <v>5284</v>
      </c>
      <c r="AG158" s="787">
        <v>13436</v>
      </c>
      <c r="AH158" s="787">
        <v>0</v>
      </c>
      <c r="AI158" s="787">
        <v>0</v>
      </c>
      <c r="AJ158" s="787">
        <v>51438</v>
      </c>
      <c r="AK158" s="787">
        <v>0</v>
      </c>
      <c r="AL158" s="787">
        <v>53590</v>
      </c>
      <c r="AM158" s="787">
        <v>11567</v>
      </c>
      <c r="AN158" s="787">
        <v>46183</v>
      </c>
      <c r="AO158" s="787">
        <v>7128.4500000000016</v>
      </c>
      <c r="AP158" s="787">
        <v>9791.56</v>
      </c>
      <c r="AQ158" s="787">
        <v>71612</v>
      </c>
      <c r="AR158" s="787">
        <v>0</v>
      </c>
      <c r="AS158" s="787">
        <v>0</v>
      </c>
      <c r="AT158" s="787">
        <v>3412</v>
      </c>
      <c r="AU158" s="787">
        <v>53230</v>
      </c>
      <c r="AV158" s="787">
        <v>14119</v>
      </c>
      <c r="AW158" s="787">
        <v>0</v>
      </c>
      <c r="AX158" s="787">
        <v>18900</v>
      </c>
      <c r="AY158" s="787">
        <v>0</v>
      </c>
      <c r="AZ158" s="787">
        <v>132723.76999999999</v>
      </c>
      <c r="BA158" s="787">
        <v>11010</v>
      </c>
      <c r="BB158" s="787">
        <v>0</v>
      </c>
      <c r="BC158" s="787">
        <v>243463.2</v>
      </c>
      <c r="BD158" s="787">
        <v>120798</v>
      </c>
      <c r="BE158" s="787">
        <v>13134.480000000001</v>
      </c>
      <c r="BF158" s="787">
        <v>44646</v>
      </c>
      <c r="BG158" s="787">
        <v>0</v>
      </c>
      <c r="BH158" s="787">
        <v>0</v>
      </c>
      <c r="BI158" s="787">
        <v>0</v>
      </c>
      <c r="BJ158" s="787">
        <v>3193430.74</v>
      </c>
      <c r="BK158" s="787">
        <v>-714428.92443226848</v>
      </c>
      <c r="BL158" s="787">
        <v>-164222.90288671805</v>
      </c>
      <c r="BM158" s="787">
        <v>-878651.82731898653</v>
      </c>
      <c r="BN158" s="787">
        <v>0</v>
      </c>
      <c r="BO158" s="787">
        <v>0</v>
      </c>
      <c r="BP158" s="787">
        <v>0</v>
      </c>
      <c r="BQ158" s="787">
        <v>0</v>
      </c>
      <c r="BR158" s="787">
        <v>0</v>
      </c>
      <c r="BS158" s="787">
        <v>0</v>
      </c>
      <c r="BT158" s="787">
        <v>0</v>
      </c>
      <c r="BU158" s="787">
        <v>0</v>
      </c>
      <c r="BV158" s="787">
        <v>0</v>
      </c>
      <c r="BW158" s="787">
        <v>0</v>
      </c>
      <c r="BX158" s="787">
        <v>0</v>
      </c>
      <c r="BY158" s="787">
        <v>0</v>
      </c>
      <c r="BZ158" s="787">
        <v>0</v>
      </c>
      <c r="CA158" s="787">
        <v>0</v>
      </c>
      <c r="CB158" s="787">
        <v>0</v>
      </c>
      <c r="CC158" s="787">
        <v>0</v>
      </c>
      <c r="CD158" s="787">
        <v>0</v>
      </c>
      <c r="CE158" s="787">
        <v>0</v>
      </c>
      <c r="CF158" s="787">
        <v>0</v>
      </c>
      <c r="CG158" s="787">
        <v>0</v>
      </c>
      <c r="CH158" s="787">
        <v>0</v>
      </c>
      <c r="CI158" s="787">
        <v>0</v>
      </c>
      <c r="CJ158" s="787">
        <v>0</v>
      </c>
      <c r="CK158" s="787">
        <v>0</v>
      </c>
      <c r="CL158" s="787">
        <v>0</v>
      </c>
      <c r="CM158" s="787">
        <v>0</v>
      </c>
      <c r="CN158" s="787">
        <v>-878651.82731898653</v>
      </c>
      <c r="CO158" s="787">
        <v>0</v>
      </c>
      <c r="CP158" s="787">
        <v>0</v>
      </c>
      <c r="CQ158" s="787">
        <v>0</v>
      </c>
      <c r="CR158" s="787">
        <v>-878651.82731898653</v>
      </c>
      <c r="CS158" s="787">
        <v>-645656.06999999995</v>
      </c>
      <c r="CT158" s="787">
        <v>25658.16</v>
      </c>
      <c r="CU158" s="787">
        <v>0</v>
      </c>
      <c r="CV158" s="787">
        <v>-671314.23</v>
      </c>
      <c r="CW158" s="787">
        <v>0</v>
      </c>
      <c r="CX158" s="787">
        <v>11069.75</v>
      </c>
      <c r="CY158" s="787">
        <v>3944.43</v>
      </c>
      <c r="CZ158" s="787">
        <v>54655.07</v>
      </c>
      <c r="DA158" s="787">
        <v>0</v>
      </c>
      <c r="DB158" s="787">
        <v>-601644.98</v>
      </c>
      <c r="DC158" s="787">
        <v>0</v>
      </c>
      <c r="DD158" s="787">
        <v>0</v>
      </c>
      <c r="DE158" s="787">
        <v>0</v>
      </c>
      <c r="DF158" s="787">
        <v>0</v>
      </c>
      <c r="DG158" s="787"/>
      <c r="DH158" s="787"/>
      <c r="DI158" s="787"/>
      <c r="DJ158" s="787">
        <v>0</v>
      </c>
      <c r="DK158" s="787">
        <v>0</v>
      </c>
      <c r="DL158" s="787">
        <v>0</v>
      </c>
      <c r="DM158" s="787">
        <v>0</v>
      </c>
      <c r="DN158" s="787">
        <v>0</v>
      </c>
      <c r="DO158" s="787">
        <v>0</v>
      </c>
      <c r="DP158" s="787">
        <v>-189134.28</v>
      </c>
      <c r="DQ158" s="787">
        <v>-64667.76</v>
      </c>
      <c r="DR158" s="787">
        <v>0</v>
      </c>
      <c r="DS158" s="787">
        <v>0</v>
      </c>
      <c r="DT158" s="787">
        <v>-253802.04</v>
      </c>
      <c r="DU158" s="787">
        <v>18027.47</v>
      </c>
      <c r="DV158" s="787">
        <v>337.75</v>
      </c>
      <c r="DW158" s="787">
        <v>-3863</v>
      </c>
      <c r="DX158" s="787">
        <v>-1100</v>
      </c>
      <c r="DY158" s="787">
        <v>0</v>
      </c>
      <c r="DZ158" s="787">
        <v>-36607.089999999997</v>
      </c>
      <c r="EA158" s="787">
        <v>6.268101348541677E-2</v>
      </c>
      <c r="EE158">
        <f>_xlfn.XLOOKUP(C158,'[1]Cfwd Analysis'!$C:$C,'[1]Cfwd Analysis'!$I:$I,0,0)</f>
        <v>-878651.82731898653</v>
      </c>
      <c r="EF158" s="788">
        <f t="shared" si="2"/>
        <v>0</v>
      </c>
    </row>
    <row r="159" spans="1:136" ht="15.6" hidden="1">
      <c r="A159" s="782" t="s">
        <v>1453</v>
      </c>
      <c r="B159" s="782" t="s">
        <v>800</v>
      </c>
      <c r="C159" s="783">
        <v>4606</v>
      </c>
      <c r="D159" s="784" t="s">
        <v>801</v>
      </c>
      <c r="E159" s="785" t="s">
        <v>521</v>
      </c>
      <c r="F159" s="786">
        <v>46094</v>
      </c>
      <c r="G159" s="785" t="s">
        <v>5</v>
      </c>
      <c r="H159" s="785" t="s">
        <v>800</v>
      </c>
      <c r="I159" s="787">
        <v>6229673.4000000004</v>
      </c>
      <c r="J159" s="787">
        <v>1326842.71</v>
      </c>
      <c r="K159" s="787">
        <v>75863</v>
      </c>
      <c r="L159" s="787">
        <v>0</v>
      </c>
      <c r="M159" s="787">
        <v>284370</v>
      </c>
      <c r="N159" s="787">
        <v>15918.52</v>
      </c>
      <c r="O159" s="787">
        <v>7664.7</v>
      </c>
      <c r="P159" s="787">
        <v>0</v>
      </c>
      <c r="Q159" s="787">
        <v>61245.740000000005</v>
      </c>
      <c r="R159" s="787">
        <v>0</v>
      </c>
      <c r="S159" s="787">
        <v>0</v>
      </c>
      <c r="T159" s="787">
        <v>0</v>
      </c>
      <c r="U159" s="787">
        <v>350544.4</v>
      </c>
      <c r="V159" s="787">
        <v>0</v>
      </c>
      <c r="W159" s="787">
        <v>0</v>
      </c>
      <c r="X159" s="787">
        <v>8352122.4700000007</v>
      </c>
      <c r="Y159" s="787">
        <v>5590316.6799999997</v>
      </c>
      <c r="Z159" s="787">
        <v>0</v>
      </c>
      <c r="AA159" s="787">
        <v>495616.57</v>
      </c>
      <c r="AB159" s="787">
        <v>88970.989999999991</v>
      </c>
      <c r="AC159" s="787">
        <v>466621.92999999993</v>
      </c>
      <c r="AD159" s="787">
        <v>0</v>
      </c>
      <c r="AE159" s="787">
        <v>102786.53</v>
      </c>
      <c r="AF159" s="787">
        <v>56833.130000000005</v>
      </c>
      <c r="AG159" s="787">
        <v>4175.95</v>
      </c>
      <c r="AH159" s="787">
        <v>0</v>
      </c>
      <c r="AI159" s="787">
        <v>0</v>
      </c>
      <c r="AJ159" s="787">
        <v>62567.32</v>
      </c>
      <c r="AK159" s="787">
        <v>6874.36</v>
      </c>
      <c r="AL159" s="787">
        <v>161038.85</v>
      </c>
      <c r="AM159" s="787">
        <v>13119.61</v>
      </c>
      <c r="AN159" s="787">
        <v>121682.1</v>
      </c>
      <c r="AO159" s="787">
        <v>14944</v>
      </c>
      <c r="AP159" s="787">
        <v>24383.760000000002</v>
      </c>
      <c r="AQ159" s="787">
        <v>400877.95999999996</v>
      </c>
      <c r="AR159" s="787">
        <v>952.42</v>
      </c>
      <c r="AS159" s="787">
        <v>0</v>
      </c>
      <c r="AT159" s="787">
        <v>15038.990000000002</v>
      </c>
      <c r="AU159" s="787">
        <v>0</v>
      </c>
      <c r="AV159" s="787">
        <v>18419.68</v>
      </c>
      <c r="AW159" s="787">
        <v>9925.64</v>
      </c>
      <c r="AX159" s="787">
        <v>31835.919999999998</v>
      </c>
      <c r="AY159" s="787">
        <v>120702.47</v>
      </c>
      <c r="AZ159" s="787">
        <v>92485.239999999976</v>
      </c>
      <c r="BA159" s="787">
        <v>24313</v>
      </c>
      <c r="BB159" s="787">
        <v>0</v>
      </c>
      <c r="BC159" s="787">
        <v>68558.44</v>
      </c>
      <c r="BD159" s="787">
        <v>65211.22</v>
      </c>
      <c r="BE159" s="787">
        <v>46497.32</v>
      </c>
      <c r="BF159" s="787">
        <v>271798.57</v>
      </c>
      <c r="BG159" s="787">
        <v>516.45000000000005</v>
      </c>
      <c r="BH159" s="787">
        <v>0</v>
      </c>
      <c r="BI159" s="787">
        <v>0</v>
      </c>
      <c r="BJ159" s="787">
        <v>8377065.1000000006</v>
      </c>
      <c r="BK159" s="787">
        <v>234294.16999999981</v>
      </c>
      <c r="BL159" s="787">
        <v>-24942.629999999888</v>
      </c>
      <c r="BM159" s="787">
        <v>209351.53999999992</v>
      </c>
      <c r="BN159" s="787">
        <v>0</v>
      </c>
      <c r="BO159" s="787">
        <v>0</v>
      </c>
      <c r="BP159" s="787">
        <v>0</v>
      </c>
      <c r="BQ159" s="787">
        <v>0</v>
      </c>
      <c r="BR159" s="787">
        <v>0</v>
      </c>
      <c r="BS159" s="787">
        <v>0</v>
      </c>
      <c r="BT159" s="787">
        <v>0</v>
      </c>
      <c r="BU159" s="787">
        <v>0</v>
      </c>
      <c r="BV159" s="787">
        <v>0</v>
      </c>
      <c r="BW159" s="787">
        <v>0</v>
      </c>
      <c r="BX159" s="787">
        <v>0</v>
      </c>
      <c r="BY159" s="787">
        <v>0</v>
      </c>
      <c r="BZ159" s="787">
        <v>0</v>
      </c>
      <c r="CA159" s="787">
        <v>0</v>
      </c>
      <c r="CB159" s="787">
        <v>0</v>
      </c>
      <c r="CC159" s="787">
        <v>0</v>
      </c>
      <c r="CD159" s="787">
        <v>0</v>
      </c>
      <c r="CE159" s="787">
        <v>0</v>
      </c>
      <c r="CF159" s="787">
        <v>0</v>
      </c>
      <c r="CG159" s="787">
        <v>0</v>
      </c>
      <c r="CH159" s="787">
        <v>0</v>
      </c>
      <c r="CI159" s="787">
        <v>0</v>
      </c>
      <c r="CJ159" s="787">
        <v>0</v>
      </c>
      <c r="CK159" s="787">
        <v>0</v>
      </c>
      <c r="CL159" s="787">
        <v>0</v>
      </c>
      <c r="CM159" s="787">
        <v>209351.53999999992</v>
      </c>
      <c r="CN159" s="787">
        <v>0</v>
      </c>
      <c r="CO159" s="787">
        <v>0</v>
      </c>
      <c r="CP159" s="787">
        <v>0</v>
      </c>
      <c r="CQ159" s="787">
        <v>0</v>
      </c>
      <c r="CR159" s="787">
        <v>209351.53999999992</v>
      </c>
      <c r="CS159" s="787">
        <v>651975.1</v>
      </c>
      <c r="CT159" s="787">
        <v>24429.68</v>
      </c>
      <c r="CU159" s="787">
        <v>0</v>
      </c>
      <c r="CV159" s="787">
        <v>627545.41999999993</v>
      </c>
      <c r="CW159" s="787">
        <v>0</v>
      </c>
      <c r="CX159" s="787">
        <v>25713.32</v>
      </c>
      <c r="CY159" s="787">
        <v>7441.43</v>
      </c>
      <c r="CZ159" s="787">
        <v>0</v>
      </c>
      <c r="DA159" s="787">
        <v>0</v>
      </c>
      <c r="DB159" s="787">
        <v>660700.16999999993</v>
      </c>
      <c r="DC159" s="787">
        <v>99397.47</v>
      </c>
      <c r="DD159" s="787">
        <v>0</v>
      </c>
      <c r="DE159" s="787">
        <v>90.54</v>
      </c>
      <c r="DF159" s="787">
        <v>99488.01</v>
      </c>
      <c r="DG159" s="787"/>
      <c r="DH159" s="787"/>
      <c r="DI159" s="787"/>
      <c r="DJ159" s="787">
        <v>0</v>
      </c>
      <c r="DK159" s="787">
        <v>99488.01</v>
      </c>
      <c r="DL159" s="787">
        <v>1416.5</v>
      </c>
      <c r="DM159" s="787">
        <v>0</v>
      </c>
      <c r="DN159" s="787">
        <v>112345.3</v>
      </c>
      <c r="DO159" s="787">
        <v>0</v>
      </c>
      <c r="DP159" s="787">
        <v>-68926.679999999993</v>
      </c>
      <c r="DQ159" s="787">
        <v>0</v>
      </c>
      <c r="DR159" s="787">
        <v>-26376.31</v>
      </c>
      <c r="DS159" s="787">
        <v>0</v>
      </c>
      <c r="DT159" s="787">
        <v>18458.810000000009</v>
      </c>
      <c r="DU159" s="787">
        <v>500</v>
      </c>
      <c r="DV159" s="787">
        <v>0</v>
      </c>
      <c r="DW159" s="787">
        <v>0</v>
      </c>
      <c r="DX159" s="787">
        <v>0</v>
      </c>
      <c r="DY159" s="787">
        <v>0</v>
      </c>
      <c r="DZ159" s="787">
        <v>-569795.44999999995</v>
      </c>
      <c r="EA159" s="787">
        <v>0</v>
      </c>
      <c r="EE159">
        <f>_xlfn.XLOOKUP(C159,'[1]Cfwd Analysis'!$C:$C,'[1]Cfwd Analysis'!$I:$I,0,0)</f>
        <v>209351.53999999992</v>
      </c>
      <c r="EF159" s="788">
        <f t="shared" si="2"/>
        <v>0</v>
      </c>
    </row>
    <row r="160" spans="1:136" ht="15.6" hidden="1">
      <c r="A160" s="782" t="s">
        <v>1454</v>
      </c>
      <c r="B160" s="782" t="s">
        <v>802</v>
      </c>
      <c r="C160" s="783">
        <v>3428</v>
      </c>
      <c r="D160" s="784" t="s">
        <v>803</v>
      </c>
      <c r="E160" s="785" t="s">
        <v>521</v>
      </c>
      <c r="F160" s="786" t="s">
        <v>1322</v>
      </c>
      <c r="G160" s="785" t="s">
        <v>5</v>
      </c>
      <c r="H160" s="785" t="s">
        <v>802</v>
      </c>
      <c r="I160" s="787">
        <v>2394551.2330353311</v>
      </c>
      <c r="J160" s="787">
        <v>0</v>
      </c>
      <c r="K160" s="787">
        <v>197963.82666666666</v>
      </c>
      <c r="L160" s="787">
        <v>0</v>
      </c>
      <c r="M160" s="787">
        <v>128690</v>
      </c>
      <c r="N160" s="787">
        <v>81892</v>
      </c>
      <c r="O160" s="787">
        <v>0</v>
      </c>
      <c r="P160" s="787">
        <v>0</v>
      </c>
      <c r="Q160" s="787">
        <v>218083.8</v>
      </c>
      <c r="R160" s="787">
        <v>46385.14</v>
      </c>
      <c r="S160" s="787">
        <v>0</v>
      </c>
      <c r="T160" s="787">
        <v>0</v>
      </c>
      <c r="U160" s="787">
        <v>45770</v>
      </c>
      <c r="V160" s="787">
        <v>0</v>
      </c>
      <c r="W160" s="787">
        <v>0</v>
      </c>
      <c r="X160" s="787">
        <v>3113335.9997019977</v>
      </c>
      <c r="Y160" s="787">
        <v>1452272.1300000001</v>
      </c>
      <c r="Z160" s="787">
        <v>0</v>
      </c>
      <c r="AA160" s="787">
        <v>510658.45</v>
      </c>
      <c r="AB160" s="787">
        <v>52646.13</v>
      </c>
      <c r="AC160" s="787">
        <v>205686.79</v>
      </c>
      <c r="AD160" s="787">
        <v>81454.64</v>
      </c>
      <c r="AE160" s="787">
        <v>247011.41</v>
      </c>
      <c r="AF160" s="787">
        <v>0</v>
      </c>
      <c r="AG160" s="787">
        <v>10201</v>
      </c>
      <c r="AH160" s="787">
        <v>0</v>
      </c>
      <c r="AI160" s="787">
        <v>0</v>
      </c>
      <c r="AJ160" s="787">
        <v>8067.42</v>
      </c>
      <c r="AK160" s="787">
        <v>49.92</v>
      </c>
      <c r="AL160" s="787">
        <v>47358.720000000001</v>
      </c>
      <c r="AM160" s="787">
        <v>11534.26</v>
      </c>
      <c r="AN160" s="787">
        <v>42172.19</v>
      </c>
      <c r="AO160" s="787">
        <v>44784.73000000001</v>
      </c>
      <c r="AP160" s="787">
        <v>18830.849999999999</v>
      </c>
      <c r="AQ160" s="787">
        <v>36684.36</v>
      </c>
      <c r="AR160" s="787">
        <v>0</v>
      </c>
      <c r="AS160" s="787">
        <v>0</v>
      </c>
      <c r="AT160" s="787">
        <v>228.67000000000002</v>
      </c>
      <c r="AU160" s="787">
        <v>0</v>
      </c>
      <c r="AV160" s="787">
        <v>0</v>
      </c>
      <c r="AW160" s="787">
        <v>0</v>
      </c>
      <c r="AX160" s="787">
        <v>0</v>
      </c>
      <c r="AY160" s="787">
        <v>0</v>
      </c>
      <c r="AZ160" s="787">
        <v>12058.56</v>
      </c>
      <c r="BA160" s="787">
        <v>9471</v>
      </c>
      <c r="BB160" s="787">
        <v>7179.15</v>
      </c>
      <c r="BC160" s="787">
        <v>65811.61</v>
      </c>
      <c r="BD160" s="787">
        <v>159880.06</v>
      </c>
      <c r="BE160" s="787">
        <v>36336.81</v>
      </c>
      <c r="BF160" s="787">
        <v>157658.03</v>
      </c>
      <c r="BG160" s="787">
        <v>0</v>
      </c>
      <c r="BH160" s="787">
        <v>0</v>
      </c>
      <c r="BI160" s="787">
        <v>0</v>
      </c>
      <c r="BJ160" s="787">
        <v>3218036.8899999997</v>
      </c>
      <c r="BK160" s="787">
        <v>13268</v>
      </c>
      <c r="BL160" s="787">
        <v>-104700.89029800193</v>
      </c>
      <c r="BM160" s="787">
        <v>-91432.890298001934</v>
      </c>
      <c r="BN160" s="787">
        <v>0</v>
      </c>
      <c r="BO160" s="787">
        <v>0</v>
      </c>
      <c r="BP160" s="787">
        <v>0</v>
      </c>
      <c r="BQ160" s="787">
        <v>0</v>
      </c>
      <c r="BR160" s="787">
        <v>0</v>
      </c>
      <c r="BS160" s="787">
        <v>0</v>
      </c>
      <c r="BT160" s="787">
        <v>0</v>
      </c>
      <c r="BU160" s="787">
        <v>0</v>
      </c>
      <c r="BV160" s="787">
        <v>0</v>
      </c>
      <c r="BW160" s="787">
        <v>0</v>
      </c>
      <c r="BX160" s="787">
        <v>0</v>
      </c>
      <c r="BY160" s="787">
        <v>0</v>
      </c>
      <c r="BZ160" s="787">
        <v>0</v>
      </c>
      <c r="CA160" s="787">
        <v>0</v>
      </c>
      <c r="CB160" s="787">
        <v>0</v>
      </c>
      <c r="CC160" s="787">
        <v>0</v>
      </c>
      <c r="CD160" s="787">
        <v>0</v>
      </c>
      <c r="CE160" s="787">
        <v>0</v>
      </c>
      <c r="CF160" s="787">
        <v>0</v>
      </c>
      <c r="CG160" s="787">
        <v>0</v>
      </c>
      <c r="CH160" s="787">
        <v>0</v>
      </c>
      <c r="CI160" s="787">
        <v>0</v>
      </c>
      <c r="CJ160" s="787">
        <v>0</v>
      </c>
      <c r="CK160" s="787">
        <v>0</v>
      </c>
      <c r="CL160" s="787">
        <v>0</v>
      </c>
      <c r="CM160" s="787">
        <v>0</v>
      </c>
      <c r="CN160" s="787">
        <v>-91432.890298001934</v>
      </c>
      <c r="CO160" s="787">
        <v>0</v>
      </c>
      <c r="CP160" s="787">
        <v>0</v>
      </c>
      <c r="CQ160" s="787">
        <v>0</v>
      </c>
      <c r="CR160" s="787">
        <v>-91432.890298001934</v>
      </c>
      <c r="CS160" s="787">
        <v>257542.33</v>
      </c>
      <c r="CT160" s="787">
        <v>54560.480000000003</v>
      </c>
      <c r="CU160" s="787">
        <v>3487.34</v>
      </c>
      <c r="CV160" s="787">
        <v>206469.18999999997</v>
      </c>
      <c r="CW160" s="787">
        <v>0</v>
      </c>
      <c r="CX160" s="787">
        <v>5757.96</v>
      </c>
      <c r="CY160" s="787">
        <v>1997.02</v>
      </c>
      <c r="CZ160" s="787">
        <v>0</v>
      </c>
      <c r="DA160" s="787">
        <v>0</v>
      </c>
      <c r="DB160" s="787">
        <v>214224.16999999995</v>
      </c>
      <c r="DC160" s="787">
        <v>21002</v>
      </c>
      <c r="DD160" s="787">
        <v>0</v>
      </c>
      <c r="DE160" s="787">
        <v>0</v>
      </c>
      <c r="DF160" s="787">
        <v>21002</v>
      </c>
      <c r="DG160" s="787"/>
      <c r="DH160" s="787"/>
      <c r="DI160" s="787"/>
      <c r="DJ160" s="787">
        <v>-100000</v>
      </c>
      <c r="DK160" s="787">
        <v>-78998</v>
      </c>
      <c r="DL160" s="787">
        <v>13677.65</v>
      </c>
      <c r="DM160" s="787">
        <v>0</v>
      </c>
      <c r="DN160" s="787">
        <v>0</v>
      </c>
      <c r="DO160" s="787">
        <v>0</v>
      </c>
      <c r="DP160" s="787">
        <v>-202694.9</v>
      </c>
      <c r="DQ160" s="787">
        <v>-37661.47</v>
      </c>
      <c r="DR160" s="787">
        <v>0</v>
      </c>
      <c r="DS160" s="787">
        <v>0</v>
      </c>
      <c r="DT160" s="787">
        <v>-226678.72</v>
      </c>
      <c r="DU160" s="787">
        <v>19.649999999999999</v>
      </c>
      <c r="DV160" s="787">
        <v>0</v>
      </c>
      <c r="DW160" s="787">
        <v>0</v>
      </c>
      <c r="DX160" s="787">
        <v>0</v>
      </c>
      <c r="DY160" s="787">
        <v>0</v>
      </c>
      <c r="DZ160" s="787">
        <v>0</v>
      </c>
      <c r="EA160" s="787">
        <v>9.7019981185439974E-3</v>
      </c>
      <c r="EE160">
        <f>_xlfn.XLOOKUP(C160,'[1]Cfwd Analysis'!$C:$C,'[1]Cfwd Analysis'!$I:$I,0,0)</f>
        <v>-91432.890298001934</v>
      </c>
      <c r="EF160" s="788">
        <f t="shared" si="2"/>
        <v>0</v>
      </c>
    </row>
    <row r="161" spans="1:136" ht="15.6" hidden="1">
      <c r="A161" s="782" t="s">
        <v>1455</v>
      </c>
      <c r="B161" s="782" t="s">
        <v>804</v>
      </c>
      <c r="C161" s="783">
        <v>3019</v>
      </c>
      <c r="D161" s="784" t="s">
        <v>805</v>
      </c>
      <c r="E161" s="785" t="s">
        <v>521</v>
      </c>
      <c r="F161" s="786">
        <v>46094</v>
      </c>
      <c r="G161" s="785" t="s">
        <v>5</v>
      </c>
      <c r="H161" s="785" t="s">
        <v>818</v>
      </c>
      <c r="I161" s="787">
        <v>2593925.4865974844</v>
      </c>
      <c r="J161" s="787">
        <v>0</v>
      </c>
      <c r="K161" s="787">
        <v>279644.09999999998</v>
      </c>
      <c r="L161" s="787">
        <v>0</v>
      </c>
      <c r="M161" s="787">
        <v>327625</v>
      </c>
      <c r="N161" s="787">
        <v>59262</v>
      </c>
      <c r="O161" s="787">
        <v>0</v>
      </c>
      <c r="P161" s="787">
        <v>0</v>
      </c>
      <c r="Q161" s="787">
        <v>22152.559260000002</v>
      </c>
      <c r="R161" s="787">
        <v>23870.54</v>
      </c>
      <c r="S161" s="787">
        <v>0</v>
      </c>
      <c r="T161" s="787">
        <v>0</v>
      </c>
      <c r="U161" s="787">
        <v>19175.79</v>
      </c>
      <c r="V161" s="787">
        <v>16607.05</v>
      </c>
      <c r="W161" s="787">
        <v>0</v>
      </c>
      <c r="X161" s="787">
        <v>3342262.5258574844</v>
      </c>
      <c r="Y161" s="787">
        <v>1206408.56</v>
      </c>
      <c r="Z161" s="787">
        <v>0</v>
      </c>
      <c r="AA161" s="787">
        <v>571700.18000000005</v>
      </c>
      <c r="AB161" s="787">
        <v>80419.570000000007</v>
      </c>
      <c r="AC161" s="787">
        <v>232460.51</v>
      </c>
      <c r="AD161" s="787">
        <v>0</v>
      </c>
      <c r="AE161" s="787">
        <v>78987.710000000006</v>
      </c>
      <c r="AF161" s="787">
        <v>10778.34</v>
      </c>
      <c r="AG161" s="787">
        <v>8214.49</v>
      </c>
      <c r="AH161" s="787">
        <v>0</v>
      </c>
      <c r="AI161" s="787">
        <v>0</v>
      </c>
      <c r="AJ161" s="787">
        <v>55106.58</v>
      </c>
      <c r="AK161" s="787">
        <v>0</v>
      </c>
      <c r="AL161" s="787">
        <v>7779.53</v>
      </c>
      <c r="AM161" s="787">
        <v>9022.2000000000007</v>
      </c>
      <c r="AN161" s="787">
        <v>33390.020000000004</v>
      </c>
      <c r="AO161" s="787">
        <v>27824.829999999998</v>
      </c>
      <c r="AP161" s="787">
        <v>34622.939999999995</v>
      </c>
      <c r="AQ161" s="787">
        <v>92125.12999999999</v>
      </c>
      <c r="AR161" s="787">
        <v>0</v>
      </c>
      <c r="AS161" s="787">
        <v>0</v>
      </c>
      <c r="AT161" s="787">
        <v>26724.92</v>
      </c>
      <c r="AU161" s="787">
        <v>7188.33</v>
      </c>
      <c r="AV161" s="787">
        <v>19286</v>
      </c>
      <c r="AW161" s="787">
        <v>23589.24</v>
      </c>
      <c r="AX161" s="787">
        <v>31309.52</v>
      </c>
      <c r="AY161" s="787">
        <v>0</v>
      </c>
      <c r="AZ161" s="787">
        <v>8932.01</v>
      </c>
      <c r="BA161" s="787">
        <v>9823.7999999999993</v>
      </c>
      <c r="BB161" s="787">
        <v>20021.5</v>
      </c>
      <c r="BC161" s="787">
        <v>215007.16</v>
      </c>
      <c r="BD161" s="787">
        <v>80502.58</v>
      </c>
      <c r="BE161" s="787">
        <v>48720.640000000007</v>
      </c>
      <c r="BF161" s="787">
        <v>394549.55999999994</v>
      </c>
      <c r="BG161" s="787">
        <v>0</v>
      </c>
      <c r="BH161" s="787">
        <v>0</v>
      </c>
      <c r="BI161" s="787">
        <v>0</v>
      </c>
      <c r="BJ161" s="787">
        <v>3334495.8500000006</v>
      </c>
      <c r="BK161" s="787">
        <v>402073.16000000003</v>
      </c>
      <c r="BL161" s="787">
        <v>7766.675857483875</v>
      </c>
      <c r="BM161" s="787">
        <v>409839.83585748391</v>
      </c>
      <c r="BN161" s="787">
        <v>8612.5</v>
      </c>
      <c r="BO161" s="787">
        <v>0</v>
      </c>
      <c r="BP161" s="787">
        <v>0</v>
      </c>
      <c r="BQ161" s="787">
        <v>8612.5</v>
      </c>
      <c r="BR161" s="787">
        <v>0</v>
      </c>
      <c r="BS161" s="787">
        <v>0</v>
      </c>
      <c r="BT161" s="787">
        <v>0</v>
      </c>
      <c r="BU161" s="787">
        <v>0</v>
      </c>
      <c r="BV161" s="787">
        <v>0</v>
      </c>
      <c r="BW161" s="787">
        <v>0</v>
      </c>
      <c r="BX161" s="787">
        <v>0</v>
      </c>
      <c r="BY161" s="787">
        <v>0</v>
      </c>
      <c r="BZ161" s="787">
        <v>0</v>
      </c>
      <c r="CA161" s="787">
        <v>1803.5</v>
      </c>
      <c r="CB161" s="787">
        <v>8612.5</v>
      </c>
      <c r="CC161" s="787">
        <v>10416</v>
      </c>
      <c r="CD161" s="787">
        <v>0</v>
      </c>
      <c r="CE161" s="787">
        <v>0</v>
      </c>
      <c r="CF161" s="787">
        <v>0</v>
      </c>
      <c r="CG161" s="787">
        <v>0</v>
      </c>
      <c r="CH161" s="787">
        <v>0</v>
      </c>
      <c r="CI161" s="787">
        <v>0</v>
      </c>
      <c r="CJ161" s="787">
        <v>0</v>
      </c>
      <c r="CK161" s="787">
        <v>0</v>
      </c>
      <c r="CL161" s="787">
        <v>0</v>
      </c>
      <c r="CM161" s="787">
        <v>409839.83585748391</v>
      </c>
      <c r="CN161" s="787">
        <v>0</v>
      </c>
      <c r="CO161" s="787">
        <v>10416</v>
      </c>
      <c r="CP161" s="787">
        <v>0</v>
      </c>
      <c r="CQ161" s="787">
        <v>0</v>
      </c>
      <c r="CR161" s="787">
        <v>420255.83585748391</v>
      </c>
      <c r="CS161" s="787">
        <v>743164.53</v>
      </c>
      <c r="CT161" s="787">
        <v>0</v>
      </c>
      <c r="CU161" s="787">
        <v>0</v>
      </c>
      <c r="CV161" s="787">
        <v>743164.53</v>
      </c>
      <c r="CW161" s="787">
        <v>1008.06</v>
      </c>
      <c r="CX161" s="787">
        <v>13622.7</v>
      </c>
      <c r="CY161" s="787">
        <v>6276.17</v>
      </c>
      <c r="CZ161" s="787">
        <v>0</v>
      </c>
      <c r="DA161" s="787">
        <v>1005.01</v>
      </c>
      <c r="DB161" s="787">
        <v>765076.47000000009</v>
      </c>
      <c r="DC161" s="787">
        <v>0</v>
      </c>
      <c r="DD161" s="787">
        <v>0</v>
      </c>
      <c r="DE161" s="787">
        <v>0</v>
      </c>
      <c r="DF161" s="787">
        <v>0</v>
      </c>
      <c r="DG161" s="787"/>
      <c r="DH161" s="787"/>
      <c r="DI161" s="787"/>
      <c r="DJ161" s="787">
        <v>0</v>
      </c>
      <c r="DK161" s="787">
        <v>0</v>
      </c>
      <c r="DL161" s="787">
        <v>0</v>
      </c>
      <c r="DM161" s="787">
        <v>0</v>
      </c>
      <c r="DN161" s="787">
        <v>0</v>
      </c>
      <c r="DO161" s="787">
        <v>0</v>
      </c>
      <c r="DP161" s="787">
        <v>-67154.42</v>
      </c>
      <c r="DQ161" s="787">
        <v>-56032.5</v>
      </c>
      <c r="DR161" s="787">
        <v>0</v>
      </c>
      <c r="DS161" s="787">
        <v>0</v>
      </c>
      <c r="DT161" s="787">
        <v>-123186.92</v>
      </c>
      <c r="DU161" s="787">
        <v>0</v>
      </c>
      <c r="DV161" s="787">
        <v>0</v>
      </c>
      <c r="DW161" s="787">
        <v>0</v>
      </c>
      <c r="DX161" s="787">
        <v>0</v>
      </c>
      <c r="DY161" s="787">
        <v>0</v>
      </c>
      <c r="DZ161" s="787">
        <v>-221633.27</v>
      </c>
      <c r="EA161" s="787">
        <v>-0.44414251612033695</v>
      </c>
      <c r="EE161">
        <f>_xlfn.XLOOKUP(C161,'[1]Cfwd Analysis'!$C:$C,'[1]Cfwd Analysis'!$I:$I,0,0)</f>
        <v>409839.83585748391</v>
      </c>
      <c r="EF161" s="788">
        <f t="shared" si="2"/>
        <v>0</v>
      </c>
    </row>
    <row r="162" spans="1:136" ht="15.6" hidden="1">
      <c r="A162" s="782" t="s">
        <v>1456</v>
      </c>
      <c r="B162" s="782" t="s">
        <v>930</v>
      </c>
      <c r="C162" s="783">
        <v>1009</v>
      </c>
      <c r="D162" s="784" t="s">
        <v>931</v>
      </c>
      <c r="E162" s="785" t="s">
        <v>521</v>
      </c>
      <c r="F162" s="786">
        <v>46094</v>
      </c>
      <c r="G162" s="785" t="s">
        <v>5</v>
      </c>
      <c r="H162" s="785" t="s">
        <v>886</v>
      </c>
      <c r="I162" s="787">
        <v>713504.15031338995</v>
      </c>
      <c r="J162" s="787">
        <v>0</v>
      </c>
      <c r="K162" s="787">
        <v>87376.733200000002</v>
      </c>
      <c r="L162" s="787">
        <v>0</v>
      </c>
      <c r="M162" s="787">
        <v>0</v>
      </c>
      <c r="N162" s="787">
        <v>0</v>
      </c>
      <c r="O162" s="787">
        <v>5000</v>
      </c>
      <c r="P162" s="787">
        <v>0</v>
      </c>
      <c r="Q162" s="787">
        <v>9017.9700000000012</v>
      </c>
      <c r="R162" s="787">
        <v>4623.8</v>
      </c>
      <c r="S162" s="787">
        <v>0</v>
      </c>
      <c r="T162" s="787">
        <v>0</v>
      </c>
      <c r="U162" s="787">
        <v>29186.190000000002</v>
      </c>
      <c r="V162" s="787">
        <v>0</v>
      </c>
      <c r="W162" s="787">
        <v>0</v>
      </c>
      <c r="X162" s="787">
        <v>848708.84351339005</v>
      </c>
      <c r="Y162" s="787">
        <v>155966</v>
      </c>
      <c r="Z162" s="787">
        <v>0</v>
      </c>
      <c r="AA162" s="787">
        <v>271365.84999999998</v>
      </c>
      <c r="AB162" s="787">
        <v>0</v>
      </c>
      <c r="AC162" s="787">
        <v>44667.55</v>
      </c>
      <c r="AD162" s="787">
        <v>0</v>
      </c>
      <c r="AE162" s="787">
        <v>0</v>
      </c>
      <c r="AF162" s="787">
        <v>1435</v>
      </c>
      <c r="AG162" s="787">
        <v>11665</v>
      </c>
      <c r="AH162" s="787">
        <v>0</v>
      </c>
      <c r="AI162" s="787">
        <v>3292</v>
      </c>
      <c r="AJ162" s="787">
        <v>12856</v>
      </c>
      <c r="AK162" s="787">
        <v>4663</v>
      </c>
      <c r="AL162" s="787">
        <v>36815.449999999997</v>
      </c>
      <c r="AM162" s="787">
        <v>0</v>
      </c>
      <c r="AN162" s="787">
        <v>55000</v>
      </c>
      <c r="AO162" s="787">
        <v>0</v>
      </c>
      <c r="AP162" s="787">
        <v>0</v>
      </c>
      <c r="AQ162" s="787">
        <v>14070</v>
      </c>
      <c r="AR162" s="787">
        <v>4624</v>
      </c>
      <c r="AS162" s="787">
        <v>0</v>
      </c>
      <c r="AT162" s="787">
        <v>380</v>
      </c>
      <c r="AU162" s="787">
        <v>6866.5</v>
      </c>
      <c r="AV162" s="787">
        <v>115</v>
      </c>
      <c r="AW162" s="787">
        <v>0</v>
      </c>
      <c r="AX162" s="787">
        <v>11326.89</v>
      </c>
      <c r="AY162" s="787">
        <v>0</v>
      </c>
      <c r="AZ162" s="787">
        <v>1994</v>
      </c>
      <c r="BA162" s="787">
        <v>3291.75</v>
      </c>
      <c r="BB162" s="787">
        <v>0</v>
      </c>
      <c r="BC162" s="787">
        <v>20650</v>
      </c>
      <c r="BD162" s="787">
        <v>0</v>
      </c>
      <c r="BE162" s="787">
        <v>155073.29999999999</v>
      </c>
      <c r="BF162" s="787">
        <v>14226.71</v>
      </c>
      <c r="BG162" s="787">
        <v>0</v>
      </c>
      <c r="BH162" s="787">
        <v>0</v>
      </c>
      <c r="BI162" s="787">
        <v>0</v>
      </c>
      <c r="BJ162" s="787">
        <v>830344</v>
      </c>
      <c r="BK162" s="787">
        <v>-1348493.9999999998</v>
      </c>
      <c r="BL162" s="787">
        <v>18364.843513390049</v>
      </c>
      <c r="BM162" s="787">
        <v>-1330129.1564866097</v>
      </c>
      <c r="BN162" s="787">
        <v>4823.5</v>
      </c>
      <c r="BO162" s="787">
        <v>0</v>
      </c>
      <c r="BP162" s="787">
        <v>0</v>
      </c>
      <c r="BQ162" s="787">
        <v>4823.5</v>
      </c>
      <c r="BR162" s="787">
        <v>0</v>
      </c>
      <c r="BS162" s="787">
        <v>0</v>
      </c>
      <c r="BT162" s="787">
        <v>0</v>
      </c>
      <c r="BU162" s="787">
        <v>0</v>
      </c>
      <c r="BV162" s="787">
        <v>0</v>
      </c>
      <c r="BW162" s="787">
        <v>0</v>
      </c>
      <c r="BX162" s="787">
        <v>0</v>
      </c>
      <c r="BY162" s="787">
        <v>0</v>
      </c>
      <c r="BZ162" s="787">
        <v>0</v>
      </c>
      <c r="CA162" s="787">
        <v>50214.05</v>
      </c>
      <c r="CB162" s="787">
        <v>4823.5</v>
      </c>
      <c r="CC162" s="787">
        <v>55037.55</v>
      </c>
      <c r="CD162" s="787">
        <v>0</v>
      </c>
      <c r="CE162" s="787">
        <v>0</v>
      </c>
      <c r="CF162" s="787">
        <v>0</v>
      </c>
      <c r="CG162" s="787">
        <v>0</v>
      </c>
      <c r="CH162" s="787">
        <v>0</v>
      </c>
      <c r="CI162" s="787">
        <v>0</v>
      </c>
      <c r="CJ162" s="787">
        <v>0</v>
      </c>
      <c r="CK162" s="787">
        <v>0</v>
      </c>
      <c r="CL162" s="787">
        <v>0</v>
      </c>
      <c r="CM162" s="787">
        <v>0</v>
      </c>
      <c r="CN162" s="787">
        <v>-1330129.1564866097</v>
      </c>
      <c r="CO162" s="787">
        <v>55037.55</v>
      </c>
      <c r="CP162" s="787">
        <v>0</v>
      </c>
      <c r="CQ162" s="787">
        <v>0</v>
      </c>
      <c r="CR162" s="787">
        <v>-1275091.6064866097</v>
      </c>
      <c r="CS162" s="787">
        <v>429351.73</v>
      </c>
      <c r="CT162" s="787">
        <v>12586.93</v>
      </c>
      <c r="CU162" s="787">
        <v>0</v>
      </c>
      <c r="CV162" s="787">
        <v>416764.8</v>
      </c>
      <c r="CW162" s="787">
        <v>0</v>
      </c>
      <c r="CX162" s="787">
        <v>4246.05</v>
      </c>
      <c r="CY162" s="787">
        <v>2983.33</v>
      </c>
      <c r="CZ162" s="787">
        <v>0</v>
      </c>
      <c r="DA162" s="787">
        <v>3</v>
      </c>
      <c r="DB162" s="787">
        <v>423997.18</v>
      </c>
      <c r="DC162" s="787">
        <v>0</v>
      </c>
      <c r="DD162" s="787">
        <v>0</v>
      </c>
      <c r="DE162" s="787">
        <v>0</v>
      </c>
      <c r="DF162" s="787">
        <v>0</v>
      </c>
      <c r="DG162" s="787"/>
      <c r="DH162" s="787"/>
      <c r="DI162" s="787"/>
      <c r="DJ162" s="787">
        <v>-1597822.1630848222</v>
      </c>
      <c r="DK162" s="787">
        <v>-1597822.1630848222</v>
      </c>
      <c r="DL162" s="787">
        <v>0</v>
      </c>
      <c r="DM162" s="787">
        <v>0</v>
      </c>
      <c r="DN162" s="787">
        <v>0</v>
      </c>
      <c r="DO162" s="787">
        <v>0</v>
      </c>
      <c r="DP162" s="787">
        <v>-41333.24</v>
      </c>
      <c r="DQ162" s="787">
        <v>-55000</v>
      </c>
      <c r="DR162" s="787">
        <v>0</v>
      </c>
      <c r="DS162" s="787">
        <v>0</v>
      </c>
      <c r="DT162" s="787">
        <v>-96333.239999999991</v>
      </c>
      <c r="DU162" s="787">
        <v>0</v>
      </c>
      <c r="DV162" s="787">
        <v>0</v>
      </c>
      <c r="DW162" s="787">
        <v>0</v>
      </c>
      <c r="DX162" s="787">
        <v>0</v>
      </c>
      <c r="DY162" s="787">
        <v>0</v>
      </c>
      <c r="DZ162" s="787">
        <v>-4933.2700000000004</v>
      </c>
      <c r="EA162" s="787">
        <v>-0.11340178735554218</v>
      </c>
      <c r="EC162" s="788">
        <v>55037.55</v>
      </c>
      <c r="EE162">
        <f>_xlfn.XLOOKUP(C162,'[1]Cfwd Analysis'!$C:$C,'[1]Cfwd Analysis'!$I:$I,0,0)</f>
        <v>-1330129.1564866097</v>
      </c>
      <c r="EF162" s="788">
        <f t="shared" si="2"/>
        <v>0</v>
      </c>
    </row>
    <row r="163" spans="1:136" ht="15.6" hidden="1">
      <c r="A163" s="782" t="s">
        <v>1457</v>
      </c>
      <c r="B163" s="782" t="s">
        <v>806</v>
      </c>
      <c r="C163" s="783">
        <v>2178</v>
      </c>
      <c r="D163" s="784" t="s">
        <v>807</v>
      </c>
      <c r="E163" s="785" t="s">
        <v>521</v>
      </c>
      <c r="F163" s="786">
        <v>46094</v>
      </c>
      <c r="G163" s="785" t="s">
        <v>5</v>
      </c>
      <c r="H163" s="785" t="s">
        <v>820</v>
      </c>
      <c r="I163" s="787">
        <v>1467374.320300546</v>
      </c>
      <c r="J163" s="787">
        <v>0</v>
      </c>
      <c r="K163" s="787">
        <v>8306</v>
      </c>
      <c r="L163" s="787">
        <v>0</v>
      </c>
      <c r="M163" s="787">
        <v>164220</v>
      </c>
      <c r="N163" s="787">
        <v>36016</v>
      </c>
      <c r="O163" s="787">
        <v>0</v>
      </c>
      <c r="P163" s="787">
        <v>8168</v>
      </c>
      <c r="Q163" s="787">
        <v>12212.578810000014</v>
      </c>
      <c r="R163" s="787">
        <v>6803.7</v>
      </c>
      <c r="S163" s="787">
        <v>0</v>
      </c>
      <c r="T163" s="787">
        <v>0</v>
      </c>
      <c r="U163" s="787">
        <v>16249.1</v>
      </c>
      <c r="V163" s="787">
        <v>100</v>
      </c>
      <c r="W163" s="787">
        <v>0</v>
      </c>
      <c r="X163" s="787">
        <v>1719449.6991105461</v>
      </c>
      <c r="Y163" s="787">
        <v>869898.89</v>
      </c>
      <c r="Z163" s="787">
        <v>0</v>
      </c>
      <c r="AA163" s="787">
        <v>321317.75</v>
      </c>
      <c r="AB163" s="787">
        <v>42425.46</v>
      </c>
      <c r="AC163" s="787">
        <v>116731.03</v>
      </c>
      <c r="AD163" s="787">
        <v>54226.18</v>
      </c>
      <c r="AE163" s="787">
        <v>8887.82</v>
      </c>
      <c r="AF163" s="787">
        <v>5408.12</v>
      </c>
      <c r="AG163" s="787">
        <v>3496.25</v>
      </c>
      <c r="AH163" s="787">
        <v>0</v>
      </c>
      <c r="AI163" s="787">
        <v>0</v>
      </c>
      <c r="AJ163" s="787">
        <v>10309.14</v>
      </c>
      <c r="AK163" s="787">
        <v>0</v>
      </c>
      <c r="AL163" s="787">
        <v>37061.74</v>
      </c>
      <c r="AM163" s="787">
        <v>8158.05</v>
      </c>
      <c r="AN163" s="787">
        <v>36603.33</v>
      </c>
      <c r="AO163" s="787">
        <v>16400.14</v>
      </c>
      <c r="AP163" s="787">
        <v>11528.2</v>
      </c>
      <c r="AQ163" s="787">
        <v>18164.240000000002</v>
      </c>
      <c r="AR163" s="787">
        <v>935</v>
      </c>
      <c r="AS163" s="787">
        <v>0</v>
      </c>
      <c r="AT163" s="787">
        <v>12951.15</v>
      </c>
      <c r="AU163" s="787">
        <v>21807.29</v>
      </c>
      <c r="AV163" s="787">
        <v>0</v>
      </c>
      <c r="AW163" s="787">
        <v>0</v>
      </c>
      <c r="AX163" s="787">
        <v>11812.5</v>
      </c>
      <c r="AY163" s="787">
        <v>0</v>
      </c>
      <c r="AZ163" s="787">
        <v>4503.07</v>
      </c>
      <c r="BA163" s="787">
        <v>5139.75</v>
      </c>
      <c r="BB163" s="787">
        <v>4356</v>
      </c>
      <c r="BC163" s="787">
        <v>24262.65</v>
      </c>
      <c r="BD163" s="787">
        <v>1197.25</v>
      </c>
      <c r="BE163" s="787">
        <v>41206.479999999996</v>
      </c>
      <c r="BF163" s="787">
        <v>46472.41</v>
      </c>
      <c r="BG163" s="787">
        <v>0</v>
      </c>
      <c r="BH163" s="787">
        <v>0</v>
      </c>
      <c r="BI163" s="787">
        <v>0</v>
      </c>
      <c r="BJ163" s="787">
        <v>1735259.89</v>
      </c>
      <c r="BK163" s="787">
        <v>156528.46000000054</v>
      </c>
      <c r="BL163" s="787">
        <v>-15810.190889453748</v>
      </c>
      <c r="BM163" s="787">
        <v>140718.2691105468</v>
      </c>
      <c r="BN163" s="787">
        <v>6518.2</v>
      </c>
      <c r="BO163" s="787">
        <v>0</v>
      </c>
      <c r="BP163" s="787">
        <v>0</v>
      </c>
      <c r="BQ163" s="787">
        <v>6518.2</v>
      </c>
      <c r="BR163" s="787">
        <v>0</v>
      </c>
      <c r="BS163" s="787">
        <v>620</v>
      </c>
      <c r="BT163" s="787">
        <v>0</v>
      </c>
      <c r="BU163" s="787">
        <v>2265</v>
      </c>
      <c r="BV163" s="787">
        <v>0</v>
      </c>
      <c r="BW163" s="787">
        <v>0</v>
      </c>
      <c r="BX163" s="787">
        <v>6311</v>
      </c>
      <c r="BY163" s="787">
        <v>2372</v>
      </c>
      <c r="BZ163" s="787">
        <v>11568</v>
      </c>
      <c r="CA163" s="787">
        <v>5090.400000000006</v>
      </c>
      <c r="CB163" s="787">
        <v>-5049.8</v>
      </c>
      <c r="CC163" s="787">
        <v>40.600000000005821</v>
      </c>
      <c r="CD163" s="787">
        <v>0</v>
      </c>
      <c r="CE163" s="787">
        <v>0</v>
      </c>
      <c r="CF163" s="787">
        <v>0</v>
      </c>
      <c r="CG163" s="787">
        <v>0</v>
      </c>
      <c r="CH163" s="787">
        <v>0</v>
      </c>
      <c r="CI163" s="787">
        <v>0</v>
      </c>
      <c r="CJ163" s="787">
        <v>0</v>
      </c>
      <c r="CK163" s="787">
        <v>0</v>
      </c>
      <c r="CL163" s="787">
        <v>0</v>
      </c>
      <c r="CM163" s="787">
        <v>140718.2691105468</v>
      </c>
      <c r="CN163" s="787">
        <v>0</v>
      </c>
      <c r="CO163" s="787">
        <v>40.600000000005821</v>
      </c>
      <c r="CP163" s="787">
        <v>0</v>
      </c>
      <c r="CQ163" s="787">
        <v>0</v>
      </c>
      <c r="CR163" s="787">
        <v>140758.8691105468</v>
      </c>
      <c r="CS163" s="787">
        <v>102135.19</v>
      </c>
      <c r="CT163" s="787">
        <v>0</v>
      </c>
      <c r="CU163" s="787">
        <v>0</v>
      </c>
      <c r="CV163" s="787">
        <v>102135.19</v>
      </c>
      <c r="CW163" s="787">
        <v>0</v>
      </c>
      <c r="CX163" s="787">
        <v>2620.25</v>
      </c>
      <c r="CY163" s="787">
        <v>4261.2700000000004</v>
      </c>
      <c r="CZ163" s="787">
        <v>0</v>
      </c>
      <c r="DA163" s="787">
        <v>0</v>
      </c>
      <c r="DB163" s="787">
        <v>109016.71</v>
      </c>
      <c r="DC163" s="787">
        <v>182345.15</v>
      </c>
      <c r="DD163" s="787">
        <v>0</v>
      </c>
      <c r="DE163" s="787">
        <v>0</v>
      </c>
      <c r="DF163" s="787">
        <v>182345.15</v>
      </c>
      <c r="DG163" s="787"/>
      <c r="DH163" s="787"/>
      <c r="DI163" s="787"/>
      <c r="DJ163" s="787">
        <v>0</v>
      </c>
      <c r="DK163" s="787">
        <v>182345.15</v>
      </c>
      <c r="DL163" s="787">
        <v>0</v>
      </c>
      <c r="DM163" s="787">
        <v>0</v>
      </c>
      <c r="DN163" s="787">
        <v>0</v>
      </c>
      <c r="DO163" s="787">
        <v>0</v>
      </c>
      <c r="DP163" s="787">
        <v>-9400</v>
      </c>
      <c r="DQ163" s="787">
        <v>0</v>
      </c>
      <c r="DR163" s="787">
        <v>0</v>
      </c>
      <c r="DS163" s="787">
        <v>0</v>
      </c>
      <c r="DT163" s="787">
        <v>-9400</v>
      </c>
      <c r="DU163" s="787">
        <v>1640</v>
      </c>
      <c r="DV163" s="787">
        <v>0</v>
      </c>
      <c r="DW163" s="787">
        <v>-691.14</v>
      </c>
      <c r="DX163" s="787">
        <v>0</v>
      </c>
      <c r="DY163" s="787">
        <v>0</v>
      </c>
      <c r="DZ163" s="787">
        <v>-142151.43</v>
      </c>
      <c r="EA163" s="787">
        <v>-0.42088945317664184</v>
      </c>
      <c r="EC163" s="788">
        <v>40.600000000005821</v>
      </c>
      <c r="EE163">
        <f>_xlfn.XLOOKUP(C163,'[1]Cfwd Analysis'!$C:$C,'[1]Cfwd Analysis'!$I:$I,0,0)</f>
        <v>140718.2691105468</v>
      </c>
      <c r="EF163" s="788">
        <f t="shared" si="2"/>
        <v>0</v>
      </c>
    </row>
    <row r="164" spans="1:136" ht="15.6" hidden="1">
      <c r="A164" s="782" t="s">
        <v>1458</v>
      </c>
      <c r="B164" s="782" t="s">
        <v>808</v>
      </c>
      <c r="C164" s="783">
        <v>2184</v>
      </c>
      <c r="D164" s="784" t="s">
        <v>809</v>
      </c>
      <c r="E164" s="785" t="s">
        <v>521</v>
      </c>
      <c r="F164" s="786">
        <v>46090</v>
      </c>
      <c r="G164" s="785" t="s">
        <v>5</v>
      </c>
      <c r="H164" s="785" t="s">
        <v>822</v>
      </c>
      <c r="I164" s="787">
        <v>2471070.6835654657</v>
      </c>
      <c r="J164" s="787">
        <v>0</v>
      </c>
      <c r="K164" s="787">
        <v>189380.39</v>
      </c>
      <c r="L164" s="787">
        <v>0</v>
      </c>
      <c r="M164" s="787">
        <v>279075</v>
      </c>
      <c r="N164" s="787">
        <v>68333.290000000008</v>
      </c>
      <c r="O164" s="787">
        <v>0</v>
      </c>
      <c r="P164" s="787">
        <v>0</v>
      </c>
      <c r="Q164" s="787">
        <v>55558.36</v>
      </c>
      <c r="R164" s="787">
        <v>0</v>
      </c>
      <c r="S164" s="787">
        <v>0</v>
      </c>
      <c r="T164" s="787">
        <v>0</v>
      </c>
      <c r="U164" s="787">
        <v>13139</v>
      </c>
      <c r="V164" s="787">
        <v>10389.18</v>
      </c>
      <c r="W164" s="787">
        <v>0</v>
      </c>
      <c r="X164" s="787">
        <v>3086945.9035654659</v>
      </c>
      <c r="Y164" s="787">
        <v>970231.64</v>
      </c>
      <c r="Z164" s="787">
        <v>0</v>
      </c>
      <c r="AA164" s="787">
        <v>620412.17000000004</v>
      </c>
      <c r="AB164" s="787">
        <v>112450.32</v>
      </c>
      <c r="AC164" s="787">
        <v>170303.62</v>
      </c>
      <c r="AD164" s="787">
        <v>0</v>
      </c>
      <c r="AE164" s="787">
        <v>173993.15</v>
      </c>
      <c r="AF164" s="787">
        <v>100590.26</v>
      </c>
      <c r="AG164" s="787">
        <v>9002.26</v>
      </c>
      <c r="AH164" s="787">
        <v>0</v>
      </c>
      <c r="AI164" s="787">
        <v>0</v>
      </c>
      <c r="AJ164" s="787">
        <v>64576.01</v>
      </c>
      <c r="AK164" s="787">
        <v>11753.46</v>
      </c>
      <c r="AL164" s="787">
        <v>3591.27</v>
      </c>
      <c r="AM164" s="787">
        <v>9672.08</v>
      </c>
      <c r="AN164" s="787">
        <v>19590.349999999999</v>
      </c>
      <c r="AO164" s="787">
        <v>30739.81</v>
      </c>
      <c r="AP164" s="787">
        <v>6687.6100000000006</v>
      </c>
      <c r="AQ164" s="787">
        <v>72804.5</v>
      </c>
      <c r="AR164" s="787">
        <v>0</v>
      </c>
      <c r="AS164" s="787">
        <v>0</v>
      </c>
      <c r="AT164" s="787">
        <v>0</v>
      </c>
      <c r="AU164" s="787">
        <v>0</v>
      </c>
      <c r="AV164" s="787">
        <v>7030.48</v>
      </c>
      <c r="AW164" s="787">
        <v>5783.52</v>
      </c>
      <c r="AX164" s="787">
        <v>0</v>
      </c>
      <c r="AY164" s="787">
        <v>0</v>
      </c>
      <c r="AZ164" s="787">
        <v>259891.09</v>
      </c>
      <c r="BA164" s="787">
        <v>9744.2800000000007</v>
      </c>
      <c r="BB164" s="787">
        <v>5851.5</v>
      </c>
      <c r="BC164" s="787">
        <v>99744.34</v>
      </c>
      <c r="BD164" s="787">
        <v>181228.74</v>
      </c>
      <c r="BE164" s="787">
        <v>31523.010000000002</v>
      </c>
      <c r="BF164" s="787">
        <v>109457.48000000001</v>
      </c>
      <c r="BG164" s="787">
        <v>0</v>
      </c>
      <c r="BH164" s="787">
        <v>0</v>
      </c>
      <c r="BI164" s="787">
        <v>0</v>
      </c>
      <c r="BJ164" s="787">
        <v>3086652.9499999988</v>
      </c>
      <c r="BK164" s="787">
        <v>743686.33000000112</v>
      </c>
      <c r="BL164" s="787">
        <v>292.95356546714902</v>
      </c>
      <c r="BM164" s="787">
        <v>743979.28356546827</v>
      </c>
      <c r="BN164" s="787">
        <v>8839.75</v>
      </c>
      <c r="BO164" s="787">
        <v>0</v>
      </c>
      <c r="BP164" s="787">
        <v>0</v>
      </c>
      <c r="BQ164" s="787">
        <v>8839.75</v>
      </c>
      <c r="BR164" s="787">
        <v>0</v>
      </c>
      <c r="BS164" s="787">
        <v>6826</v>
      </c>
      <c r="BT164" s="787">
        <v>0</v>
      </c>
      <c r="BU164" s="787">
        <v>0</v>
      </c>
      <c r="BV164" s="787">
        <v>0</v>
      </c>
      <c r="BW164" s="787">
        <v>0</v>
      </c>
      <c r="BX164" s="787">
        <v>0</v>
      </c>
      <c r="BY164" s="787">
        <v>0</v>
      </c>
      <c r="BZ164" s="787">
        <v>6826</v>
      </c>
      <c r="CA164" s="787">
        <v>8860</v>
      </c>
      <c r="CB164" s="787">
        <v>2013.75</v>
      </c>
      <c r="CC164" s="787">
        <v>10873.75</v>
      </c>
      <c r="CD164" s="787">
        <v>0</v>
      </c>
      <c r="CE164" s="787">
        <v>0</v>
      </c>
      <c r="CF164" s="787">
        <v>0</v>
      </c>
      <c r="CG164" s="787">
        <v>0</v>
      </c>
      <c r="CH164" s="787">
        <v>0</v>
      </c>
      <c r="CI164" s="787">
        <v>0</v>
      </c>
      <c r="CJ164" s="787">
        <v>0</v>
      </c>
      <c r="CK164" s="787">
        <v>0</v>
      </c>
      <c r="CL164" s="787">
        <v>0</v>
      </c>
      <c r="CM164" s="787">
        <v>743979.28356546827</v>
      </c>
      <c r="CN164" s="787">
        <v>0</v>
      </c>
      <c r="CO164" s="787">
        <v>10873.75</v>
      </c>
      <c r="CP164" s="787">
        <v>0</v>
      </c>
      <c r="CQ164" s="787">
        <v>0</v>
      </c>
      <c r="CR164" s="787">
        <v>754853.03356546827</v>
      </c>
      <c r="CS164" s="787">
        <v>1120829.1599999999</v>
      </c>
      <c r="CT164" s="787">
        <v>95218.73</v>
      </c>
      <c r="CU164" s="787">
        <v>645</v>
      </c>
      <c r="CV164" s="787">
        <v>1026255.4299999999</v>
      </c>
      <c r="CW164" s="787">
        <v>0</v>
      </c>
      <c r="CX164" s="787">
        <v>8506.15</v>
      </c>
      <c r="CY164" s="787">
        <v>3471.54</v>
      </c>
      <c r="CZ164" s="787">
        <v>0</v>
      </c>
      <c r="DA164" s="787">
        <v>0</v>
      </c>
      <c r="DB164" s="787">
        <v>1038233.12</v>
      </c>
      <c r="DC164" s="787">
        <v>0</v>
      </c>
      <c r="DD164" s="787">
        <v>0</v>
      </c>
      <c r="DE164" s="787">
        <v>0</v>
      </c>
      <c r="DF164" s="787">
        <v>0</v>
      </c>
      <c r="DG164" s="787"/>
      <c r="DH164" s="787"/>
      <c r="DI164" s="787"/>
      <c r="DJ164" s="787">
        <v>0</v>
      </c>
      <c r="DK164" s="787">
        <v>0</v>
      </c>
      <c r="DL164" s="787">
        <v>0</v>
      </c>
      <c r="DM164" s="787">
        <v>0</v>
      </c>
      <c r="DN164" s="787">
        <v>0</v>
      </c>
      <c r="DO164" s="787">
        <v>0</v>
      </c>
      <c r="DP164" s="787">
        <v>0</v>
      </c>
      <c r="DQ164" s="787">
        <v>-41668.800000000003</v>
      </c>
      <c r="DR164" s="787">
        <v>0</v>
      </c>
      <c r="DS164" s="787">
        <v>0</v>
      </c>
      <c r="DT164" s="787">
        <v>-41668.800000000003</v>
      </c>
      <c r="DU164" s="787">
        <v>0</v>
      </c>
      <c r="DV164" s="787">
        <v>0</v>
      </c>
      <c r="DW164" s="787">
        <v>-2402.46</v>
      </c>
      <c r="DX164" s="787">
        <v>0</v>
      </c>
      <c r="DY164" s="787">
        <v>0</v>
      </c>
      <c r="DZ164" s="787">
        <v>-239308.83</v>
      </c>
      <c r="EA164" s="787">
        <v>3.5654682433232665E-3</v>
      </c>
      <c r="EC164" s="788">
        <v>10873.75</v>
      </c>
      <c r="EE164">
        <f>_xlfn.XLOOKUP(C164,'[1]Cfwd Analysis'!$C:$C,'[1]Cfwd Analysis'!$I:$I,0,0)</f>
        <v>743979.28356546827</v>
      </c>
      <c r="EF164" s="788">
        <f t="shared" si="2"/>
        <v>0</v>
      </c>
    </row>
    <row r="165" spans="1:136" ht="15.6" hidden="1">
      <c r="A165" s="782" t="s">
        <v>1459</v>
      </c>
      <c r="B165" s="782" t="s">
        <v>810</v>
      </c>
      <c r="C165" s="783">
        <v>2190</v>
      </c>
      <c r="D165" s="784" t="s">
        <v>811</v>
      </c>
      <c r="E165" s="785" t="s">
        <v>521</v>
      </c>
      <c r="F165" s="786">
        <v>46094</v>
      </c>
      <c r="G165" s="785" t="s">
        <v>5</v>
      </c>
      <c r="H165" s="785" t="s">
        <v>824</v>
      </c>
      <c r="I165" s="787">
        <v>1066974.7467947369</v>
      </c>
      <c r="J165" s="787">
        <v>0</v>
      </c>
      <c r="K165" s="787">
        <v>56920.460000000006</v>
      </c>
      <c r="L165" s="787">
        <v>0</v>
      </c>
      <c r="M165" s="787">
        <v>150700</v>
      </c>
      <c r="N165" s="787">
        <v>32292</v>
      </c>
      <c r="O165" s="787">
        <v>0</v>
      </c>
      <c r="P165" s="787">
        <v>0</v>
      </c>
      <c r="Q165" s="787">
        <v>1772.936639999989</v>
      </c>
      <c r="R165" s="787">
        <v>0</v>
      </c>
      <c r="S165" s="787">
        <v>0</v>
      </c>
      <c r="T165" s="787">
        <v>0</v>
      </c>
      <c r="U165" s="787">
        <v>4004.6</v>
      </c>
      <c r="V165" s="787">
        <v>117073.55</v>
      </c>
      <c r="W165" s="787">
        <v>0</v>
      </c>
      <c r="X165" s="787">
        <v>1429738.293434737</v>
      </c>
      <c r="Y165" s="787">
        <v>581380.20171428809</v>
      </c>
      <c r="Z165" s="787">
        <v>0</v>
      </c>
      <c r="AA165" s="787">
        <v>223743.26509383958</v>
      </c>
      <c r="AB165" s="787">
        <v>31278.102945061855</v>
      </c>
      <c r="AC165" s="787">
        <v>81518.818710698586</v>
      </c>
      <c r="AD165" s="787">
        <v>0</v>
      </c>
      <c r="AE165" s="787">
        <v>19685.492379917832</v>
      </c>
      <c r="AF165" s="787">
        <v>3271.5543489466831</v>
      </c>
      <c r="AG165" s="787">
        <v>1445.0227203069317</v>
      </c>
      <c r="AH165" s="787">
        <v>0</v>
      </c>
      <c r="AI165" s="787">
        <v>0</v>
      </c>
      <c r="AJ165" s="787">
        <v>26668.575300364653</v>
      </c>
      <c r="AK165" s="787">
        <v>17515.5831899888</v>
      </c>
      <c r="AL165" s="787">
        <v>1857.6694613306272</v>
      </c>
      <c r="AM165" s="787">
        <v>2530.9152853499882</v>
      </c>
      <c r="AN165" s="787">
        <v>39916.591199173636</v>
      </c>
      <c r="AO165" s="787">
        <v>34843.581262717031</v>
      </c>
      <c r="AP165" s="787">
        <v>14952.767382015836</v>
      </c>
      <c r="AQ165" s="787">
        <v>16200.55920227909</v>
      </c>
      <c r="AR165" s="787">
        <v>0</v>
      </c>
      <c r="AS165" s="787">
        <v>0</v>
      </c>
      <c r="AT165" s="787">
        <v>4966.0524756391096</v>
      </c>
      <c r="AU165" s="787">
        <v>0</v>
      </c>
      <c r="AV165" s="787">
        <v>0</v>
      </c>
      <c r="AW165" s="787">
        <v>47.102222239832727</v>
      </c>
      <c r="AX165" s="787">
        <v>0</v>
      </c>
      <c r="AY165" s="787">
        <v>0</v>
      </c>
      <c r="AZ165" s="787">
        <v>108080.91942318434</v>
      </c>
      <c r="BA165" s="787">
        <v>5139.75</v>
      </c>
      <c r="BB165" s="787">
        <v>6109.3791440199948</v>
      </c>
      <c r="BC165" s="787">
        <v>64142.683276329946</v>
      </c>
      <c r="BD165" s="787">
        <v>131910.24158655916</v>
      </c>
      <c r="BE165" s="787">
        <v>22968.82357828215</v>
      </c>
      <c r="BF165" s="787">
        <v>41950.258097466343</v>
      </c>
      <c r="BG165" s="787">
        <v>0</v>
      </c>
      <c r="BH165" s="787">
        <v>0</v>
      </c>
      <c r="BI165" s="787">
        <v>0</v>
      </c>
      <c r="BJ165" s="787">
        <v>1482123.9100000004</v>
      </c>
      <c r="BK165" s="787">
        <v>21006.239999999525</v>
      </c>
      <c r="BL165" s="787">
        <v>-52385.616565263364</v>
      </c>
      <c r="BM165" s="787">
        <v>-31379.376565263839</v>
      </c>
      <c r="BN165" s="787">
        <v>10053.25</v>
      </c>
      <c r="BO165" s="787">
        <v>0</v>
      </c>
      <c r="BP165" s="787">
        <v>0</v>
      </c>
      <c r="BQ165" s="787">
        <v>10053.25</v>
      </c>
      <c r="BR165" s="787">
        <v>0</v>
      </c>
      <c r="BS165" s="787">
        <v>0</v>
      </c>
      <c r="BT165" s="787">
        <v>0</v>
      </c>
      <c r="BU165" s="787">
        <v>0</v>
      </c>
      <c r="BV165" s="787">
        <v>0</v>
      </c>
      <c r="BW165" s="787">
        <v>0</v>
      </c>
      <c r="BX165" s="787">
        <v>0</v>
      </c>
      <c r="BY165" s="787">
        <v>0</v>
      </c>
      <c r="BZ165" s="787">
        <v>0</v>
      </c>
      <c r="CA165" s="787">
        <v>13013.599999999999</v>
      </c>
      <c r="CB165" s="787">
        <v>10053.25</v>
      </c>
      <c r="CC165" s="787">
        <v>23066.85</v>
      </c>
      <c r="CD165" s="787">
        <v>0</v>
      </c>
      <c r="CE165" s="787">
        <v>0</v>
      </c>
      <c r="CF165" s="787">
        <v>0</v>
      </c>
      <c r="CG165" s="787">
        <v>0</v>
      </c>
      <c r="CH165" s="787">
        <v>0</v>
      </c>
      <c r="CI165" s="787">
        <v>0</v>
      </c>
      <c r="CJ165" s="787">
        <v>0</v>
      </c>
      <c r="CK165" s="787">
        <v>0</v>
      </c>
      <c r="CL165" s="787">
        <v>0</v>
      </c>
      <c r="CM165" s="787">
        <v>0</v>
      </c>
      <c r="CN165" s="787">
        <v>-31379.376565263839</v>
      </c>
      <c r="CO165" s="787">
        <v>5923.75</v>
      </c>
      <c r="CP165" s="787">
        <v>17143.099999999999</v>
      </c>
      <c r="CQ165" s="787">
        <v>0</v>
      </c>
      <c r="CR165" s="787">
        <v>-8312.5265652638409</v>
      </c>
      <c r="CS165" s="787">
        <v>98140.57</v>
      </c>
      <c r="CT165" s="787">
        <v>0</v>
      </c>
      <c r="CU165" s="787">
        <v>0</v>
      </c>
      <c r="CV165" s="787">
        <v>98140.57</v>
      </c>
      <c r="CW165" s="787">
        <v>0</v>
      </c>
      <c r="CX165" s="787">
        <v>5266.14</v>
      </c>
      <c r="CY165" s="787">
        <v>4028.37</v>
      </c>
      <c r="CZ165" s="787">
        <v>0</v>
      </c>
      <c r="DA165" s="787">
        <v>0</v>
      </c>
      <c r="DB165" s="787">
        <v>107435.08</v>
      </c>
      <c r="DC165" s="787">
        <v>0</v>
      </c>
      <c r="DD165" s="787">
        <v>0</v>
      </c>
      <c r="DE165" s="787">
        <v>0</v>
      </c>
      <c r="DF165" s="787">
        <v>0</v>
      </c>
      <c r="DG165" s="787"/>
      <c r="DH165" s="787"/>
      <c r="DI165" s="787"/>
      <c r="DJ165" s="787">
        <v>0</v>
      </c>
      <c r="DK165" s="787">
        <v>0</v>
      </c>
      <c r="DL165" s="787">
        <v>0</v>
      </c>
      <c r="DM165" s="787">
        <v>0</v>
      </c>
      <c r="DN165" s="787">
        <v>0</v>
      </c>
      <c r="DO165" s="787">
        <v>0</v>
      </c>
      <c r="DP165" s="787">
        <v>-41354.410000000003</v>
      </c>
      <c r="DQ165" s="787">
        <v>-495</v>
      </c>
      <c r="DR165" s="787">
        <v>0</v>
      </c>
      <c r="DS165" s="787">
        <v>0</v>
      </c>
      <c r="DT165" s="787">
        <v>-41849.410000000003</v>
      </c>
      <c r="DU165" s="787">
        <v>0</v>
      </c>
      <c r="DV165" s="787">
        <v>0</v>
      </c>
      <c r="DW165" s="787">
        <v>0</v>
      </c>
      <c r="DX165" s="787">
        <v>0</v>
      </c>
      <c r="DY165" s="787">
        <v>0</v>
      </c>
      <c r="DZ165" s="787">
        <v>-73898.28</v>
      </c>
      <c r="EA165" s="787">
        <v>8.3434736159688327E-2</v>
      </c>
      <c r="EE165">
        <f>_xlfn.XLOOKUP(C165,'[1]Cfwd Analysis'!$C:$C,'[1]Cfwd Analysis'!$I:$I,0,0)</f>
        <v>-31379.376565263839</v>
      </c>
      <c r="EF165" s="788">
        <f t="shared" si="2"/>
        <v>0</v>
      </c>
    </row>
    <row r="166" spans="1:136" ht="15.6" hidden="1">
      <c r="A166" s="782" t="s">
        <v>1460</v>
      </c>
      <c r="B166" s="782" t="s">
        <v>812</v>
      </c>
      <c r="C166" s="783">
        <v>7035</v>
      </c>
      <c r="D166" s="784" t="s">
        <v>813</v>
      </c>
      <c r="E166" s="785" t="s">
        <v>521</v>
      </c>
      <c r="F166" s="786">
        <v>46094</v>
      </c>
      <c r="G166" s="785" t="s">
        <v>5</v>
      </c>
      <c r="H166" s="785" t="s">
        <v>826</v>
      </c>
      <c r="I166" s="787">
        <v>1651958.7521739129</v>
      </c>
      <c r="J166" s="787">
        <v>0</v>
      </c>
      <c r="K166" s="787">
        <v>2188864.4310491639</v>
      </c>
      <c r="L166" s="787">
        <v>0</v>
      </c>
      <c r="M166" s="787">
        <v>133635</v>
      </c>
      <c r="N166" s="787">
        <v>25299.09</v>
      </c>
      <c r="O166" s="787">
        <v>0</v>
      </c>
      <c r="P166" s="787">
        <v>0</v>
      </c>
      <c r="Q166" s="787">
        <v>93858</v>
      </c>
      <c r="R166" s="787">
        <v>10630.1</v>
      </c>
      <c r="S166" s="787">
        <v>0</v>
      </c>
      <c r="T166" s="787">
        <v>0</v>
      </c>
      <c r="U166" s="787">
        <v>3173</v>
      </c>
      <c r="V166" s="787">
        <v>491</v>
      </c>
      <c r="W166" s="787">
        <v>0</v>
      </c>
      <c r="X166" s="787">
        <v>4107909.373223077</v>
      </c>
      <c r="Y166" s="787">
        <v>1314942</v>
      </c>
      <c r="Z166" s="787">
        <v>0</v>
      </c>
      <c r="AA166" s="787">
        <v>1374985</v>
      </c>
      <c r="AB166" s="787">
        <v>42890</v>
      </c>
      <c r="AC166" s="787">
        <v>170788</v>
      </c>
      <c r="AD166" s="787">
        <v>0</v>
      </c>
      <c r="AE166" s="787">
        <v>113075</v>
      </c>
      <c r="AF166" s="787">
        <v>1201</v>
      </c>
      <c r="AG166" s="787">
        <v>15469</v>
      </c>
      <c r="AH166" s="787">
        <v>0</v>
      </c>
      <c r="AI166" s="787">
        <v>0</v>
      </c>
      <c r="AJ166" s="787">
        <v>156120.91999999998</v>
      </c>
      <c r="AK166" s="787">
        <v>10312</v>
      </c>
      <c r="AL166" s="787">
        <v>53471</v>
      </c>
      <c r="AM166" s="787">
        <v>9280</v>
      </c>
      <c r="AN166" s="787">
        <v>33243</v>
      </c>
      <c r="AO166" s="787">
        <v>1018</v>
      </c>
      <c r="AP166" s="787">
        <v>83519</v>
      </c>
      <c r="AQ166" s="787">
        <v>33008</v>
      </c>
      <c r="AR166" s="787">
        <v>0</v>
      </c>
      <c r="AS166" s="787">
        <v>0</v>
      </c>
      <c r="AT166" s="787">
        <v>1687</v>
      </c>
      <c r="AU166" s="787">
        <v>0</v>
      </c>
      <c r="AV166" s="787">
        <v>0</v>
      </c>
      <c r="AW166" s="787">
        <v>0</v>
      </c>
      <c r="AX166" s="787">
        <v>0</v>
      </c>
      <c r="AY166" s="787">
        <v>0</v>
      </c>
      <c r="AZ166" s="787">
        <v>0</v>
      </c>
      <c r="BA166" s="787">
        <v>5139.75</v>
      </c>
      <c r="BB166" s="787">
        <v>0</v>
      </c>
      <c r="BC166" s="787">
        <v>101797.13</v>
      </c>
      <c r="BD166" s="787">
        <v>151689</v>
      </c>
      <c r="BE166" s="787">
        <v>266237</v>
      </c>
      <c r="BF166" s="787">
        <v>178715</v>
      </c>
      <c r="BG166" s="787">
        <v>0</v>
      </c>
      <c r="BH166" s="787">
        <v>0</v>
      </c>
      <c r="BI166" s="787">
        <v>0</v>
      </c>
      <c r="BJ166" s="787">
        <v>4118586.8</v>
      </c>
      <c r="BK166" s="787">
        <v>566221.22999999882</v>
      </c>
      <c r="BL166" s="787">
        <v>-10677.426776922774</v>
      </c>
      <c r="BM166" s="787">
        <v>555543.80322307604</v>
      </c>
      <c r="BN166" s="787">
        <v>11644.38</v>
      </c>
      <c r="BO166" s="787">
        <v>0</v>
      </c>
      <c r="BP166" s="787">
        <v>0</v>
      </c>
      <c r="BQ166" s="787">
        <v>11644.38</v>
      </c>
      <c r="BR166" s="787">
        <v>0</v>
      </c>
      <c r="BS166" s="787">
        <v>0</v>
      </c>
      <c r="BT166" s="787">
        <v>4407</v>
      </c>
      <c r="BU166" s="787">
        <v>0</v>
      </c>
      <c r="BV166" s="787">
        <v>0</v>
      </c>
      <c r="BW166" s="787">
        <v>0</v>
      </c>
      <c r="BX166" s="787">
        <v>1691</v>
      </c>
      <c r="BY166" s="787">
        <v>17802</v>
      </c>
      <c r="BZ166" s="787">
        <v>23900</v>
      </c>
      <c r="CA166" s="787">
        <v>32953.310000000005</v>
      </c>
      <c r="CB166" s="787">
        <v>-12255.62</v>
      </c>
      <c r="CC166" s="787">
        <v>20697.690000000002</v>
      </c>
      <c r="CD166" s="787">
        <v>0</v>
      </c>
      <c r="CE166" s="787">
        <v>0</v>
      </c>
      <c r="CF166" s="787">
        <v>0</v>
      </c>
      <c r="CG166" s="787">
        <v>0</v>
      </c>
      <c r="CH166" s="787">
        <v>0</v>
      </c>
      <c r="CI166" s="787">
        <v>0</v>
      </c>
      <c r="CJ166" s="787">
        <v>0</v>
      </c>
      <c r="CK166" s="787">
        <v>0</v>
      </c>
      <c r="CL166" s="787">
        <v>0</v>
      </c>
      <c r="CM166" s="787">
        <v>555543.80322307604</v>
      </c>
      <c r="CN166" s="787">
        <v>0</v>
      </c>
      <c r="CO166" s="787">
        <v>20697.690000000002</v>
      </c>
      <c r="CP166" s="787">
        <v>0</v>
      </c>
      <c r="CQ166" s="787">
        <v>0</v>
      </c>
      <c r="CR166" s="787">
        <v>576241.49322307599</v>
      </c>
      <c r="CS166" s="787">
        <v>788638.95</v>
      </c>
      <c r="CT166" s="787">
        <v>117102.42</v>
      </c>
      <c r="CU166" s="787">
        <v>0</v>
      </c>
      <c r="CV166" s="787">
        <v>671536.52999999991</v>
      </c>
      <c r="CW166" s="787">
        <v>0</v>
      </c>
      <c r="CX166" s="787">
        <v>15098.98</v>
      </c>
      <c r="CY166" s="787">
        <v>4646.22</v>
      </c>
      <c r="CZ166" s="787">
        <v>0</v>
      </c>
      <c r="DA166" s="787">
        <v>0</v>
      </c>
      <c r="DB166" s="787">
        <v>691281.72999999986</v>
      </c>
      <c r="DC166" s="787">
        <v>0</v>
      </c>
      <c r="DD166" s="787">
        <v>0</v>
      </c>
      <c r="DE166" s="787">
        <v>0</v>
      </c>
      <c r="DF166" s="787">
        <v>0</v>
      </c>
      <c r="DG166" s="787"/>
      <c r="DH166" s="787"/>
      <c r="DI166" s="787"/>
      <c r="DJ166" s="787">
        <v>0</v>
      </c>
      <c r="DK166" s="787">
        <v>0</v>
      </c>
      <c r="DL166" s="787">
        <v>0</v>
      </c>
      <c r="DM166" s="787">
        <v>0</v>
      </c>
      <c r="DN166" s="787">
        <v>0</v>
      </c>
      <c r="DO166" s="787">
        <v>0</v>
      </c>
      <c r="DP166" s="787">
        <v>-83046.92</v>
      </c>
      <c r="DQ166" s="787">
        <v>-27462.13</v>
      </c>
      <c r="DR166" s="787">
        <v>0</v>
      </c>
      <c r="DS166" s="787">
        <v>0</v>
      </c>
      <c r="DT166" s="787">
        <v>-110509.05</v>
      </c>
      <c r="DU166" s="787">
        <v>0</v>
      </c>
      <c r="DV166" s="787">
        <v>0</v>
      </c>
      <c r="DW166" s="787">
        <v>0</v>
      </c>
      <c r="DX166" s="787">
        <v>-4531</v>
      </c>
      <c r="DY166" s="787">
        <v>0</v>
      </c>
      <c r="DZ166" s="787">
        <v>0</v>
      </c>
      <c r="EA166" s="787">
        <v>-0.18677692383062094</v>
      </c>
      <c r="EC166" s="788">
        <v>20697.690000000002</v>
      </c>
      <c r="EE166">
        <f>_xlfn.XLOOKUP(C166,'[1]Cfwd Analysis'!$C:$C,'[1]Cfwd Analysis'!$I:$I,0,0)</f>
        <v>555543.80322307604</v>
      </c>
      <c r="EF166" s="788">
        <f t="shared" si="2"/>
        <v>0</v>
      </c>
    </row>
    <row r="167" spans="1:136" ht="15.6" hidden="1">
      <c r="A167" s="782" t="s">
        <v>1461</v>
      </c>
      <c r="B167" s="782" t="s">
        <v>816</v>
      </c>
      <c r="C167" s="783">
        <v>7045</v>
      </c>
      <c r="D167" s="784" t="s">
        <v>817</v>
      </c>
      <c r="E167" s="785" t="s">
        <v>521</v>
      </c>
      <c r="F167" s="786" t="s">
        <v>1462</v>
      </c>
      <c r="G167" s="785" t="s">
        <v>5</v>
      </c>
      <c r="H167" s="785" t="s">
        <v>828</v>
      </c>
      <c r="I167" s="787">
        <v>2978665.7439130433</v>
      </c>
      <c r="J167" s="787">
        <v>0</v>
      </c>
      <c r="K167" s="787">
        <v>4377801.3027119478</v>
      </c>
      <c r="L167" s="787">
        <v>0</v>
      </c>
      <c r="M167" s="787">
        <v>189110</v>
      </c>
      <c r="N167" s="787">
        <v>75114</v>
      </c>
      <c r="O167" s="787">
        <v>0</v>
      </c>
      <c r="P167" s="787">
        <v>6480</v>
      </c>
      <c r="Q167" s="787">
        <v>79694.397504999986</v>
      </c>
      <c r="R167" s="787">
        <v>24749.599999999999</v>
      </c>
      <c r="S167" s="787">
        <v>0</v>
      </c>
      <c r="T167" s="787">
        <v>0</v>
      </c>
      <c r="U167" s="787">
        <v>7145.92</v>
      </c>
      <c r="V167" s="787">
        <v>35083.75</v>
      </c>
      <c r="W167" s="787">
        <v>0</v>
      </c>
      <c r="X167" s="787">
        <v>7773844.7141299909</v>
      </c>
      <c r="Y167" s="787">
        <v>2782615.51</v>
      </c>
      <c r="Z167" s="787">
        <v>0</v>
      </c>
      <c r="AA167" s="787">
        <v>2673089.0299999998</v>
      </c>
      <c r="AB167" s="787">
        <v>63145.64</v>
      </c>
      <c r="AC167" s="787">
        <v>148175.07999999999</v>
      </c>
      <c r="AD167" s="787">
        <v>0</v>
      </c>
      <c r="AE167" s="787">
        <v>109032.04</v>
      </c>
      <c r="AF167" s="787">
        <v>33837.129999999997</v>
      </c>
      <c r="AG167" s="787">
        <v>15538.04</v>
      </c>
      <c r="AH167" s="787">
        <v>0</v>
      </c>
      <c r="AI167" s="787">
        <v>0</v>
      </c>
      <c r="AJ167" s="787">
        <v>50383.44</v>
      </c>
      <c r="AK167" s="787">
        <v>0</v>
      </c>
      <c r="AL167" s="787">
        <v>94081.21</v>
      </c>
      <c r="AM167" s="787">
        <v>14201.09</v>
      </c>
      <c r="AN167" s="787">
        <v>79719.899999999994</v>
      </c>
      <c r="AO167" s="787">
        <v>0</v>
      </c>
      <c r="AP167" s="787">
        <v>16243.55</v>
      </c>
      <c r="AQ167" s="787">
        <v>113971.98</v>
      </c>
      <c r="AR167" s="787">
        <v>0</v>
      </c>
      <c r="AS167" s="787">
        <v>0</v>
      </c>
      <c r="AT167" s="787">
        <v>0</v>
      </c>
      <c r="AU167" s="787">
        <v>0</v>
      </c>
      <c r="AV167" s="787">
        <v>0</v>
      </c>
      <c r="AW167" s="787">
        <v>35170.92</v>
      </c>
      <c r="AX167" s="787">
        <v>0</v>
      </c>
      <c r="AY167" s="787">
        <v>1353.94</v>
      </c>
      <c r="AZ167" s="787">
        <v>35096.730000000003</v>
      </c>
      <c r="BA167" s="787">
        <v>5139.75</v>
      </c>
      <c r="BB167" s="787">
        <v>1188</v>
      </c>
      <c r="BC167" s="787">
        <v>224299.3</v>
      </c>
      <c r="BD167" s="787">
        <v>87307.35</v>
      </c>
      <c r="BE167" s="787">
        <v>642211.79</v>
      </c>
      <c r="BF167" s="787">
        <v>376824.23</v>
      </c>
      <c r="BG167" s="787">
        <v>0</v>
      </c>
      <c r="BH167" s="787">
        <v>0</v>
      </c>
      <c r="BI167" s="787">
        <v>0</v>
      </c>
      <c r="BJ167" s="787">
        <v>7602625.6500000004</v>
      </c>
      <c r="BK167" s="787">
        <v>1144828.8299999991</v>
      </c>
      <c r="BL167" s="787">
        <v>171219.06412999053</v>
      </c>
      <c r="BM167" s="787">
        <v>1316047.8941299897</v>
      </c>
      <c r="BN167" s="787">
        <v>18175</v>
      </c>
      <c r="BO167" s="787">
        <v>0</v>
      </c>
      <c r="BP167" s="787">
        <v>0</v>
      </c>
      <c r="BQ167" s="787">
        <v>18175</v>
      </c>
      <c r="BR167" s="787">
        <v>0</v>
      </c>
      <c r="BS167" s="787">
        <v>50931</v>
      </c>
      <c r="BT167" s="787">
        <v>0</v>
      </c>
      <c r="BU167" s="787">
        <v>0</v>
      </c>
      <c r="BV167" s="787">
        <v>0</v>
      </c>
      <c r="BW167" s="787">
        <v>0</v>
      </c>
      <c r="BX167" s="787">
        <v>3522.48</v>
      </c>
      <c r="BY167" s="787">
        <v>2225</v>
      </c>
      <c r="BZ167" s="787">
        <v>56678.48</v>
      </c>
      <c r="CA167" s="787">
        <v>55810.630000000005</v>
      </c>
      <c r="CB167" s="787">
        <v>-38503.480000000003</v>
      </c>
      <c r="CC167" s="787">
        <v>17307.150000000001</v>
      </c>
      <c r="CD167" s="787">
        <v>0</v>
      </c>
      <c r="CE167" s="787">
        <v>0</v>
      </c>
      <c r="CF167" s="787">
        <v>0</v>
      </c>
      <c r="CG167" s="787">
        <v>0</v>
      </c>
      <c r="CH167" s="787">
        <v>0</v>
      </c>
      <c r="CI167" s="787">
        <v>0</v>
      </c>
      <c r="CJ167" s="787">
        <v>0</v>
      </c>
      <c r="CK167" s="787">
        <v>0</v>
      </c>
      <c r="CL167" s="787">
        <v>0</v>
      </c>
      <c r="CM167" s="787">
        <v>1316047.8941299897</v>
      </c>
      <c r="CN167" s="787">
        <v>0</v>
      </c>
      <c r="CO167" s="787">
        <v>17307</v>
      </c>
      <c r="CP167" s="787">
        <v>0.15000000000145519</v>
      </c>
      <c r="CQ167" s="787">
        <v>0</v>
      </c>
      <c r="CR167" s="787">
        <v>1333355.0441299896</v>
      </c>
      <c r="CS167" s="787">
        <v>2039641.79</v>
      </c>
      <c r="CT167" s="787">
        <v>10121.74</v>
      </c>
      <c r="CU167" s="787">
        <v>0</v>
      </c>
      <c r="CV167" s="787">
        <v>2029520.05</v>
      </c>
      <c r="CW167" s="787">
        <v>0</v>
      </c>
      <c r="CX167" s="787">
        <v>38529.269999999997</v>
      </c>
      <c r="CY167" s="787">
        <v>6913.69</v>
      </c>
      <c r="CZ167" s="787">
        <v>0</v>
      </c>
      <c r="DA167" s="787">
        <v>0</v>
      </c>
      <c r="DB167" s="787">
        <v>2074963.01</v>
      </c>
      <c r="DC167" s="787">
        <v>0</v>
      </c>
      <c r="DD167" s="787">
        <v>0</v>
      </c>
      <c r="DE167" s="787">
        <v>0</v>
      </c>
      <c r="DF167" s="787">
        <v>0</v>
      </c>
      <c r="DG167" s="787"/>
      <c r="DH167" s="787"/>
      <c r="DI167" s="787"/>
      <c r="DJ167" s="787">
        <v>0</v>
      </c>
      <c r="DK167" s="787">
        <v>0</v>
      </c>
      <c r="DL167" s="787">
        <v>59822</v>
      </c>
      <c r="DM167" s="787">
        <v>0</v>
      </c>
      <c r="DN167" s="787">
        <v>0</v>
      </c>
      <c r="DO167" s="787">
        <v>0</v>
      </c>
      <c r="DP167" s="787">
        <v>-641144.85</v>
      </c>
      <c r="DQ167" s="787">
        <v>-64087.67</v>
      </c>
      <c r="DR167" s="787">
        <v>0</v>
      </c>
      <c r="DS167" s="787">
        <v>0</v>
      </c>
      <c r="DT167" s="787">
        <v>-645410.52</v>
      </c>
      <c r="DU167" s="787">
        <v>0</v>
      </c>
      <c r="DV167" s="787">
        <v>0</v>
      </c>
      <c r="DW167" s="787">
        <v>0</v>
      </c>
      <c r="DX167" s="787">
        <v>0</v>
      </c>
      <c r="DY167" s="787">
        <v>0</v>
      </c>
      <c r="DZ167" s="787">
        <v>-96197.56</v>
      </c>
      <c r="EA167" s="787">
        <v>0.11412998964078724</v>
      </c>
      <c r="EE167">
        <f>_xlfn.XLOOKUP(C167,'[1]Cfwd Analysis'!$C:$C,'[1]Cfwd Analysis'!$I:$I,0,0)</f>
        <v>1316047.8941299897</v>
      </c>
      <c r="EF167" s="788">
        <f t="shared" si="2"/>
        <v>0</v>
      </c>
    </row>
    <row r="168" spans="1:136" ht="15.6" hidden="1">
      <c r="A168" s="782" t="s">
        <v>1463</v>
      </c>
      <c r="B168" s="782" t="s">
        <v>818</v>
      </c>
      <c r="C168" s="783">
        <v>2192</v>
      </c>
      <c r="D168" s="784" t="s">
        <v>819</v>
      </c>
      <c r="E168" s="785" t="s">
        <v>521</v>
      </c>
      <c r="F168" s="786">
        <v>46086</v>
      </c>
      <c r="G168" s="785" t="s">
        <v>5</v>
      </c>
      <c r="H168" s="785" t="s">
        <v>830</v>
      </c>
      <c r="I168" s="787">
        <v>2897422.8692380865</v>
      </c>
      <c r="J168" s="787">
        <v>0</v>
      </c>
      <c r="K168" s="787">
        <v>78998.266666666663</v>
      </c>
      <c r="L168" s="787">
        <v>0</v>
      </c>
      <c r="M168" s="787">
        <v>388625</v>
      </c>
      <c r="N168" s="787">
        <v>19052</v>
      </c>
      <c r="O168" s="787">
        <v>0</v>
      </c>
      <c r="P168" s="787">
        <v>0</v>
      </c>
      <c r="Q168" s="787">
        <v>15280.429709999848</v>
      </c>
      <c r="R168" s="787">
        <v>52327.899999999994</v>
      </c>
      <c r="S168" s="787">
        <v>0</v>
      </c>
      <c r="T168" s="787">
        <v>0</v>
      </c>
      <c r="U168" s="787">
        <v>6807.5</v>
      </c>
      <c r="V168" s="787">
        <v>23683.83</v>
      </c>
      <c r="W168" s="787">
        <v>0</v>
      </c>
      <c r="X168" s="787">
        <v>3482197.7956147529</v>
      </c>
      <c r="Y168" s="787">
        <v>1612754.83</v>
      </c>
      <c r="Z168" s="787">
        <v>0</v>
      </c>
      <c r="AA168" s="787">
        <v>629873.73</v>
      </c>
      <c r="AB168" s="787">
        <v>159731.95000000001</v>
      </c>
      <c r="AC168" s="787">
        <v>190061.58000000002</v>
      </c>
      <c r="AD168" s="787">
        <v>0</v>
      </c>
      <c r="AE168" s="787">
        <v>116832.62000000001</v>
      </c>
      <c r="AF168" s="787">
        <v>12131.8</v>
      </c>
      <c r="AG168" s="787">
        <v>15131.9</v>
      </c>
      <c r="AH168" s="787">
        <v>0</v>
      </c>
      <c r="AI168" s="787">
        <v>0</v>
      </c>
      <c r="AJ168" s="787">
        <v>21069.58</v>
      </c>
      <c r="AK168" s="787">
        <v>1756.29</v>
      </c>
      <c r="AL168" s="787">
        <v>0</v>
      </c>
      <c r="AM168" s="787">
        <v>8381.5300000000007</v>
      </c>
      <c r="AN168" s="787">
        <v>57248.899999999994</v>
      </c>
      <c r="AO168" s="787">
        <v>33654.799999999996</v>
      </c>
      <c r="AP168" s="787">
        <v>3765.29</v>
      </c>
      <c r="AQ168" s="787">
        <v>82161.440000000002</v>
      </c>
      <c r="AR168" s="787">
        <v>2118.2399999999998</v>
      </c>
      <c r="AS168" s="787">
        <v>0</v>
      </c>
      <c r="AT168" s="787">
        <v>0</v>
      </c>
      <c r="AU168" s="787">
        <v>0</v>
      </c>
      <c r="AV168" s="787">
        <v>0</v>
      </c>
      <c r="AW168" s="787">
        <v>0</v>
      </c>
      <c r="AX168" s="787">
        <v>0</v>
      </c>
      <c r="AY168" s="787">
        <v>0</v>
      </c>
      <c r="AZ168" s="787">
        <v>52230.17</v>
      </c>
      <c r="BA168" s="787">
        <v>12566.4</v>
      </c>
      <c r="BB168" s="787">
        <v>9456</v>
      </c>
      <c r="BC168" s="787">
        <v>160099.24</v>
      </c>
      <c r="BD168" s="787">
        <v>135696.94</v>
      </c>
      <c r="BE168" s="787">
        <v>40448.379999999997</v>
      </c>
      <c r="BF168" s="787">
        <v>146587.83000000002</v>
      </c>
      <c r="BG168" s="787">
        <v>0</v>
      </c>
      <c r="BH168" s="787">
        <v>0</v>
      </c>
      <c r="BI168" s="787">
        <v>0</v>
      </c>
      <c r="BJ168" s="787">
        <v>3503759.44</v>
      </c>
      <c r="BK168" s="787">
        <v>343597.85999999347</v>
      </c>
      <c r="BL168" s="787">
        <v>-21561.644385247026</v>
      </c>
      <c r="BM168" s="787">
        <v>322036.21561474644</v>
      </c>
      <c r="BN168" s="787">
        <v>9400</v>
      </c>
      <c r="BO168" s="787">
        <v>0</v>
      </c>
      <c r="BP168" s="787">
        <v>0</v>
      </c>
      <c r="BQ168" s="787">
        <v>9400</v>
      </c>
      <c r="BR168" s="787">
        <v>0</v>
      </c>
      <c r="BS168" s="787">
        <v>0</v>
      </c>
      <c r="BT168" s="787">
        <v>0</v>
      </c>
      <c r="BU168" s="787">
        <v>0</v>
      </c>
      <c r="BV168" s="787">
        <v>0</v>
      </c>
      <c r="BW168" s="787">
        <v>0</v>
      </c>
      <c r="BX168" s="787">
        <v>7447.03</v>
      </c>
      <c r="BY168" s="787">
        <v>0</v>
      </c>
      <c r="BZ168" s="787">
        <v>7447.03</v>
      </c>
      <c r="CA168" s="787">
        <v>0</v>
      </c>
      <c r="CB168" s="787">
        <v>1952.9700000000003</v>
      </c>
      <c r="CC168" s="787">
        <v>1952.9700000000003</v>
      </c>
      <c r="CD168" s="787">
        <v>0</v>
      </c>
      <c r="CE168" s="787">
        <v>0</v>
      </c>
      <c r="CF168" s="787">
        <v>0</v>
      </c>
      <c r="CG168" s="787">
        <v>0</v>
      </c>
      <c r="CH168" s="787">
        <v>0</v>
      </c>
      <c r="CI168" s="787">
        <v>0</v>
      </c>
      <c r="CJ168" s="787">
        <v>0</v>
      </c>
      <c r="CK168" s="787">
        <v>0</v>
      </c>
      <c r="CL168" s="787">
        <v>0</v>
      </c>
      <c r="CM168" s="787">
        <v>322036.21561474644</v>
      </c>
      <c r="CN168" s="787">
        <v>0</v>
      </c>
      <c r="CO168" s="787">
        <v>1952.97</v>
      </c>
      <c r="CP168" s="787">
        <v>0</v>
      </c>
      <c r="CQ168" s="787">
        <v>0</v>
      </c>
      <c r="CR168" s="787">
        <v>323989.18561474641</v>
      </c>
      <c r="CS168" s="787">
        <v>611887.79</v>
      </c>
      <c r="CT168" s="787">
        <v>8803.0400000000009</v>
      </c>
      <c r="CU168" s="787">
        <v>0</v>
      </c>
      <c r="CV168" s="787">
        <v>603084.75</v>
      </c>
      <c r="CW168" s="787">
        <v>0</v>
      </c>
      <c r="CX168" s="787">
        <v>12600.01</v>
      </c>
      <c r="CY168" s="787">
        <v>1187.3499999999999</v>
      </c>
      <c r="CZ168" s="787">
        <v>0</v>
      </c>
      <c r="DA168" s="787">
        <v>0</v>
      </c>
      <c r="DB168" s="787">
        <v>616872.11</v>
      </c>
      <c r="DC168" s="787">
        <v>0</v>
      </c>
      <c r="DD168" s="787">
        <v>0</v>
      </c>
      <c r="DE168" s="787">
        <v>0</v>
      </c>
      <c r="DF168" s="787">
        <v>0</v>
      </c>
      <c r="DG168" s="787"/>
      <c r="DH168" s="787"/>
      <c r="DI168" s="787"/>
      <c r="DJ168" s="787">
        <v>0</v>
      </c>
      <c r="DK168" s="787">
        <v>0</v>
      </c>
      <c r="DL168" s="787">
        <v>4909.95</v>
      </c>
      <c r="DM168" s="787">
        <v>0</v>
      </c>
      <c r="DN168" s="787">
        <v>0</v>
      </c>
      <c r="DO168" s="787">
        <v>0</v>
      </c>
      <c r="DP168" s="787">
        <v>-288525.13</v>
      </c>
      <c r="DQ168" s="787">
        <v>0</v>
      </c>
      <c r="DR168" s="787">
        <v>0</v>
      </c>
      <c r="DS168" s="787">
        <v>0</v>
      </c>
      <c r="DT168" s="787">
        <v>-283615.18</v>
      </c>
      <c r="DU168" s="787">
        <v>0</v>
      </c>
      <c r="DV168" s="787">
        <v>0</v>
      </c>
      <c r="DW168" s="787">
        <v>-9267.68</v>
      </c>
      <c r="DX168" s="787">
        <v>0</v>
      </c>
      <c r="DY168" s="787">
        <v>0</v>
      </c>
      <c r="DZ168" s="787">
        <v>0</v>
      </c>
      <c r="EA168" s="787">
        <v>-6.4385253586806357E-2</v>
      </c>
      <c r="EE168">
        <f>_xlfn.XLOOKUP(C168,'[1]Cfwd Analysis'!$C:$C,'[1]Cfwd Analysis'!$I:$I,0,0)</f>
        <v>322036.21561474644</v>
      </c>
      <c r="EF168" s="788">
        <f t="shared" si="2"/>
        <v>0</v>
      </c>
    </row>
    <row r="169" spans="1:136" ht="15.6" hidden="1">
      <c r="A169" s="782" t="s">
        <v>1464</v>
      </c>
      <c r="B169" s="782" t="s">
        <v>820</v>
      </c>
      <c r="C169" s="783">
        <v>7014</v>
      </c>
      <c r="D169" s="784" t="s">
        <v>821</v>
      </c>
      <c r="E169" s="785" t="s">
        <v>521</v>
      </c>
      <c r="F169" s="786">
        <v>0</v>
      </c>
      <c r="G169" s="785" t="s">
        <v>5</v>
      </c>
      <c r="H169" s="785" t="s">
        <v>832</v>
      </c>
      <c r="I169" s="787">
        <v>3194793.5065217391</v>
      </c>
      <c r="J169" s="787">
        <v>28140.096738792461</v>
      </c>
      <c r="K169" s="787">
        <v>5634089.2318736725</v>
      </c>
      <c r="L169" s="787">
        <v>0</v>
      </c>
      <c r="M169" s="787">
        <v>184510</v>
      </c>
      <c r="N169" s="787">
        <v>37431.64</v>
      </c>
      <c r="O169" s="787">
        <v>16355.95</v>
      </c>
      <c r="P169" s="787">
        <v>264</v>
      </c>
      <c r="Q169" s="787">
        <v>197719.99</v>
      </c>
      <c r="R169" s="787">
        <v>24444</v>
      </c>
      <c r="S169" s="787">
        <v>0</v>
      </c>
      <c r="T169" s="787">
        <v>0</v>
      </c>
      <c r="U169" s="787">
        <v>0</v>
      </c>
      <c r="V169" s="787">
        <v>0</v>
      </c>
      <c r="W169" s="787">
        <v>0</v>
      </c>
      <c r="X169" s="787">
        <v>9317748.4151342046</v>
      </c>
      <c r="Y169" s="787">
        <v>2586117.4</v>
      </c>
      <c r="Z169" s="787">
        <v>0</v>
      </c>
      <c r="AA169" s="787">
        <v>2640342.21</v>
      </c>
      <c r="AB169" s="787">
        <v>108981.81</v>
      </c>
      <c r="AC169" s="787">
        <v>389783</v>
      </c>
      <c r="AD169" s="787">
        <v>0</v>
      </c>
      <c r="AE169" s="787">
        <v>32309.32</v>
      </c>
      <c r="AF169" s="787">
        <v>34182.89</v>
      </c>
      <c r="AG169" s="787">
        <v>19512.939999999999</v>
      </c>
      <c r="AH169" s="787">
        <v>0</v>
      </c>
      <c r="AI169" s="787">
        <v>0</v>
      </c>
      <c r="AJ169" s="787">
        <v>100556.36</v>
      </c>
      <c r="AK169" s="787">
        <v>0</v>
      </c>
      <c r="AL169" s="787">
        <v>135964.73000000001</v>
      </c>
      <c r="AM169" s="787">
        <v>26700.6</v>
      </c>
      <c r="AN169" s="787">
        <v>138890.34</v>
      </c>
      <c r="AO169" s="787">
        <v>0</v>
      </c>
      <c r="AP169" s="787">
        <v>83500.86</v>
      </c>
      <c r="AQ169" s="787">
        <v>75757.25</v>
      </c>
      <c r="AR169" s="787">
        <v>14788.62</v>
      </c>
      <c r="AS169" s="787">
        <v>0</v>
      </c>
      <c r="AT169" s="787">
        <v>26394.639999999999</v>
      </c>
      <c r="AU169" s="787">
        <v>16084.3</v>
      </c>
      <c r="AV169" s="787">
        <v>33377.46</v>
      </c>
      <c r="AW169" s="787">
        <v>11474.12</v>
      </c>
      <c r="AX169" s="787">
        <v>28933.51</v>
      </c>
      <c r="AY169" s="787">
        <v>4062.15</v>
      </c>
      <c r="AZ169" s="787">
        <v>15718</v>
      </c>
      <c r="BA169" s="787">
        <v>16944.21</v>
      </c>
      <c r="BB169" s="787">
        <v>0</v>
      </c>
      <c r="BC169" s="787">
        <v>183094.59</v>
      </c>
      <c r="BD169" s="787">
        <v>1772163.72</v>
      </c>
      <c r="BE169" s="787">
        <v>124456.83</v>
      </c>
      <c r="BF169" s="787">
        <v>116636.18</v>
      </c>
      <c r="BG169" s="787">
        <v>0</v>
      </c>
      <c r="BH169" s="787">
        <v>0</v>
      </c>
      <c r="BI169" s="787">
        <v>0</v>
      </c>
      <c r="BJ169" s="787">
        <v>8736728.0399999991</v>
      </c>
      <c r="BK169" s="787">
        <v>1789289.3399999992</v>
      </c>
      <c r="BL169" s="787">
        <v>581020.37513420545</v>
      </c>
      <c r="BM169" s="787">
        <v>2370309.7151342044</v>
      </c>
      <c r="BN169" s="787">
        <v>18124.38</v>
      </c>
      <c r="BO169" s="787">
        <v>0</v>
      </c>
      <c r="BP169" s="787">
        <v>0</v>
      </c>
      <c r="BQ169" s="787">
        <v>18124.38</v>
      </c>
      <c r="BR169" s="787">
        <v>0</v>
      </c>
      <c r="BS169" s="787">
        <v>0</v>
      </c>
      <c r="BT169" s="787">
        <v>0</v>
      </c>
      <c r="BU169" s="787">
        <v>0</v>
      </c>
      <c r="BV169" s="787">
        <v>0</v>
      </c>
      <c r="BW169" s="787">
        <v>0</v>
      </c>
      <c r="BX169" s="787">
        <v>0</v>
      </c>
      <c r="BY169" s="787">
        <v>0</v>
      </c>
      <c r="BZ169" s="787">
        <v>0</v>
      </c>
      <c r="CA169" s="787">
        <v>17365.660000000003</v>
      </c>
      <c r="CB169" s="787">
        <v>18124.38</v>
      </c>
      <c r="CC169" s="787">
        <v>35490.040000000008</v>
      </c>
      <c r="CD169" s="787">
        <v>0</v>
      </c>
      <c r="CE169" s="787">
        <v>0</v>
      </c>
      <c r="CF169" s="787">
        <v>0</v>
      </c>
      <c r="CG169" s="787">
        <v>0</v>
      </c>
      <c r="CH169" s="787">
        <v>0</v>
      </c>
      <c r="CI169" s="787">
        <v>0</v>
      </c>
      <c r="CJ169" s="787">
        <v>0</v>
      </c>
      <c r="CK169" s="787">
        <v>0</v>
      </c>
      <c r="CL169" s="787">
        <v>0</v>
      </c>
      <c r="CM169" s="787">
        <v>2370309.7151342044</v>
      </c>
      <c r="CN169" s="787">
        <v>0</v>
      </c>
      <c r="CO169" s="787">
        <v>18124</v>
      </c>
      <c r="CP169" s="787">
        <v>17366.040000000008</v>
      </c>
      <c r="CQ169" s="787">
        <v>0</v>
      </c>
      <c r="CR169" s="787">
        <v>2405799.7551342044</v>
      </c>
      <c r="CS169" s="787">
        <v>150000</v>
      </c>
      <c r="CT169" s="787">
        <v>13968.32</v>
      </c>
      <c r="CU169" s="787">
        <v>10725.65</v>
      </c>
      <c r="CV169" s="787">
        <v>146757.32999999999</v>
      </c>
      <c r="CW169" s="787">
        <v>0</v>
      </c>
      <c r="CX169" s="787">
        <v>50381.71</v>
      </c>
      <c r="CY169" s="787">
        <v>31459.63</v>
      </c>
      <c r="CZ169" s="787">
        <v>0</v>
      </c>
      <c r="DA169" s="787">
        <v>0</v>
      </c>
      <c r="DB169" s="787">
        <v>228598.66999999998</v>
      </c>
      <c r="DC169" s="787">
        <v>2930205.48</v>
      </c>
      <c r="DD169" s="787">
        <v>680.33</v>
      </c>
      <c r="DE169" s="787">
        <v>498.55</v>
      </c>
      <c r="DF169" s="787">
        <v>2930023.6999999997</v>
      </c>
      <c r="DG169" s="787"/>
      <c r="DH169" s="787"/>
      <c r="DI169" s="787"/>
      <c r="DJ169" s="787">
        <v>0</v>
      </c>
      <c r="DK169" s="787">
        <v>2930023.6999999997</v>
      </c>
      <c r="DL169" s="787">
        <v>0</v>
      </c>
      <c r="DM169" s="787">
        <v>0</v>
      </c>
      <c r="DN169" s="787">
        <v>0</v>
      </c>
      <c r="DO169" s="787">
        <v>0</v>
      </c>
      <c r="DP169" s="787">
        <v>-250363.33</v>
      </c>
      <c r="DQ169" s="787">
        <v>-683.25</v>
      </c>
      <c r="DR169" s="787">
        <v>0</v>
      </c>
      <c r="DS169" s="787">
        <v>0</v>
      </c>
      <c r="DT169" s="787">
        <v>-251046.58</v>
      </c>
      <c r="DU169" s="787">
        <v>0</v>
      </c>
      <c r="DV169" s="787">
        <v>0</v>
      </c>
      <c r="DW169" s="787">
        <v>-3054.42</v>
      </c>
      <c r="DX169" s="787">
        <v>0</v>
      </c>
      <c r="DY169" s="787">
        <v>0</v>
      </c>
      <c r="DZ169" s="787">
        <v>-498721.73</v>
      </c>
      <c r="EA169" s="787">
        <v>0.11513420473784208</v>
      </c>
      <c r="EE169">
        <f>_xlfn.XLOOKUP(C169,'[1]Cfwd Analysis'!$C:$C,'[1]Cfwd Analysis'!$I:$I,0,0)</f>
        <v>2370309.7151342044</v>
      </c>
      <c r="EF169" s="788">
        <f t="shared" si="2"/>
        <v>0</v>
      </c>
    </row>
    <row r="170" spans="1:136" ht="15.6" hidden="1">
      <c r="A170" s="782" t="s">
        <v>1465</v>
      </c>
      <c r="B170" s="782" t="s">
        <v>822</v>
      </c>
      <c r="C170" s="783">
        <v>7009</v>
      </c>
      <c r="D170" s="784" t="s">
        <v>823</v>
      </c>
      <c r="E170" s="785" t="s">
        <v>521</v>
      </c>
      <c r="F170" s="786">
        <v>46094</v>
      </c>
      <c r="G170" s="785" t="s">
        <v>5</v>
      </c>
      <c r="H170" s="785" t="s">
        <v>834</v>
      </c>
      <c r="I170" s="787">
        <v>1870445.5813043481</v>
      </c>
      <c r="J170" s="787">
        <v>672098.40419976646</v>
      </c>
      <c r="K170" s="787">
        <v>4671053.1200897973</v>
      </c>
      <c r="L170" s="787">
        <v>0</v>
      </c>
      <c r="M170" s="787">
        <v>146450</v>
      </c>
      <c r="N170" s="787">
        <v>27418.29</v>
      </c>
      <c r="O170" s="787">
        <v>388886.5</v>
      </c>
      <c r="P170" s="787">
        <v>25624</v>
      </c>
      <c r="Q170" s="787">
        <v>119300.13</v>
      </c>
      <c r="R170" s="787">
        <v>16457.22</v>
      </c>
      <c r="S170" s="787">
        <v>0</v>
      </c>
      <c r="T170" s="787">
        <v>36124.589999999997</v>
      </c>
      <c r="U170" s="787">
        <v>1496.75</v>
      </c>
      <c r="V170" s="787">
        <v>42342.03</v>
      </c>
      <c r="W170" s="787">
        <v>0</v>
      </c>
      <c r="X170" s="787">
        <v>8017696.6155939121</v>
      </c>
      <c r="Y170" s="787">
        <v>2318023.73</v>
      </c>
      <c r="Z170" s="787">
        <v>0</v>
      </c>
      <c r="AA170" s="787">
        <v>2573581.98</v>
      </c>
      <c r="AB170" s="787">
        <v>331836.78999999998</v>
      </c>
      <c r="AC170" s="787">
        <v>541330.43999999994</v>
      </c>
      <c r="AD170" s="787">
        <v>0</v>
      </c>
      <c r="AE170" s="787">
        <v>157683.74</v>
      </c>
      <c r="AF170" s="787">
        <v>30637.55</v>
      </c>
      <c r="AG170" s="787">
        <v>32715.75</v>
      </c>
      <c r="AH170" s="787">
        <v>0</v>
      </c>
      <c r="AI170" s="787">
        <v>0</v>
      </c>
      <c r="AJ170" s="787">
        <v>126062.6</v>
      </c>
      <c r="AK170" s="787">
        <v>5610.1</v>
      </c>
      <c r="AL170" s="787">
        <v>25408.42</v>
      </c>
      <c r="AM170" s="787">
        <v>34517.229999999996</v>
      </c>
      <c r="AN170" s="787">
        <v>205291.82</v>
      </c>
      <c r="AO170" s="787">
        <v>0</v>
      </c>
      <c r="AP170" s="787">
        <v>64764.27</v>
      </c>
      <c r="AQ170" s="787">
        <v>114081.96</v>
      </c>
      <c r="AR170" s="787">
        <v>5472.3600000000006</v>
      </c>
      <c r="AS170" s="787">
        <v>0</v>
      </c>
      <c r="AT170" s="787">
        <v>6848.2600000000011</v>
      </c>
      <c r="AU170" s="787">
        <v>20837.86</v>
      </c>
      <c r="AV170" s="787">
        <v>3963.92</v>
      </c>
      <c r="AW170" s="787">
        <v>4272.0600000000004</v>
      </c>
      <c r="AX170" s="787">
        <v>11613.090000000002</v>
      </c>
      <c r="AY170" s="787">
        <v>1877.4</v>
      </c>
      <c r="AZ170" s="787">
        <v>58494.58</v>
      </c>
      <c r="BA170" s="787">
        <v>7550.33</v>
      </c>
      <c r="BB170" s="787">
        <v>0</v>
      </c>
      <c r="BC170" s="787">
        <v>182030.18</v>
      </c>
      <c r="BD170" s="787">
        <v>236900.63</v>
      </c>
      <c r="BE170" s="787">
        <v>347223.70999999996</v>
      </c>
      <c r="BF170" s="787">
        <v>146751.94</v>
      </c>
      <c r="BG170" s="787">
        <v>0</v>
      </c>
      <c r="BH170" s="787">
        <v>0</v>
      </c>
      <c r="BI170" s="787">
        <v>124687.99</v>
      </c>
      <c r="BJ170" s="787">
        <v>7720070.6899999995</v>
      </c>
      <c r="BK170" s="787">
        <v>2114597.4560000002</v>
      </c>
      <c r="BL170" s="787">
        <v>297625.9255939126</v>
      </c>
      <c r="BM170" s="787">
        <v>2412223.3815939128</v>
      </c>
      <c r="BN170" s="787">
        <v>15122.31</v>
      </c>
      <c r="BO170" s="787">
        <v>0</v>
      </c>
      <c r="BP170" s="787">
        <v>124687.99</v>
      </c>
      <c r="BQ170" s="787">
        <v>139810.30000000002</v>
      </c>
      <c r="BR170" s="787">
        <v>0</v>
      </c>
      <c r="BS170" s="787">
        <v>56340.5</v>
      </c>
      <c r="BT170" s="787">
        <v>44081.99</v>
      </c>
      <c r="BU170" s="787">
        <v>7374.34</v>
      </c>
      <c r="BV170" s="787">
        <v>0</v>
      </c>
      <c r="BW170" s="787">
        <v>2423.36</v>
      </c>
      <c r="BX170" s="787">
        <v>7907.39</v>
      </c>
      <c r="BY170" s="787">
        <v>31846.5</v>
      </c>
      <c r="BZ170" s="787">
        <v>149974.07999999999</v>
      </c>
      <c r="CA170" s="787">
        <v>10164.010000000002</v>
      </c>
      <c r="CB170" s="787">
        <v>-10163.77999999997</v>
      </c>
      <c r="CC170" s="787">
        <v>0.23000000003230525</v>
      </c>
      <c r="CD170" s="787">
        <v>0</v>
      </c>
      <c r="CE170" s="787">
        <v>0</v>
      </c>
      <c r="CF170" s="787">
        <v>0</v>
      </c>
      <c r="CG170" s="787">
        <v>0</v>
      </c>
      <c r="CH170" s="787">
        <v>0</v>
      </c>
      <c r="CI170" s="787">
        <v>0</v>
      </c>
      <c r="CJ170" s="787">
        <v>0</v>
      </c>
      <c r="CK170" s="787">
        <v>0</v>
      </c>
      <c r="CL170" s="787">
        <v>0</v>
      </c>
      <c r="CM170" s="787">
        <v>2412223.3815939128</v>
      </c>
      <c r="CN170" s="787">
        <v>0</v>
      </c>
      <c r="CO170" s="787">
        <v>0</v>
      </c>
      <c r="CP170" s="787">
        <v>0.23000000003230525</v>
      </c>
      <c r="CQ170" s="787">
        <v>0</v>
      </c>
      <c r="CR170" s="787">
        <v>2412223.6115939128</v>
      </c>
      <c r="CS170" s="787">
        <v>50000</v>
      </c>
      <c r="CT170" s="787">
        <v>609641.80000000005</v>
      </c>
      <c r="CU170" s="787">
        <v>9139.15</v>
      </c>
      <c r="CV170" s="787">
        <v>-550502.65</v>
      </c>
      <c r="CW170" s="787">
        <v>0</v>
      </c>
      <c r="CX170" s="787">
        <v>15238.52</v>
      </c>
      <c r="CY170" s="787">
        <v>28132.240000000002</v>
      </c>
      <c r="CZ170" s="787">
        <v>0</v>
      </c>
      <c r="DA170" s="787">
        <v>91.14</v>
      </c>
      <c r="DB170" s="787">
        <v>-507040.75</v>
      </c>
      <c r="DC170" s="787">
        <v>2910195.91</v>
      </c>
      <c r="DD170" s="787">
        <v>0</v>
      </c>
      <c r="DE170" s="787">
        <v>0</v>
      </c>
      <c r="DF170" s="787">
        <v>2910195.91</v>
      </c>
      <c r="DG170" s="787"/>
      <c r="DH170" s="787"/>
      <c r="DI170" s="787"/>
      <c r="DJ170" s="787">
        <v>0</v>
      </c>
      <c r="DK170" s="787">
        <v>2910195.91</v>
      </c>
      <c r="DL170" s="787">
        <v>197258.39</v>
      </c>
      <c r="DM170" s="787">
        <v>0</v>
      </c>
      <c r="DN170" s="787">
        <v>57037.17</v>
      </c>
      <c r="DO170" s="787">
        <v>0</v>
      </c>
      <c r="DP170" s="787">
        <v>-94351.55</v>
      </c>
      <c r="DQ170" s="787">
        <v>-45887.77</v>
      </c>
      <c r="DR170" s="787">
        <v>-500</v>
      </c>
      <c r="DS170" s="787">
        <v>0</v>
      </c>
      <c r="DT170" s="787">
        <v>113556.24000000002</v>
      </c>
      <c r="DU170" s="787">
        <v>0</v>
      </c>
      <c r="DV170" s="787">
        <v>0</v>
      </c>
      <c r="DW170" s="787">
        <v>-866.25</v>
      </c>
      <c r="DX170" s="787">
        <v>0</v>
      </c>
      <c r="DY170" s="787">
        <v>0</v>
      </c>
      <c r="DZ170" s="787">
        <v>-103621.13</v>
      </c>
      <c r="EA170" s="787">
        <v>-0.40840608766302466</v>
      </c>
      <c r="EE170">
        <f>_xlfn.XLOOKUP(C170,'[1]Cfwd Analysis'!$C:$C,'[1]Cfwd Analysis'!$I:$I,0,0)</f>
        <v>2412223.3815939128</v>
      </c>
      <c r="EF170" s="788">
        <f t="shared" si="2"/>
        <v>0</v>
      </c>
    </row>
    <row r="171" spans="1:136" ht="15.6" hidden="1">
      <c r="A171" s="782" t="s">
        <v>1466</v>
      </c>
      <c r="B171" s="782" t="s">
        <v>824</v>
      </c>
      <c r="C171" s="783">
        <v>5203</v>
      </c>
      <c r="D171" s="784" t="s">
        <v>825</v>
      </c>
      <c r="E171" s="785" t="s">
        <v>521</v>
      </c>
      <c r="F171" s="786">
        <v>46094</v>
      </c>
      <c r="G171" s="785" t="s">
        <v>5</v>
      </c>
      <c r="H171" s="785" t="s">
        <v>836</v>
      </c>
      <c r="I171" s="787">
        <v>1678616.894228993</v>
      </c>
      <c r="J171" s="787">
        <v>0</v>
      </c>
      <c r="K171" s="787">
        <v>79440.183333333334</v>
      </c>
      <c r="L171" s="787">
        <v>0</v>
      </c>
      <c r="M171" s="787">
        <v>27970</v>
      </c>
      <c r="N171" s="787">
        <v>120992</v>
      </c>
      <c r="O171" s="787">
        <v>0</v>
      </c>
      <c r="P171" s="787">
        <v>0</v>
      </c>
      <c r="Q171" s="787">
        <v>78494.009999999995</v>
      </c>
      <c r="R171" s="787">
        <v>17159.780000000002</v>
      </c>
      <c r="S171" s="787">
        <v>0</v>
      </c>
      <c r="T171" s="787">
        <v>0</v>
      </c>
      <c r="U171" s="787">
        <v>51470.2</v>
      </c>
      <c r="V171" s="787">
        <v>6670.59</v>
      </c>
      <c r="W171" s="787">
        <v>0</v>
      </c>
      <c r="X171" s="787">
        <v>2060813.6575623264</v>
      </c>
      <c r="Y171" s="787">
        <v>1011693.41</v>
      </c>
      <c r="Z171" s="787">
        <v>0</v>
      </c>
      <c r="AA171" s="787">
        <v>393636.4</v>
      </c>
      <c r="AB171" s="787">
        <v>11740.97</v>
      </c>
      <c r="AC171" s="787">
        <v>110455.34000000001</v>
      </c>
      <c r="AD171" s="787">
        <v>98584.59</v>
      </c>
      <c r="AE171" s="787">
        <v>153100.51999999999</v>
      </c>
      <c r="AF171" s="787">
        <v>355</v>
      </c>
      <c r="AG171" s="787">
        <v>3900.83</v>
      </c>
      <c r="AH171" s="787">
        <v>0</v>
      </c>
      <c r="AI171" s="787">
        <v>0</v>
      </c>
      <c r="AJ171" s="787">
        <v>24287.71</v>
      </c>
      <c r="AK171" s="787">
        <v>5346</v>
      </c>
      <c r="AL171" s="787">
        <v>43964.25</v>
      </c>
      <c r="AM171" s="787">
        <v>4598.4799999999996</v>
      </c>
      <c r="AN171" s="787">
        <v>25803.91</v>
      </c>
      <c r="AO171" s="787">
        <v>6271.1699999999992</v>
      </c>
      <c r="AP171" s="787">
        <v>7034.66</v>
      </c>
      <c r="AQ171" s="787">
        <v>26087.64</v>
      </c>
      <c r="AR171" s="787">
        <v>0</v>
      </c>
      <c r="AS171" s="787">
        <v>0</v>
      </c>
      <c r="AT171" s="787">
        <v>0</v>
      </c>
      <c r="AU171" s="787">
        <v>0</v>
      </c>
      <c r="AV171" s="787">
        <v>0</v>
      </c>
      <c r="AW171" s="787">
        <v>0</v>
      </c>
      <c r="AX171" s="787">
        <v>31102.19</v>
      </c>
      <c r="AY171" s="787">
        <v>0</v>
      </c>
      <c r="AZ171" s="787">
        <v>15704.7</v>
      </c>
      <c r="BA171" s="787">
        <v>5544.5</v>
      </c>
      <c r="BB171" s="787">
        <v>0</v>
      </c>
      <c r="BC171" s="787">
        <v>46245.32</v>
      </c>
      <c r="BD171" s="787">
        <v>652.32000000000005</v>
      </c>
      <c r="BE171" s="787">
        <v>9171.52</v>
      </c>
      <c r="BF171" s="787">
        <v>52024.87</v>
      </c>
      <c r="BG171" s="787">
        <v>0</v>
      </c>
      <c r="BH171" s="787">
        <v>0</v>
      </c>
      <c r="BI171" s="787">
        <v>0</v>
      </c>
      <c r="BJ171" s="787">
        <v>2087306.3</v>
      </c>
      <c r="BK171" s="787">
        <v>82655.919999999664</v>
      </c>
      <c r="BL171" s="787">
        <v>-26492.64243767364</v>
      </c>
      <c r="BM171" s="787">
        <v>56163.277562326024</v>
      </c>
      <c r="BN171" s="787">
        <v>7685.5</v>
      </c>
      <c r="BO171" s="787">
        <v>0</v>
      </c>
      <c r="BP171" s="787">
        <v>0</v>
      </c>
      <c r="BQ171" s="787">
        <v>7685.5</v>
      </c>
      <c r="BR171" s="787">
        <v>4699.53</v>
      </c>
      <c r="BS171" s="787">
        <v>2196</v>
      </c>
      <c r="BT171" s="787">
        <v>0</v>
      </c>
      <c r="BU171" s="787">
        <v>0</v>
      </c>
      <c r="BV171" s="787">
        <v>0</v>
      </c>
      <c r="BW171" s="787">
        <v>0</v>
      </c>
      <c r="BX171" s="787">
        <v>790</v>
      </c>
      <c r="BY171" s="787">
        <v>0</v>
      </c>
      <c r="BZ171" s="787">
        <v>7685.53</v>
      </c>
      <c r="CA171" s="787">
        <v>0</v>
      </c>
      <c r="CB171" s="787">
        <v>-2.9999999999745341E-2</v>
      </c>
      <c r="CC171" s="787">
        <v>-2.9999999999745341E-2</v>
      </c>
      <c r="CD171" s="787">
        <v>0</v>
      </c>
      <c r="CE171" s="787">
        <v>0</v>
      </c>
      <c r="CF171" s="787">
        <v>0</v>
      </c>
      <c r="CG171" s="787">
        <v>0</v>
      </c>
      <c r="CH171" s="787">
        <v>0</v>
      </c>
      <c r="CI171" s="787">
        <v>0</v>
      </c>
      <c r="CJ171" s="787">
        <v>0</v>
      </c>
      <c r="CK171" s="787">
        <v>0</v>
      </c>
      <c r="CL171" s="787">
        <v>0</v>
      </c>
      <c r="CM171" s="787">
        <v>56163.277562326024</v>
      </c>
      <c r="CN171" s="787">
        <v>0</v>
      </c>
      <c r="CO171" s="787">
        <v>0</v>
      </c>
      <c r="CP171" s="787">
        <v>-2.9999999999745341E-2</v>
      </c>
      <c r="CQ171" s="787">
        <v>0</v>
      </c>
      <c r="CR171" s="787">
        <v>56163.247562326025</v>
      </c>
      <c r="CS171" s="787">
        <v>214827.55</v>
      </c>
      <c r="CT171" s="787">
        <v>10471.790000000001</v>
      </c>
      <c r="CU171" s="787">
        <v>275</v>
      </c>
      <c r="CV171" s="787">
        <v>204630.75999999998</v>
      </c>
      <c r="CW171" s="787">
        <v>0</v>
      </c>
      <c r="CX171" s="787">
        <v>1866.55</v>
      </c>
      <c r="CY171" s="787">
        <v>-137.63999999999999</v>
      </c>
      <c r="CZ171" s="787">
        <v>0</v>
      </c>
      <c r="DA171" s="787">
        <v>0</v>
      </c>
      <c r="DB171" s="787">
        <v>206359.66999999995</v>
      </c>
      <c r="DC171" s="787">
        <v>146.75</v>
      </c>
      <c r="DD171" s="787">
        <v>0</v>
      </c>
      <c r="DE171" s="787">
        <v>0</v>
      </c>
      <c r="DF171" s="787">
        <v>146.75</v>
      </c>
      <c r="DG171" s="787"/>
      <c r="DH171" s="787"/>
      <c r="DI171" s="787"/>
      <c r="DJ171" s="787">
        <v>0</v>
      </c>
      <c r="DK171" s="787">
        <v>146.75</v>
      </c>
      <c r="DL171" s="787">
        <v>6136.5</v>
      </c>
      <c r="DM171" s="787">
        <v>0</v>
      </c>
      <c r="DN171" s="787">
        <v>0</v>
      </c>
      <c r="DO171" s="787">
        <v>0</v>
      </c>
      <c r="DP171" s="787">
        <v>-156480.01999999999</v>
      </c>
      <c r="DQ171" s="787">
        <v>0</v>
      </c>
      <c r="DR171" s="787">
        <v>0</v>
      </c>
      <c r="DS171" s="787">
        <v>0</v>
      </c>
      <c r="DT171" s="787">
        <v>-150343.51999999999</v>
      </c>
      <c r="DU171" s="787">
        <v>0</v>
      </c>
      <c r="DV171" s="787">
        <v>0</v>
      </c>
      <c r="DW171" s="787">
        <v>0</v>
      </c>
      <c r="DX171" s="787">
        <v>0</v>
      </c>
      <c r="DY171" s="787">
        <v>0</v>
      </c>
      <c r="DZ171" s="787">
        <v>0</v>
      </c>
      <c r="EA171" s="787">
        <v>0.34756232606014237</v>
      </c>
      <c r="EE171">
        <f>_xlfn.XLOOKUP(C171,'[1]Cfwd Analysis'!$C:$C,'[1]Cfwd Analysis'!$I:$I,0,0)</f>
        <v>56163.277562326024</v>
      </c>
      <c r="EF171" s="788">
        <f t="shared" si="2"/>
        <v>0</v>
      </c>
    </row>
    <row r="172" spans="1:136" ht="15.6" hidden="1">
      <c r="A172" s="782" t="s">
        <v>1467</v>
      </c>
      <c r="B172" s="782" t="s">
        <v>826</v>
      </c>
      <c r="C172" s="783">
        <v>5202</v>
      </c>
      <c r="D172" s="784" t="s">
        <v>827</v>
      </c>
      <c r="E172" s="785" t="s">
        <v>521</v>
      </c>
      <c r="F172" s="786">
        <v>0</v>
      </c>
      <c r="G172" s="785" t="s">
        <v>5</v>
      </c>
      <c r="H172" s="785" t="s">
        <v>838</v>
      </c>
      <c r="I172" s="787">
        <v>1839883.4700000004</v>
      </c>
      <c r="J172" s="787">
        <v>0</v>
      </c>
      <c r="K172" s="787">
        <v>112846.99333333332</v>
      </c>
      <c r="L172" s="787">
        <v>0</v>
      </c>
      <c r="M172" s="787">
        <v>96947</v>
      </c>
      <c r="N172" s="787">
        <v>21204.93</v>
      </c>
      <c r="O172" s="787">
        <v>0</v>
      </c>
      <c r="P172" s="787">
        <v>91173.9</v>
      </c>
      <c r="Q172" s="787">
        <v>12011.300000000001</v>
      </c>
      <c r="R172" s="787">
        <v>104963.9</v>
      </c>
      <c r="S172" s="787">
        <v>0</v>
      </c>
      <c r="T172" s="787">
        <v>0</v>
      </c>
      <c r="U172" s="787">
        <v>50848.32</v>
      </c>
      <c r="V172" s="787">
        <v>31163.22</v>
      </c>
      <c r="W172" s="787">
        <v>0</v>
      </c>
      <c r="X172" s="787">
        <v>2361043.0333333337</v>
      </c>
      <c r="Y172" s="787">
        <v>1185075.58</v>
      </c>
      <c r="Z172" s="787">
        <v>0</v>
      </c>
      <c r="AA172" s="787">
        <v>256609.93</v>
      </c>
      <c r="AB172" s="787">
        <v>38151.14</v>
      </c>
      <c r="AC172" s="787">
        <v>130079.33</v>
      </c>
      <c r="AD172" s="787">
        <v>86373.42</v>
      </c>
      <c r="AE172" s="787">
        <v>87745.58</v>
      </c>
      <c r="AF172" s="787">
        <v>708</v>
      </c>
      <c r="AG172" s="787">
        <v>3823.69</v>
      </c>
      <c r="AH172" s="787">
        <v>0</v>
      </c>
      <c r="AI172" s="787">
        <v>0</v>
      </c>
      <c r="AJ172" s="787">
        <v>29335.73</v>
      </c>
      <c r="AK172" s="787">
        <v>9357.5999999999985</v>
      </c>
      <c r="AL172" s="787">
        <v>47554.11</v>
      </c>
      <c r="AM172" s="787">
        <v>8795.91</v>
      </c>
      <c r="AN172" s="787">
        <v>30017.019999999997</v>
      </c>
      <c r="AO172" s="787">
        <v>4213.47</v>
      </c>
      <c r="AP172" s="787">
        <v>7748.46</v>
      </c>
      <c r="AQ172" s="787">
        <v>51330.25</v>
      </c>
      <c r="AR172" s="787">
        <v>0</v>
      </c>
      <c r="AS172" s="787">
        <v>0</v>
      </c>
      <c r="AT172" s="787">
        <v>37274.58</v>
      </c>
      <c r="AU172" s="787">
        <v>0</v>
      </c>
      <c r="AV172" s="787">
        <v>0</v>
      </c>
      <c r="AW172" s="787">
        <v>35712.26</v>
      </c>
      <c r="AX172" s="787">
        <v>3750</v>
      </c>
      <c r="AY172" s="787">
        <v>0</v>
      </c>
      <c r="AZ172" s="787">
        <v>1501.97</v>
      </c>
      <c r="BA172" s="787">
        <v>9733.39</v>
      </c>
      <c r="BB172" s="787">
        <v>954.5</v>
      </c>
      <c r="BC172" s="787">
        <v>37570.68</v>
      </c>
      <c r="BD172" s="787">
        <v>105198.43</v>
      </c>
      <c r="BE172" s="787">
        <v>9388.7999999999975</v>
      </c>
      <c r="BF172" s="787">
        <v>65068.1</v>
      </c>
      <c r="BG172" s="787">
        <v>0</v>
      </c>
      <c r="BH172" s="787">
        <v>0</v>
      </c>
      <c r="BI172" s="787">
        <v>0</v>
      </c>
      <c r="BJ172" s="787">
        <v>2283071.9300000002</v>
      </c>
      <c r="BK172" s="787">
        <v>231787.62999999948</v>
      </c>
      <c r="BL172" s="787">
        <v>77971.103333333507</v>
      </c>
      <c r="BM172" s="787">
        <v>309758.73333333299</v>
      </c>
      <c r="BN172" s="787">
        <v>8027.5</v>
      </c>
      <c r="BO172" s="787">
        <v>0</v>
      </c>
      <c r="BP172" s="787">
        <v>0</v>
      </c>
      <c r="BQ172" s="787">
        <v>8027.5</v>
      </c>
      <c r="BR172" s="787">
        <v>0</v>
      </c>
      <c r="BS172" s="787">
        <v>0</v>
      </c>
      <c r="BT172" s="787">
        <v>0</v>
      </c>
      <c r="BU172" s="787">
        <v>0</v>
      </c>
      <c r="BV172" s="787">
        <v>0</v>
      </c>
      <c r="BW172" s="787">
        <v>0</v>
      </c>
      <c r="BX172" s="787">
        <v>0</v>
      </c>
      <c r="BY172" s="787">
        <v>0</v>
      </c>
      <c r="BZ172" s="787">
        <v>0</v>
      </c>
      <c r="CA172" s="787">
        <v>27469</v>
      </c>
      <c r="CB172" s="787">
        <v>8027.5</v>
      </c>
      <c r="CC172" s="787">
        <v>35496.5</v>
      </c>
      <c r="CD172" s="787">
        <v>0</v>
      </c>
      <c r="CE172" s="787">
        <v>0</v>
      </c>
      <c r="CF172" s="787">
        <v>0</v>
      </c>
      <c r="CG172" s="787">
        <v>0</v>
      </c>
      <c r="CH172" s="787">
        <v>0</v>
      </c>
      <c r="CI172" s="787">
        <v>0</v>
      </c>
      <c r="CJ172" s="787">
        <v>0</v>
      </c>
      <c r="CK172" s="787">
        <v>0</v>
      </c>
      <c r="CL172" s="787">
        <v>0</v>
      </c>
      <c r="CM172" s="787">
        <v>309758.73333333299</v>
      </c>
      <c r="CN172" s="787">
        <v>0</v>
      </c>
      <c r="CO172" s="787">
        <v>35496.5</v>
      </c>
      <c r="CP172" s="787">
        <v>0</v>
      </c>
      <c r="CQ172" s="787">
        <v>0</v>
      </c>
      <c r="CR172" s="787">
        <v>345255.23333333299</v>
      </c>
      <c r="CS172" s="787">
        <v>519280.06</v>
      </c>
      <c r="CT172" s="787">
        <v>38895.35</v>
      </c>
      <c r="CU172" s="787">
        <v>0</v>
      </c>
      <c r="CV172" s="787">
        <v>480384.71</v>
      </c>
      <c r="CW172" s="787">
        <v>18.45</v>
      </c>
      <c r="CX172" s="787">
        <v>6383.69</v>
      </c>
      <c r="CY172" s="787">
        <v>2957.04</v>
      </c>
      <c r="CZ172" s="787">
        <v>0</v>
      </c>
      <c r="DA172" s="787">
        <v>-169.6399999999976</v>
      </c>
      <c r="DB172" s="787">
        <v>489574.25</v>
      </c>
      <c r="DC172" s="787">
        <v>0</v>
      </c>
      <c r="DD172" s="787">
        <v>0</v>
      </c>
      <c r="DE172" s="787">
        <v>0</v>
      </c>
      <c r="DF172" s="787">
        <v>0</v>
      </c>
      <c r="DG172" s="787"/>
      <c r="DH172" s="787"/>
      <c r="DI172" s="787"/>
      <c r="DJ172" s="787">
        <v>0</v>
      </c>
      <c r="DK172" s="787">
        <v>0</v>
      </c>
      <c r="DL172" s="787">
        <v>30387.61</v>
      </c>
      <c r="DM172" s="787">
        <v>0</v>
      </c>
      <c r="DN172" s="787">
        <v>0</v>
      </c>
      <c r="DO172" s="787">
        <v>0</v>
      </c>
      <c r="DP172" s="787">
        <v>-174999.43</v>
      </c>
      <c r="DQ172" s="787">
        <v>0</v>
      </c>
      <c r="DR172" s="787">
        <v>0</v>
      </c>
      <c r="DS172" s="787">
        <v>0</v>
      </c>
      <c r="DT172" s="787">
        <v>-144611.82</v>
      </c>
      <c r="DU172" s="787">
        <v>0</v>
      </c>
      <c r="DV172" s="787">
        <v>0</v>
      </c>
      <c r="DW172" s="787">
        <v>0</v>
      </c>
      <c r="DX172" s="787">
        <v>0</v>
      </c>
      <c r="DY172" s="787">
        <v>293.08</v>
      </c>
      <c r="DZ172" s="787">
        <v>0</v>
      </c>
      <c r="EA172" s="787">
        <v>-0.27666666702134535</v>
      </c>
      <c r="EE172">
        <f>_xlfn.XLOOKUP(C172,'[1]Cfwd Analysis'!$C:$C,'[1]Cfwd Analysis'!$I:$I,0,0)</f>
        <v>309758.73333333299</v>
      </c>
      <c r="EF172" s="788">
        <f t="shared" si="2"/>
        <v>0</v>
      </c>
    </row>
    <row r="173" spans="1:136" ht="15.6" hidden="1">
      <c r="A173" s="782" t="s">
        <v>1468</v>
      </c>
      <c r="B173" s="782" t="s">
        <v>828</v>
      </c>
      <c r="C173" s="783">
        <v>2108</v>
      </c>
      <c r="D173" s="784" t="s">
        <v>829</v>
      </c>
      <c r="E173" s="785" t="s">
        <v>521</v>
      </c>
      <c r="F173" s="786">
        <v>0</v>
      </c>
      <c r="G173" s="785" t="s">
        <v>5</v>
      </c>
      <c r="H173" s="785" t="s">
        <v>840</v>
      </c>
      <c r="I173" s="787">
        <v>5226735.58</v>
      </c>
      <c r="J173" s="787">
        <v>0</v>
      </c>
      <c r="K173" s="787">
        <v>461412.96</v>
      </c>
      <c r="L173" s="787">
        <v>0</v>
      </c>
      <c r="M173" s="787">
        <v>547970</v>
      </c>
      <c r="N173" s="787">
        <v>154862.6</v>
      </c>
      <c r="O173" s="787">
        <v>730</v>
      </c>
      <c r="P173" s="787">
        <v>0</v>
      </c>
      <c r="Q173" s="787">
        <v>168638.92</v>
      </c>
      <c r="R173" s="787">
        <v>29190.620000000003</v>
      </c>
      <c r="S173" s="787">
        <v>0</v>
      </c>
      <c r="T173" s="787">
        <v>0</v>
      </c>
      <c r="U173" s="787">
        <v>24112.68</v>
      </c>
      <c r="V173" s="787">
        <v>8470</v>
      </c>
      <c r="W173" s="787">
        <v>1142.57</v>
      </c>
      <c r="X173" s="787">
        <v>6623265.9299999997</v>
      </c>
      <c r="Y173" s="787">
        <v>3139725.83</v>
      </c>
      <c r="Z173" s="787">
        <v>0</v>
      </c>
      <c r="AA173" s="787">
        <v>901634.03</v>
      </c>
      <c r="AB173" s="787">
        <v>194190.73</v>
      </c>
      <c r="AC173" s="787">
        <v>254814.1</v>
      </c>
      <c r="AD173" s="787">
        <v>21014.07</v>
      </c>
      <c r="AE173" s="787">
        <v>495838.37</v>
      </c>
      <c r="AF173" s="787">
        <v>5335.7800000000007</v>
      </c>
      <c r="AG173" s="787">
        <v>21229.9</v>
      </c>
      <c r="AH173" s="787">
        <v>0</v>
      </c>
      <c r="AI173" s="787">
        <v>0</v>
      </c>
      <c r="AJ173" s="787">
        <v>35299.129999999997</v>
      </c>
      <c r="AK173" s="787">
        <v>7449.5</v>
      </c>
      <c r="AL173" s="787">
        <v>8167.91</v>
      </c>
      <c r="AM173" s="787">
        <v>6956.93</v>
      </c>
      <c r="AN173" s="787">
        <v>72713.62</v>
      </c>
      <c r="AO173" s="787">
        <v>75170.080000000002</v>
      </c>
      <c r="AP173" s="787">
        <v>45524.490000000005</v>
      </c>
      <c r="AQ173" s="787">
        <v>149262.95000000001</v>
      </c>
      <c r="AR173" s="787">
        <v>6779.08</v>
      </c>
      <c r="AS173" s="787">
        <v>0</v>
      </c>
      <c r="AT173" s="787">
        <v>2749</v>
      </c>
      <c r="AU173" s="787">
        <v>22666.28</v>
      </c>
      <c r="AV173" s="787">
        <v>9498.08</v>
      </c>
      <c r="AW173" s="787">
        <v>6449.61</v>
      </c>
      <c r="AX173" s="787">
        <v>18033.310000000001</v>
      </c>
      <c r="AY173" s="787">
        <v>0</v>
      </c>
      <c r="AZ173" s="787">
        <v>76061.789999999994</v>
      </c>
      <c r="BA173" s="787">
        <v>24312.75</v>
      </c>
      <c r="BB173" s="787">
        <v>9319.66</v>
      </c>
      <c r="BC173" s="787">
        <v>657083.02999999991</v>
      </c>
      <c r="BD173" s="787">
        <v>264184.52999999997</v>
      </c>
      <c r="BE173" s="787">
        <v>58838.64999999998</v>
      </c>
      <c r="BF173" s="787">
        <v>199743.94</v>
      </c>
      <c r="BG173" s="787">
        <v>0</v>
      </c>
      <c r="BH173" s="787">
        <v>0</v>
      </c>
      <c r="BI173" s="787">
        <v>0</v>
      </c>
      <c r="BJ173" s="787">
        <v>6790047.1300000036</v>
      </c>
      <c r="BK173" s="787">
        <v>1091897.219999996</v>
      </c>
      <c r="BL173" s="787">
        <v>-166781.20000000391</v>
      </c>
      <c r="BM173" s="787">
        <v>925116.0199999921</v>
      </c>
      <c r="BN173" s="787">
        <v>13981</v>
      </c>
      <c r="BO173" s="787">
        <v>0</v>
      </c>
      <c r="BP173" s="787">
        <v>0</v>
      </c>
      <c r="BQ173" s="787">
        <v>13981</v>
      </c>
      <c r="BR173" s="787">
        <v>0</v>
      </c>
      <c r="BS173" s="787">
        <v>0</v>
      </c>
      <c r="BT173" s="787">
        <v>0</v>
      </c>
      <c r="BU173" s="787">
        <v>0</v>
      </c>
      <c r="BV173" s="787">
        <v>0</v>
      </c>
      <c r="BW173" s="787">
        <v>0</v>
      </c>
      <c r="BX173" s="787">
        <v>0</v>
      </c>
      <c r="BY173" s="787">
        <v>0</v>
      </c>
      <c r="BZ173" s="787">
        <v>0</v>
      </c>
      <c r="CA173" s="787">
        <v>146670.5</v>
      </c>
      <c r="CB173" s="787">
        <v>13981</v>
      </c>
      <c r="CC173" s="787">
        <v>160651.5</v>
      </c>
      <c r="CD173" s="787">
        <v>0</v>
      </c>
      <c r="CE173" s="787">
        <v>0</v>
      </c>
      <c r="CF173" s="787">
        <v>0</v>
      </c>
      <c r="CG173" s="787">
        <v>0</v>
      </c>
      <c r="CH173" s="787">
        <v>0</v>
      </c>
      <c r="CI173" s="787">
        <v>0</v>
      </c>
      <c r="CJ173" s="787">
        <v>0</v>
      </c>
      <c r="CK173" s="787">
        <v>0</v>
      </c>
      <c r="CL173" s="787">
        <v>0</v>
      </c>
      <c r="CM173" s="787">
        <v>925116.0199999921</v>
      </c>
      <c r="CN173" s="787">
        <v>0</v>
      </c>
      <c r="CO173" s="787">
        <v>160651.5</v>
      </c>
      <c r="CP173" s="787">
        <v>0</v>
      </c>
      <c r="CQ173" s="787">
        <v>0</v>
      </c>
      <c r="CR173" s="787">
        <v>1085767.5199999921</v>
      </c>
      <c r="CS173" s="787">
        <v>1586496.14</v>
      </c>
      <c r="CT173" s="787">
        <v>16914.419999999998</v>
      </c>
      <c r="CU173" s="787">
        <v>0</v>
      </c>
      <c r="CV173" s="787">
        <v>1569581.72</v>
      </c>
      <c r="CW173" s="787">
        <v>0</v>
      </c>
      <c r="CX173" s="787">
        <v>28842.28</v>
      </c>
      <c r="CY173" s="787">
        <v>13536.18</v>
      </c>
      <c r="CZ173" s="787">
        <v>0</v>
      </c>
      <c r="DA173" s="787">
        <v>0</v>
      </c>
      <c r="DB173" s="787">
        <v>1611960.18</v>
      </c>
      <c r="DC173" s="787">
        <v>0</v>
      </c>
      <c r="DD173" s="787">
        <v>0</v>
      </c>
      <c r="DE173" s="787">
        <v>0</v>
      </c>
      <c r="DF173" s="787">
        <v>0</v>
      </c>
      <c r="DG173" s="787"/>
      <c r="DH173" s="787"/>
      <c r="DI173" s="787"/>
      <c r="DJ173" s="787">
        <v>0</v>
      </c>
      <c r="DK173" s="787">
        <v>0</v>
      </c>
      <c r="DL173" s="787">
        <v>27676.55</v>
      </c>
      <c r="DM173" s="787">
        <v>0</v>
      </c>
      <c r="DN173" s="787">
        <v>76041.56</v>
      </c>
      <c r="DO173" s="787">
        <v>0</v>
      </c>
      <c r="DP173" s="787">
        <v>-486926.96</v>
      </c>
      <c r="DQ173" s="787">
        <v>-141969.89000000001</v>
      </c>
      <c r="DR173" s="787">
        <v>0</v>
      </c>
      <c r="DS173" s="787">
        <v>0</v>
      </c>
      <c r="DT173" s="787">
        <v>-525178.74</v>
      </c>
      <c r="DU173" s="787">
        <v>4730</v>
      </c>
      <c r="DV173" s="787">
        <v>0</v>
      </c>
      <c r="DW173" s="787">
        <v>0</v>
      </c>
      <c r="DX173" s="787">
        <v>0</v>
      </c>
      <c r="DY173" s="787">
        <v>0</v>
      </c>
      <c r="DZ173" s="787">
        <v>-5744.01</v>
      </c>
      <c r="EA173" s="787">
        <v>8.9999992167577147E-2</v>
      </c>
      <c r="EE173">
        <f>_xlfn.XLOOKUP(C173,'[1]Cfwd Analysis'!$C:$C,'[1]Cfwd Analysis'!$I:$I,0,0)</f>
        <v>925116.0199999921</v>
      </c>
      <c r="EF173" s="788">
        <f t="shared" si="2"/>
        <v>0</v>
      </c>
    </row>
    <row r="174" spans="1:136" ht="15.6" hidden="1">
      <c r="A174" s="782" t="s">
        <v>1469</v>
      </c>
      <c r="B174" s="782" t="s">
        <v>872</v>
      </c>
      <c r="C174" s="783">
        <v>1019</v>
      </c>
      <c r="D174" s="784" t="s">
        <v>873</v>
      </c>
      <c r="E174" s="785" t="s">
        <v>521</v>
      </c>
      <c r="F174" s="786">
        <v>46094</v>
      </c>
      <c r="G174" s="785" t="s">
        <v>5</v>
      </c>
      <c r="H174" s="785" t="s">
        <v>914</v>
      </c>
      <c r="I174" s="787">
        <v>734404.62367411307</v>
      </c>
      <c r="J174" s="787">
        <v>0</v>
      </c>
      <c r="K174" s="787">
        <v>4580.2242659279782</v>
      </c>
      <c r="L174" s="787">
        <v>0</v>
      </c>
      <c r="M174" s="787">
        <v>0</v>
      </c>
      <c r="N174" s="787">
        <v>876</v>
      </c>
      <c r="O174" s="787">
        <v>0</v>
      </c>
      <c r="P174" s="787">
        <v>0</v>
      </c>
      <c r="Q174" s="787">
        <v>203430.95</v>
      </c>
      <c r="R174" s="787">
        <v>5169.13</v>
      </c>
      <c r="S174" s="787">
        <v>0</v>
      </c>
      <c r="T174" s="787">
        <v>0</v>
      </c>
      <c r="U174" s="787">
        <v>2984.11</v>
      </c>
      <c r="V174" s="787">
        <v>0</v>
      </c>
      <c r="W174" s="787">
        <v>0</v>
      </c>
      <c r="X174" s="787">
        <v>951445.03794004116</v>
      </c>
      <c r="Y174" s="787">
        <v>298196.88</v>
      </c>
      <c r="Z174" s="787">
        <v>0</v>
      </c>
      <c r="AA174" s="787">
        <v>312327.28000000003</v>
      </c>
      <c r="AB174" s="787">
        <v>0</v>
      </c>
      <c r="AC174" s="787">
        <v>79961.97</v>
      </c>
      <c r="AD174" s="787">
        <v>2788.21</v>
      </c>
      <c r="AE174" s="787">
        <v>41885.870000000003</v>
      </c>
      <c r="AF174" s="787">
        <v>750</v>
      </c>
      <c r="AG174" s="787">
        <v>3537</v>
      </c>
      <c r="AH174" s="787">
        <v>0</v>
      </c>
      <c r="AI174" s="787">
        <v>0</v>
      </c>
      <c r="AJ174" s="787">
        <v>240.49</v>
      </c>
      <c r="AK174" s="787">
        <v>0</v>
      </c>
      <c r="AL174" s="787">
        <v>45958.83</v>
      </c>
      <c r="AM174" s="787">
        <v>1380.95</v>
      </c>
      <c r="AN174" s="787">
        <v>15733</v>
      </c>
      <c r="AO174" s="787">
        <v>0</v>
      </c>
      <c r="AP174" s="787">
        <v>11643.3</v>
      </c>
      <c r="AQ174" s="787">
        <v>7368.47</v>
      </c>
      <c r="AR174" s="787">
        <v>0</v>
      </c>
      <c r="AS174" s="787">
        <v>0</v>
      </c>
      <c r="AT174" s="787">
        <v>0</v>
      </c>
      <c r="AU174" s="787">
        <v>2192</v>
      </c>
      <c r="AV174" s="787">
        <v>0</v>
      </c>
      <c r="AW174" s="787">
        <v>0</v>
      </c>
      <c r="AX174" s="787">
        <v>0</v>
      </c>
      <c r="AY174" s="787">
        <v>0</v>
      </c>
      <c r="AZ174" s="787">
        <v>58983.09</v>
      </c>
      <c r="BA174" s="787">
        <v>6583.5</v>
      </c>
      <c r="BB174" s="787">
        <v>0</v>
      </c>
      <c r="BC174" s="787">
        <v>5216.88</v>
      </c>
      <c r="BD174" s="787">
        <v>23796</v>
      </c>
      <c r="BE174" s="787">
        <v>0</v>
      </c>
      <c r="BF174" s="787">
        <v>35441.06</v>
      </c>
      <c r="BG174" s="787">
        <v>0</v>
      </c>
      <c r="BH174" s="787">
        <v>0</v>
      </c>
      <c r="BI174" s="787">
        <v>0</v>
      </c>
      <c r="BJ174" s="787">
        <v>953984.7799999998</v>
      </c>
      <c r="BK174" s="787">
        <v>-241139.93999999989</v>
      </c>
      <c r="BL174" s="787">
        <v>-2539.742059958633</v>
      </c>
      <c r="BM174" s="787">
        <v>-243679.68205995852</v>
      </c>
      <c r="BN174" s="787">
        <v>5026</v>
      </c>
      <c r="BO174" s="787">
        <v>0</v>
      </c>
      <c r="BP174" s="787">
        <v>0</v>
      </c>
      <c r="BQ174" s="787">
        <v>5026</v>
      </c>
      <c r="BR174" s="787">
        <v>0</v>
      </c>
      <c r="BS174" s="787">
        <v>0</v>
      </c>
      <c r="BT174" s="787">
        <v>0</v>
      </c>
      <c r="BU174" s="787">
        <v>0</v>
      </c>
      <c r="BV174" s="787">
        <v>0</v>
      </c>
      <c r="BW174" s="787">
        <v>0</v>
      </c>
      <c r="BX174" s="787">
        <v>0</v>
      </c>
      <c r="BY174" s="787">
        <v>0</v>
      </c>
      <c r="BZ174" s="787">
        <v>0</v>
      </c>
      <c r="CA174" s="787">
        <v>47827.95</v>
      </c>
      <c r="CB174" s="787">
        <v>5026</v>
      </c>
      <c r="CC174" s="787">
        <v>52853.95</v>
      </c>
      <c r="CD174" s="787">
        <v>0</v>
      </c>
      <c r="CE174" s="787">
        <v>0</v>
      </c>
      <c r="CF174" s="787">
        <v>0</v>
      </c>
      <c r="CG174" s="787">
        <v>0</v>
      </c>
      <c r="CH174" s="787">
        <v>0</v>
      </c>
      <c r="CI174" s="787">
        <v>0</v>
      </c>
      <c r="CJ174" s="787">
        <v>0</v>
      </c>
      <c r="CK174" s="787">
        <v>0</v>
      </c>
      <c r="CL174" s="787">
        <v>0</v>
      </c>
      <c r="CM174" s="787">
        <v>0</v>
      </c>
      <c r="CN174" s="787">
        <v>-243679.68205995852</v>
      </c>
      <c r="CO174" s="787">
        <v>52853.95</v>
      </c>
      <c r="CP174" s="787">
        <v>0</v>
      </c>
      <c r="CQ174" s="787">
        <v>0</v>
      </c>
      <c r="CR174" s="787">
        <v>-190825.73205995851</v>
      </c>
      <c r="CS174" s="787">
        <v>-170305.63</v>
      </c>
      <c r="CT174" s="787">
        <v>0</v>
      </c>
      <c r="CU174" s="787">
        <v>0</v>
      </c>
      <c r="CV174" s="787">
        <v>-170305.63</v>
      </c>
      <c r="CW174" s="787">
        <v>0</v>
      </c>
      <c r="CX174" s="787">
        <v>1157.6400000000001</v>
      </c>
      <c r="CY174" s="787">
        <v>0</v>
      </c>
      <c r="CZ174" s="787">
        <v>0</v>
      </c>
      <c r="DA174" s="787">
        <v>257.02</v>
      </c>
      <c r="DB174" s="787">
        <v>-168890.97</v>
      </c>
      <c r="DC174" s="787">
        <v>0</v>
      </c>
      <c r="DD174" s="787">
        <v>0</v>
      </c>
      <c r="DE174" s="787">
        <v>0</v>
      </c>
      <c r="DF174" s="787">
        <v>0</v>
      </c>
      <c r="DG174" s="787"/>
      <c r="DH174" s="787"/>
      <c r="DI174" s="787"/>
      <c r="DJ174" s="787">
        <v>0</v>
      </c>
      <c r="DK174" s="787">
        <v>0</v>
      </c>
      <c r="DL174" s="787">
        <v>0</v>
      </c>
      <c r="DM174" s="787">
        <v>38252.120000000003</v>
      </c>
      <c r="DN174" s="787">
        <v>0</v>
      </c>
      <c r="DO174" s="787">
        <v>0</v>
      </c>
      <c r="DP174" s="787">
        <v>-60187.13</v>
      </c>
      <c r="DQ174" s="787">
        <v>0</v>
      </c>
      <c r="DR174" s="787">
        <v>0</v>
      </c>
      <c r="DS174" s="787">
        <v>0</v>
      </c>
      <c r="DT174" s="787">
        <v>-21935.009999999995</v>
      </c>
      <c r="DU174" s="787">
        <v>0</v>
      </c>
      <c r="DV174" s="787">
        <v>0</v>
      </c>
      <c r="DW174" s="787">
        <v>0</v>
      </c>
      <c r="DX174" s="787">
        <v>0</v>
      </c>
      <c r="DY174" s="787">
        <v>0</v>
      </c>
      <c r="DZ174" s="787">
        <v>0</v>
      </c>
      <c r="EA174" s="787">
        <v>0.24794004147406667</v>
      </c>
      <c r="EC174" s="788">
        <v>52853.95</v>
      </c>
      <c r="EE174">
        <f>_xlfn.XLOOKUP(C174,'[1]Cfwd Analysis'!$C:$C,'[1]Cfwd Analysis'!$I:$I,0,0)</f>
        <v>-243679.68205995852</v>
      </c>
      <c r="EF174" s="788">
        <f t="shared" si="2"/>
        <v>0</v>
      </c>
    </row>
    <row r="175" spans="1:136" ht="15.6" hidden="1">
      <c r="A175" s="782" t="s">
        <v>1470</v>
      </c>
      <c r="B175" s="782" t="s">
        <v>830</v>
      </c>
      <c r="C175" s="783">
        <v>2306</v>
      </c>
      <c r="D175" s="784" t="s">
        <v>831</v>
      </c>
      <c r="E175" s="785" t="s">
        <v>521</v>
      </c>
      <c r="F175" s="786">
        <v>46094</v>
      </c>
      <c r="G175" s="785" t="s">
        <v>5</v>
      </c>
      <c r="H175" s="785" t="s">
        <v>842</v>
      </c>
      <c r="I175" s="787">
        <v>1346355.4418285023</v>
      </c>
      <c r="J175" s="787">
        <v>0</v>
      </c>
      <c r="K175" s="787">
        <v>25338.666666666664</v>
      </c>
      <c r="L175" s="787">
        <v>0</v>
      </c>
      <c r="M175" s="787">
        <v>137865</v>
      </c>
      <c r="N175" s="787">
        <v>45947.090000000004</v>
      </c>
      <c r="O175" s="787">
        <v>0</v>
      </c>
      <c r="P175" s="787">
        <v>0</v>
      </c>
      <c r="Q175" s="787">
        <v>62932.237299999964</v>
      </c>
      <c r="R175" s="787">
        <v>11507</v>
      </c>
      <c r="S175" s="787">
        <v>0</v>
      </c>
      <c r="T175" s="787">
        <v>0</v>
      </c>
      <c r="U175" s="787">
        <v>9832</v>
      </c>
      <c r="V175" s="787">
        <v>0</v>
      </c>
      <c r="W175" s="787">
        <v>0</v>
      </c>
      <c r="X175" s="787">
        <v>1639777.4357951691</v>
      </c>
      <c r="Y175" s="787">
        <v>752952.58</v>
      </c>
      <c r="Z175" s="787">
        <v>0</v>
      </c>
      <c r="AA175" s="787">
        <v>286959.51</v>
      </c>
      <c r="AB175" s="787">
        <v>46386</v>
      </c>
      <c r="AC175" s="787">
        <v>96959.53</v>
      </c>
      <c r="AD175" s="787">
        <v>0</v>
      </c>
      <c r="AE175" s="787">
        <v>53141.59</v>
      </c>
      <c r="AF175" s="787">
        <v>4556.09</v>
      </c>
      <c r="AG175" s="787">
        <v>1462.15</v>
      </c>
      <c r="AH175" s="787">
        <v>0</v>
      </c>
      <c r="AI175" s="787">
        <v>0</v>
      </c>
      <c r="AJ175" s="787">
        <v>19563.84</v>
      </c>
      <c r="AK175" s="787">
        <v>1195</v>
      </c>
      <c r="AL175" s="787">
        <v>911.44</v>
      </c>
      <c r="AM175" s="787">
        <v>7031</v>
      </c>
      <c r="AN175" s="787">
        <v>21140.46</v>
      </c>
      <c r="AO175" s="787">
        <v>19886.79</v>
      </c>
      <c r="AP175" s="787">
        <v>5029.91</v>
      </c>
      <c r="AQ175" s="787">
        <v>42412.81</v>
      </c>
      <c r="AR175" s="787">
        <v>0</v>
      </c>
      <c r="AS175" s="787">
        <v>0</v>
      </c>
      <c r="AT175" s="787">
        <v>1055.3399999999999</v>
      </c>
      <c r="AU175" s="787">
        <v>0</v>
      </c>
      <c r="AV175" s="787">
        <v>3550.98</v>
      </c>
      <c r="AW175" s="787">
        <v>0</v>
      </c>
      <c r="AX175" s="787">
        <v>0</v>
      </c>
      <c r="AY175" s="787">
        <v>0</v>
      </c>
      <c r="AZ175" s="787">
        <v>8835.56</v>
      </c>
      <c r="BA175" s="787">
        <v>5139.75</v>
      </c>
      <c r="BB175" s="787">
        <v>9546.9500000000007</v>
      </c>
      <c r="BC175" s="787">
        <v>85220.45</v>
      </c>
      <c r="BD175" s="787">
        <v>46689.819999999992</v>
      </c>
      <c r="BE175" s="787">
        <v>5502.880000000001</v>
      </c>
      <c r="BF175" s="787">
        <v>98848</v>
      </c>
      <c r="BG175" s="787">
        <v>0</v>
      </c>
      <c r="BH175" s="787">
        <v>73.56</v>
      </c>
      <c r="BI175" s="787">
        <v>0</v>
      </c>
      <c r="BJ175" s="787">
        <v>1624051.99</v>
      </c>
      <c r="BK175" s="787">
        <v>279911.79999999847</v>
      </c>
      <c r="BL175" s="787">
        <v>15725.4457951691</v>
      </c>
      <c r="BM175" s="787">
        <v>295637.24579516758</v>
      </c>
      <c r="BN175" s="787">
        <v>6340</v>
      </c>
      <c r="BO175" s="787">
        <v>0</v>
      </c>
      <c r="BP175" s="787">
        <v>0</v>
      </c>
      <c r="BQ175" s="787">
        <v>6340</v>
      </c>
      <c r="BR175" s="787">
        <v>0</v>
      </c>
      <c r="BS175" s="787">
        <v>0</v>
      </c>
      <c r="BT175" s="787">
        <v>0</v>
      </c>
      <c r="BU175" s="787">
        <v>0</v>
      </c>
      <c r="BV175" s="787">
        <v>0</v>
      </c>
      <c r="BW175" s="787">
        <v>0</v>
      </c>
      <c r="BX175" s="787">
        <v>0</v>
      </c>
      <c r="BY175" s="787">
        <v>0</v>
      </c>
      <c r="BZ175" s="787">
        <v>0</v>
      </c>
      <c r="CA175" s="787">
        <v>31042.98</v>
      </c>
      <c r="CB175" s="787">
        <v>6340</v>
      </c>
      <c r="CC175" s="787">
        <v>37382.979999999996</v>
      </c>
      <c r="CD175" s="787">
        <v>0</v>
      </c>
      <c r="CE175" s="787">
        <v>0</v>
      </c>
      <c r="CF175" s="787">
        <v>0</v>
      </c>
      <c r="CG175" s="787">
        <v>0</v>
      </c>
      <c r="CH175" s="787">
        <v>0</v>
      </c>
      <c r="CI175" s="787">
        <v>0</v>
      </c>
      <c r="CJ175" s="787">
        <v>0</v>
      </c>
      <c r="CK175" s="787">
        <v>0</v>
      </c>
      <c r="CL175" s="787">
        <v>0</v>
      </c>
      <c r="CM175" s="787">
        <v>295637.24579516758</v>
      </c>
      <c r="CN175" s="787">
        <v>0</v>
      </c>
      <c r="CO175" s="787">
        <v>37382.979999999996</v>
      </c>
      <c r="CP175" s="787">
        <v>0</v>
      </c>
      <c r="CQ175" s="787">
        <v>0</v>
      </c>
      <c r="CR175" s="787">
        <v>333020.22579516756</v>
      </c>
      <c r="CS175" s="787">
        <v>446549.9</v>
      </c>
      <c r="CT175" s="787">
        <v>-84</v>
      </c>
      <c r="CU175" s="787">
        <v>0</v>
      </c>
      <c r="CV175" s="787">
        <v>446633.9</v>
      </c>
      <c r="CW175" s="787">
        <v>0</v>
      </c>
      <c r="CX175" s="787">
        <v>2597</v>
      </c>
      <c r="CY175" s="787">
        <v>3235</v>
      </c>
      <c r="CZ175" s="787">
        <v>0</v>
      </c>
      <c r="DA175" s="787">
        <v>1782</v>
      </c>
      <c r="DB175" s="787">
        <v>454247.9</v>
      </c>
      <c r="DC175" s="787">
        <v>0</v>
      </c>
      <c r="DD175" s="787">
        <v>0</v>
      </c>
      <c r="DE175" s="787">
        <v>0</v>
      </c>
      <c r="DF175" s="787">
        <v>0</v>
      </c>
      <c r="DG175" s="787"/>
      <c r="DH175" s="787"/>
      <c r="DI175" s="787"/>
      <c r="DJ175" s="787">
        <v>0</v>
      </c>
      <c r="DK175" s="787">
        <v>0</v>
      </c>
      <c r="DL175" s="787">
        <v>0</v>
      </c>
      <c r="DM175" s="787">
        <v>0</v>
      </c>
      <c r="DN175" s="787">
        <v>0</v>
      </c>
      <c r="DO175" s="787">
        <v>0</v>
      </c>
      <c r="DP175" s="787">
        <v>-121227.8</v>
      </c>
      <c r="DQ175" s="787">
        <v>0</v>
      </c>
      <c r="DR175" s="787">
        <v>0</v>
      </c>
      <c r="DS175" s="787">
        <v>0</v>
      </c>
      <c r="DT175" s="787">
        <v>-121227.8</v>
      </c>
      <c r="DU175" s="787">
        <v>0</v>
      </c>
      <c r="DV175" s="787">
        <v>0</v>
      </c>
      <c r="DW175" s="787">
        <v>0</v>
      </c>
      <c r="DX175" s="787">
        <v>0</v>
      </c>
      <c r="DY175" s="787">
        <v>0</v>
      </c>
      <c r="DZ175" s="787">
        <v>0</v>
      </c>
      <c r="EA175" s="787">
        <v>0.1257951675215736</v>
      </c>
      <c r="EC175" s="788">
        <v>37382.979999999996</v>
      </c>
      <c r="EE175">
        <f>_xlfn.XLOOKUP(C175,'[1]Cfwd Analysis'!$C:$C,'[1]Cfwd Analysis'!$I:$I,0,0)</f>
        <v>295637.24579516758</v>
      </c>
      <c r="EF175" s="788">
        <f t="shared" si="2"/>
        <v>0</v>
      </c>
    </row>
    <row r="176" spans="1:136" ht="15.6" hidden="1">
      <c r="A176" s="782" t="s">
        <v>1471</v>
      </c>
      <c r="B176" s="782" t="s">
        <v>832</v>
      </c>
      <c r="C176" s="783">
        <v>2308</v>
      </c>
      <c r="D176" s="784" t="s">
        <v>833</v>
      </c>
      <c r="E176" s="785" t="s">
        <v>521</v>
      </c>
      <c r="F176" s="786">
        <v>46094</v>
      </c>
      <c r="G176" s="785" t="s">
        <v>5</v>
      </c>
      <c r="H176" s="785" t="s">
        <v>844</v>
      </c>
      <c r="I176" s="787">
        <v>2716463.0418125554</v>
      </c>
      <c r="J176" s="787">
        <v>0</v>
      </c>
      <c r="K176" s="787">
        <v>162858.69000000003</v>
      </c>
      <c r="L176" s="787">
        <v>0</v>
      </c>
      <c r="M176" s="787">
        <v>364210</v>
      </c>
      <c r="N176" s="787">
        <v>47980.93</v>
      </c>
      <c r="O176" s="787">
        <v>0</v>
      </c>
      <c r="P176" s="787">
        <v>3257</v>
      </c>
      <c r="Q176" s="787">
        <v>3575.33</v>
      </c>
      <c r="R176" s="787">
        <v>30023.33</v>
      </c>
      <c r="S176" s="787">
        <v>0</v>
      </c>
      <c r="T176" s="787">
        <v>0</v>
      </c>
      <c r="U176" s="787">
        <v>15279.099999999999</v>
      </c>
      <c r="V176" s="787">
        <v>15401.07</v>
      </c>
      <c r="W176" s="787">
        <v>1</v>
      </c>
      <c r="X176" s="787">
        <v>3359049.4918125556</v>
      </c>
      <c r="Y176" s="787">
        <v>1494791.25</v>
      </c>
      <c r="Z176" s="787">
        <v>0</v>
      </c>
      <c r="AA176" s="787">
        <v>581272.84</v>
      </c>
      <c r="AB176" s="787">
        <v>97045.069999999992</v>
      </c>
      <c r="AC176" s="787">
        <v>202544.28</v>
      </c>
      <c r="AD176" s="787">
        <v>90916.439999999988</v>
      </c>
      <c r="AE176" s="787">
        <v>203863.51000000004</v>
      </c>
      <c r="AF176" s="787">
        <v>10270.24</v>
      </c>
      <c r="AG176" s="787">
        <v>1874.55</v>
      </c>
      <c r="AH176" s="787">
        <v>0</v>
      </c>
      <c r="AI176" s="787">
        <v>0</v>
      </c>
      <c r="AJ176" s="787">
        <v>43496.130000000005</v>
      </c>
      <c r="AK176" s="787">
        <v>3499.36</v>
      </c>
      <c r="AL176" s="787">
        <v>44425.67</v>
      </c>
      <c r="AM176" s="787">
        <v>9977.51</v>
      </c>
      <c r="AN176" s="787">
        <v>40202.949999999997</v>
      </c>
      <c r="AO176" s="787">
        <v>36039.78</v>
      </c>
      <c r="AP176" s="787">
        <v>15390.48</v>
      </c>
      <c r="AQ176" s="787">
        <v>30643.010000000002</v>
      </c>
      <c r="AR176" s="787">
        <v>8537</v>
      </c>
      <c r="AS176" s="787">
        <v>0</v>
      </c>
      <c r="AT176" s="787">
        <v>5709.52</v>
      </c>
      <c r="AU176" s="787">
        <v>16981.32</v>
      </c>
      <c r="AV176" s="787">
        <v>0</v>
      </c>
      <c r="AW176" s="787">
        <v>19439.96</v>
      </c>
      <c r="AX176" s="787">
        <v>0</v>
      </c>
      <c r="AY176" s="787">
        <v>0</v>
      </c>
      <c r="AZ176" s="787">
        <v>45276.95</v>
      </c>
      <c r="BA176" s="787">
        <v>10484</v>
      </c>
      <c r="BB176" s="787">
        <v>8337</v>
      </c>
      <c r="BC176" s="787">
        <v>70812.170000000013</v>
      </c>
      <c r="BD176" s="787">
        <v>114948.23</v>
      </c>
      <c r="BE176" s="787">
        <v>149226.96000000002</v>
      </c>
      <c r="BF176" s="787">
        <v>79312.69</v>
      </c>
      <c r="BG176" s="787">
        <v>0</v>
      </c>
      <c r="BH176" s="787">
        <v>0</v>
      </c>
      <c r="BI176" s="787">
        <v>0</v>
      </c>
      <c r="BJ176" s="787">
        <v>3435318.8699999987</v>
      </c>
      <c r="BK176" s="787">
        <v>432926.45999999874</v>
      </c>
      <c r="BL176" s="787">
        <v>-76269.37818744313</v>
      </c>
      <c r="BM176" s="787">
        <v>356657.08181255561</v>
      </c>
      <c r="BN176" s="787">
        <v>8790.25</v>
      </c>
      <c r="BO176" s="787">
        <v>0</v>
      </c>
      <c r="BP176" s="787">
        <v>0</v>
      </c>
      <c r="BQ176" s="787">
        <v>8790.25</v>
      </c>
      <c r="BR176" s="787">
        <v>0</v>
      </c>
      <c r="BS176" s="787">
        <v>556.01</v>
      </c>
      <c r="BT176" s="787">
        <v>0</v>
      </c>
      <c r="BU176" s="787">
        <v>0</v>
      </c>
      <c r="BV176" s="787">
        <v>14180.63</v>
      </c>
      <c r="BW176" s="787">
        <v>0</v>
      </c>
      <c r="BX176" s="787">
        <v>0</v>
      </c>
      <c r="BY176" s="787">
        <v>0</v>
      </c>
      <c r="BZ176" s="787">
        <v>14736.64</v>
      </c>
      <c r="CA176" s="787">
        <v>26430.370000000003</v>
      </c>
      <c r="CB176" s="787">
        <v>-5946.3899999999994</v>
      </c>
      <c r="CC176" s="787">
        <v>20483.980000000003</v>
      </c>
      <c r="CD176" s="787">
        <v>0</v>
      </c>
      <c r="CE176" s="787">
        <v>0</v>
      </c>
      <c r="CF176" s="787">
        <v>0</v>
      </c>
      <c r="CG176" s="787">
        <v>0</v>
      </c>
      <c r="CH176" s="787">
        <v>0</v>
      </c>
      <c r="CI176" s="787">
        <v>0</v>
      </c>
      <c r="CJ176" s="787">
        <v>0</v>
      </c>
      <c r="CK176" s="787">
        <v>0</v>
      </c>
      <c r="CL176" s="787">
        <v>0</v>
      </c>
      <c r="CM176" s="787">
        <v>356657.08181255561</v>
      </c>
      <c r="CN176" s="787">
        <v>0</v>
      </c>
      <c r="CO176" s="787">
        <v>20483.980000000003</v>
      </c>
      <c r="CP176" s="787">
        <v>0</v>
      </c>
      <c r="CQ176" s="787">
        <v>0</v>
      </c>
      <c r="CR176" s="787">
        <v>377141.06181255559</v>
      </c>
      <c r="CS176" s="787">
        <v>445949.09</v>
      </c>
      <c r="CT176" s="787">
        <v>324826.92</v>
      </c>
      <c r="CU176" s="787">
        <v>552.28</v>
      </c>
      <c r="CV176" s="787">
        <v>121674.45000000004</v>
      </c>
      <c r="CW176" s="787">
        <v>0</v>
      </c>
      <c r="CX176" s="787">
        <v>10337.07</v>
      </c>
      <c r="CY176" s="787">
        <v>6451.26</v>
      </c>
      <c r="CZ176" s="787">
        <v>0</v>
      </c>
      <c r="DA176" s="787">
        <v>0</v>
      </c>
      <c r="DB176" s="787">
        <v>138462.78000000006</v>
      </c>
      <c r="DC176" s="787">
        <v>300305.15000000002</v>
      </c>
      <c r="DD176" s="787">
        <v>0</v>
      </c>
      <c r="DE176" s="787">
        <v>0</v>
      </c>
      <c r="DF176" s="787">
        <v>300305.15000000002</v>
      </c>
      <c r="DG176" s="787"/>
      <c r="DH176" s="787"/>
      <c r="DI176" s="787"/>
      <c r="DJ176" s="787">
        <v>0</v>
      </c>
      <c r="DK176" s="787">
        <v>300305.15000000002</v>
      </c>
      <c r="DL176" s="787">
        <v>0</v>
      </c>
      <c r="DM176" s="787">
        <v>0</v>
      </c>
      <c r="DN176" s="787">
        <v>0</v>
      </c>
      <c r="DO176" s="787">
        <v>0</v>
      </c>
      <c r="DP176" s="787">
        <v>-41122.67</v>
      </c>
      <c r="DQ176" s="787">
        <v>-20504.68</v>
      </c>
      <c r="DR176" s="787">
        <v>0</v>
      </c>
      <c r="DS176" s="787">
        <v>0</v>
      </c>
      <c r="DT176" s="787">
        <v>-61627.35</v>
      </c>
      <c r="DU176" s="787">
        <v>0</v>
      </c>
      <c r="DV176" s="787">
        <v>0</v>
      </c>
      <c r="DW176" s="787">
        <v>0</v>
      </c>
      <c r="DX176" s="787">
        <v>0</v>
      </c>
      <c r="DY176" s="787">
        <v>0</v>
      </c>
      <c r="DZ176" s="787">
        <v>0</v>
      </c>
      <c r="EA176" s="787">
        <v>0.48181255551753566</v>
      </c>
      <c r="EC176" s="788">
        <v>20483.980000000003</v>
      </c>
      <c r="EE176">
        <f>_xlfn.XLOOKUP(C176,'[1]Cfwd Analysis'!$C:$C,'[1]Cfwd Analysis'!$I:$I,0,0)</f>
        <v>356657.08181255561</v>
      </c>
      <c r="EF176" s="788">
        <f t="shared" si="2"/>
        <v>0</v>
      </c>
    </row>
    <row r="177" spans="1:136" ht="15.6" hidden="1">
      <c r="A177" s="782" t="s">
        <v>1472</v>
      </c>
      <c r="B177" s="782" t="s">
        <v>834</v>
      </c>
      <c r="C177" s="783">
        <v>2245</v>
      </c>
      <c r="D177" s="784" t="s">
        <v>835</v>
      </c>
      <c r="E177" s="785" t="s">
        <v>521</v>
      </c>
      <c r="F177" s="786" t="s">
        <v>1322</v>
      </c>
      <c r="G177" s="785" t="s">
        <v>5</v>
      </c>
      <c r="H177" s="785" t="s">
        <v>846</v>
      </c>
      <c r="I177" s="787">
        <v>1736911.06</v>
      </c>
      <c r="J177" s="787">
        <v>0</v>
      </c>
      <c r="K177" s="787">
        <v>186769.1</v>
      </c>
      <c r="L177" s="787">
        <v>0</v>
      </c>
      <c r="M177" s="787">
        <v>230280</v>
      </c>
      <c r="N177" s="787">
        <v>30440.93</v>
      </c>
      <c r="O177" s="787">
        <v>0</v>
      </c>
      <c r="P177" s="787">
        <v>0</v>
      </c>
      <c r="Q177" s="787">
        <v>6579.72</v>
      </c>
      <c r="R177" s="787">
        <v>607.04999999999995</v>
      </c>
      <c r="S177" s="787">
        <v>3850</v>
      </c>
      <c r="T177" s="787">
        <v>0</v>
      </c>
      <c r="U177" s="787">
        <v>0</v>
      </c>
      <c r="V177" s="787">
        <v>6824.17</v>
      </c>
      <c r="W177" s="787">
        <v>0</v>
      </c>
      <c r="X177" s="787">
        <v>2202262.0300000003</v>
      </c>
      <c r="Y177" s="787">
        <v>804925.64</v>
      </c>
      <c r="Z177" s="787">
        <v>0</v>
      </c>
      <c r="AA177" s="787">
        <v>350270.29000000004</v>
      </c>
      <c r="AB177" s="787">
        <v>81685.61</v>
      </c>
      <c r="AC177" s="787">
        <v>152056.51</v>
      </c>
      <c r="AD177" s="787">
        <v>0</v>
      </c>
      <c r="AE177" s="787">
        <v>3691.42</v>
      </c>
      <c r="AF177" s="787">
        <v>5627.28</v>
      </c>
      <c r="AG177" s="787">
        <v>7816.99</v>
      </c>
      <c r="AH177" s="787">
        <v>0</v>
      </c>
      <c r="AI177" s="787">
        <v>5376.47</v>
      </c>
      <c r="AJ177" s="787">
        <v>2922.06</v>
      </c>
      <c r="AK177" s="787">
        <v>2864.87</v>
      </c>
      <c r="AL177" s="787">
        <v>0</v>
      </c>
      <c r="AM177" s="787">
        <v>14170.75</v>
      </c>
      <c r="AN177" s="787">
        <v>34881.660000000003</v>
      </c>
      <c r="AO177" s="787">
        <v>18595.439999999999</v>
      </c>
      <c r="AP177" s="787">
        <v>20474.060000000001</v>
      </c>
      <c r="AQ177" s="787">
        <v>67361.240000000005</v>
      </c>
      <c r="AR177" s="787">
        <v>0</v>
      </c>
      <c r="AS177" s="787">
        <v>0</v>
      </c>
      <c r="AT177" s="787">
        <v>23669.17</v>
      </c>
      <c r="AU177" s="787">
        <v>7724.59</v>
      </c>
      <c r="AV177" s="787">
        <v>0</v>
      </c>
      <c r="AW177" s="787">
        <v>372</v>
      </c>
      <c r="AX177" s="787">
        <v>36414.33</v>
      </c>
      <c r="AY177" s="787">
        <v>0</v>
      </c>
      <c r="AZ177" s="787">
        <v>45923.35</v>
      </c>
      <c r="BA177" s="787">
        <v>5139.75</v>
      </c>
      <c r="BB177" s="787">
        <v>3474</v>
      </c>
      <c r="BC177" s="787">
        <v>144232.99</v>
      </c>
      <c r="BD177" s="787">
        <v>95208.71</v>
      </c>
      <c r="BE177" s="787">
        <v>96321</v>
      </c>
      <c r="BF177" s="787">
        <v>149456.58000000002</v>
      </c>
      <c r="BG177" s="787">
        <v>0</v>
      </c>
      <c r="BH177" s="787">
        <v>0</v>
      </c>
      <c r="BI177" s="787">
        <v>0</v>
      </c>
      <c r="BJ177" s="787">
        <v>2180656.7600000002</v>
      </c>
      <c r="BK177" s="787">
        <v>25296.379999998433</v>
      </c>
      <c r="BL177" s="787">
        <v>21605.270000000019</v>
      </c>
      <c r="BM177" s="787">
        <v>46901.649999998452</v>
      </c>
      <c r="BN177" s="787">
        <v>6532.38</v>
      </c>
      <c r="BO177" s="787">
        <v>0</v>
      </c>
      <c r="BP177" s="787">
        <v>0</v>
      </c>
      <c r="BQ177" s="787">
        <v>6532.38</v>
      </c>
      <c r="BR177" s="787">
        <v>0</v>
      </c>
      <c r="BS177" s="787">
        <v>13247.49</v>
      </c>
      <c r="BT177" s="787">
        <v>0</v>
      </c>
      <c r="BU177" s="787">
        <v>0</v>
      </c>
      <c r="BV177" s="787">
        <v>0</v>
      </c>
      <c r="BW177" s="787">
        <v>0</v>
      </c>
      <c r="BX177" s="787">
        <v>0</v>
      </c>
      <c r="BY177" s="787">
        <v>0</v>
      </c>
      <c r="BZ177" s="787">
        <v>13247.49</v>
      </c>
      <c r="CA177" s="787">
        <v>45101.329999999994</v>
      </c>
      <c r="CB177" s="787">
        <v>-6715.11</v>
      </c>
      <c r="CC177" s="787">
        <v>38386.219999999994</v>
      </c>
      <c r="CD177" s="787">
        <v>0</v>
      </c>
      <c r="CE177" s="787">
        <v>0</v>
      </c>
      <c r="CF177" s="787">
        <v>0</v>
      </c>
      <c r="CG177" s="787">
        <v>0</v>
      </c>
      <c r="CH177" s="787">
        <v>0</v>
      </c>
      <c r="CI177" s="787">
        <v>0</v>
      </c>
      <c r="CJ177" s="787">
        <v>0</v>
      </c>
      <c r="CK177" s="787">
        <v>0</v>
      </c>
      <c r="CL177" s="787">
        <v>0</v>
      </c>
      <c r="CM177" s="787">
        <v>46901.649999998452</v>
      </c>
      <c r="CN177" s="787">
        <v>0</v>
      </c>
      <c r="CO177" s="787">
        <v>38386.219999999994</v>
      </c>
      <c r="CP177" s="787">
        <v>0</v>
      </c>
      <c r="CQ177" s="787">
        <v>0</v>
      </c>
      <c r="CR177" s="787">
        <v>85287.869999998453</v>
      </c>
      <c r="CS177" s="787">
        <v>292737.26</v>
      </c>
      <c r="CT177" s="787">
        <v>14601.22</v>
      </c>
      <c r="CU177" s="787">
        <v>0</v>
      </c>
      <c r="CV177" s="787">
        <v>278136.04000000004</v>
      </c>
      <c r="CW177" s="787">
        <v>0</v>
      </c>
      <c r="CX177" s="787">
        <v>3071.02</v>
      </c>
      <c r="CY177" s="787">
        <v>7216.62</v>
      </c>
      <c r="CZ177" s="787">
        <v>0</v>
      </c>
      <c r="DA177" s="787">
        <v>0</v>
      </c>
      <c r="DB177" s="787">
        <v>288423.68000000005</v>
      </c>
      <c r="DC177" s="787">
        <v>0</v>
      </c>
      <c r="DD177" s="787">
        <v>0</v>
      </c>
      <c r="DE177" s="787">
        <v>0</v>
      </c>
      <c r="DF177" s="787">
        <v>0</v>
      </c>
      <c r="DG177" s="787"/>
      <c r="DH177" s="787"/>
      <c r="DI177" s="787"/>
      <c r="DJ177" s="787">
        <v>0</v>
      </c>
      <c r="DK177" s="787">
        <v>0</v>
      </c>
      <c r="DL177" s="787">
        <v>0</v>
      </c>
      <c r="DM177" s="787">
        <v>0</v>
      </c>
      <c r="DN177" s="787">
        <v>0</v>
      </c>
      <c r="DO177" s="787">
        <v>0</v>
      </c>
      <c r="DP177" s="787">
        <v>-142464.76999999999</v>
      </c>
      <c r="DQ177" s="787">
        <v>-37331.64</v>
      </c>
      <c r="DR177" s="787">
        <v>0</v>
      </c>
      <c r="DS177" s="787">
        <v>0</v>
      </c>
      <c r="DT177" s="787">
        <v>-179796.40999999997</v>
      </c>
      <c r="DU177" s="787">
        <v>67</v>
      </c>
      <c r="DV177" s="787">
        <v>0</v>
      </c>
      <c r="DW177" s="787">
        <v>0</v>
      </c>
      <c r="DX177" s="787">
        <v>0</v>
      </c>
      <c r="DY177" s="787">
        <v>0</v>
      </c>
      <c r="DZ177" s="787">
        <v>-23406.87</v>
      </c>
      <c r="EA177" s="787">
        <v>0.46999999837134965</v>
      </c>
      <c r="EE177">
        <f>_xlfn.XLOOKUP(C177,'[1]Cfwd Analysis'!$C:$C,'[1]Cfwd Analysis'!$I:$I,0,0)</f>
        <v>46901.649999998452</v>
      </c>
      <c r="EF177" s="788">
        <f t="shared" si="2"/>
        <v>0</v>
      </c>
    </row>
    <row r="178" spans="1:136" ht="15.6" hidden="1">
      <c r="A178" s="782" t="s">
        <v>1473</v>
      </c>
      <c r="B178" s="782" t="s">
        <v>936</v>
      </c>
      <c r="C178" s="783">
        <v>1020</v>
      </c>
      <c r="D178" s="784" t="s">
        <v>937</v>
      </c>
      <c r="E178" s="785" t="s">
        <v>521</v>
      </c>
      <c r="F178" s="786">
        <v>46094</v>
      </c>
      <c r="G178" s="785" t="s">
        <v>5</v>
      </c>
      <c r="H178" s="785" t="s">
        <v>814</v>
      </c>
      <c r="I178" s="787">
        <v>1284547.7264143531</v>
      </c>
      <c r="J178" s="787">
        <v>0</v>
      </c>
      <c r="K178" s="787">
        <v>82990.760657433042</v>
      </c>
      <c r="L178" s="787">
        <v>0</v>
      </c>
      <c r="M178" s="787">
        <v>0</v>
      </c>
      <c r="N178" s="787">
        <v>0</v>
      </c>
      <c r="O178" s="787">
        <v>0</v>
      </c>
      <c r="P178" s="787">
        <v>0</v>
      </c>
      <c r="Q178" s="787">
        <v>5809.33</v>
      </c>
      <c r="R178" s="787">
        <v>0</v>
      </c>
      <c r="S178" s="787">
        <v>0</v>
      </c>
      <c r="T178" s="787">
        <v>0</v>
      </c>
      <c r="U178" s="787">
        <v>42278.11</v>
      </c>
      <c r="V178" s="787">
        <v>74937</v>
      </c>
      <c r="W178" s="787">
        <v>0</v>
      </c>
      <c r="X178" s="787">
        <v>1490562.9270717863</v>
      </c>
      <c r="Y178" s="787">
        <v>453828.94</v>
      </c>
      <c r="Z178" s="787">
        <v>0</v>
      </c>
      <c r="AA178" s="787">
        <v>596500.44999999995</v>
      </c>
      <c r="AB178" s="787">
        <v>95190.959999999992</v>
      </c>
      <c r="AC178" s="787">
        <v>55674.21</v>
      </c>
      <c r="AD178" s="787">
        <v>0</v>
      </c>
      <c r="AE178" s="787">
        <v>0</v>
      </c>
      <c r="AF178" s="787">
        <v>366</v>
      </c>
      <c r="AG178" s="787">
        <v>2610.73</v>
      </c>
      <c r="AH178" s="787">
        <v>1236.94</v>
      </c>
      <c r="AI178" s="787">
        <v>0</v>
      </c>
      <c r="AJ178" s="787">
        <v>8511.24</v>
      </c>
      <c r="AK178" s="787">
        <v>0</v>
      </c>
      <c r="AL178" s="787">
        <v>20509.91</v>
      </c>
      <c r="AM178" s="787">
        <v>1874.17</v>
      </c>
      <c r="AN178" s="787">
        <v>30238.61</v>
      </c>
      <c r="AO178" s="787">
        <v>0</v>
      </c>
      <c r="AP178" s="787">
        <v>2078.08</v>
      </c>
      <c r="AQ178" s="787">
        <v>29153.31</v>
      </c>
      <c r="AR178" s="787">
        <v>149.26</v>
      </c>
      <c r="AS178" s="787">
        <v>0</v>
      </c>
      <c r="AT178" s="787">
        <v>0</v>
      </c>
      <c r="AU178" s="787">
        <v>0</v>
      </c>
      <c r="AV178" s="787">
        <v>0</v>
      </c>
      <c r="AW178" s="787">
        <v>0</v>
      </c>
      <c r="AX178" s="787">
        <v>0</v>
      </c>
      <c r="AY178" s="787">
        <v>0</v>
      </c>
      <c r="AZ178" s="787">
        <v>7534.18</v>
      </c>
      <c r="BA178" s="787">
        <v>6583.5</v>
      </c>
      <c r="BB178" s="787">
        <v>0</v>
      </c>
      <c r="BC178" s="787">
        <v>14066.13</v>
      </c>
      <c r="BD178" s="787">
        <v>131974.28</v>
      </c>
      <c r="BE178" s="787">
        <v>9051</v>
      </c>
      <c r="BF178" s="787">
        <v>86776.48</v>
      </c>
      <c r="BG178" s="787">
        <v>0</v>
      </c>
      <c r="BH178" s="787">
        <v>0</v>
      </c>
      <c r="BI178" s="787">
        <v>0</v>
      </c>
      <c r="BJ178" s="787">
        <v>1553908.3799999997</v>
      </c>
      <c r="BK178" s="787">
        <v>-213139.79000000103</v>
      </c>
      <c r="BL178" s="787">
        <v>-63345.452928213403</v>
      </c>
      <c r="BM178" s="787">
        <v>-276485.24292821443</v>
      </c>
      <c r="BN178" s="787">
        <v>5424.25</v>
      </c>
      <c r="BO178" s="787">
        <v>0</v>
      </c>
      <c r="BP178" s="787">
        <v>0</v>
      </c>
      <c r="BQ178" s="787">
        <v>5424.25</v>
      </c>
      <c r="BR178" s="787">
        <v>0</v>
      </c>
      <c r="BS178" s="787">
        <v>0</v>
      </c>
      <c r="BT178" s="787">
        <v>0</v>
      </c>
      <c r="BU178" s="787">
        <v>2163.38</v>
      </c>
      <c r="BV178" s="787">
        <v>0</v>
      </c>
      <c r="BW178" s="787">
        <v>0</v>
      </c>
      <c r="BX178" s="787">
        <v>0</v>
      </c>
      <c r="BY178" s="787">
        <v>0</v>
      </c>
      <c r="BZ178" s="787">
        <v>2163.38</v>
      </c>
      <c r="CA178" s="787">
        <v>51725.5</v>
      </c>
      <c r="CB178" s="787">
        <v>3260.87</v>
      </c>
      <c r="CC178" s="787">
        <v>54986.37</v>
      </c>
      <c r="CD178" s="787">
        <v>0</v>
      </c>
      <c r="CE178" s="787">
        <v>0</v>
      </c>
      <c r="CF178" s="787">
        <v>0</v>
      </c>
      <c r="CG178" s="787">
        <v>0</v>
      </c>
      <c r="CH178" s="787">
        <v>0</v>
      </c>
      <c r="CI178" s="787">
        <v>0</v>
      </c>
      <c r="CJ178" s="787">
        <v>0</v>
      </c>
      <c r="CK178" s="787">
        <v>0</v>
      </c>
      <c r="CL178" s="787">
        <v>0</v>
      </c>
      <c r="CM178" s="787">
        <v>0</v>
      </c>
      <c r="CN178" s="787">
        <v>-276485.24292821443</v>
      </c>
      <c r="CO178" s="787">
        <v>54986</v>
      </c>
      <c r="CP178" s="787">
        <v>0.37000000000261934</v>
      </c>
      <c r="CQ178" s="787">
        <v>0</v>
      </c>
      <c r="CR178" s="787">
        <v>-221498.87292821443</v>
      </c>
      <c r="CS178" s="787">
        <v>-76626.789999999994</v>
      </c>
      <c r="CT178" s="787">
        <v>19974.61</v>
      </c>
      <c r="CU178" s="787">
        <v>0</v>
      </c>
      <c r="CV178" s="787">
        <v>-96601.4</v>
      </c>
      <c r="CW178" s="787">
        <v>0</v>
      </c>
      <c r="CX178" s="787">
        <v>5868.07</v>
      </c>
      <c r="CY178" s="787">
        <v>2845.33</v>
      </c>
      <c r="CZ178" s="787">
        <v>0</v>
      </c>
      <c r="DA178" s="787">
        <v>0</v>
      </c>
      <c r="DB178" s="787">
        <v>-87887.999999999985</v>
      </c>
      <c r="DC178" s="787">
        <v>0</v>
      </c>
      <c r="DD178" s="787">
        <v>0</v>
      </c>
      <c r="DE178" s="787">
        <v>0</v>
      </c>
      <c r="DF178" s="787">
        <v>0</v>
      </c>
      <c r="DG178" s="787"/>
      <c r="DH178" s="787"/>
      <c r="DI178" s="787"/>
      <c r="DJ178" s="787">
        <v>0</v>
      </c>
      <c r="DK178" s="787">
        <v>0</v>
      </c>
      <c r="DL178" s="787">
        <v>0</v>
      </c>
      <c r="DM178" s="787">
        <v>0</v>
      </c>
      <c r="DN178" s="787">
        <v>0</v>
      </c>
      <c r="DO178" s="787">
        <v>0</v>
      </c>
      <c r="DP178" s="787">
        <v>-112579.44</v>
      </c>
      <c r="DQ178" s="787">
        <v>-583.44000000000005</v>
      </c>
      <c r="DR178" s="787">
        <v>0</v>
      </c>
      <c r="DS178" s="787">
        <v>0</v>
      </c>
      <c r="DT178" s="787">
        <v>-113162.88</v>
      </c>
      <c r="DU178" s="787">
        <v>0</v>
      </c>
      <c r="DV178" s="787">
        <v>0</v>
      </c>
      <c r="DW178" s="787">
        <v>0</v>
      </c>
      <c r="DX178" s="787">
        <v>0</v>
      </c>
      <c r="DY178" s="787">
        <v>0</v>
      </c>
      <c r="DZ178" s="787">
        <v>-20448.45</v>
      </c>
      <c r="EA178" s="787">
        <v>0.4570717855822295</v>
      </c>
      <c r="EE178">
        <f>_xlfn.XLOOKUP(C178,'[1]Cfwd Analysis'!$C:$C,'[1]Cfwd Analysis'!$I:$I,0,0)</f>
        <v>-276485.24292821443</v>
      </c>
      <c r="EF178" s="788">
        <f t="shared" si="2"/>
        <v>0</v>
      </c>
    </row>
    <row r="179" spans="1:136" ht="15.6" hidden="1">
      <c r="A179" s="782" t="s">
        <v>1474</v>
      </c>
      <c r="B179" s="782" t="s">
        <v>836</v>
      </c>
      <c r="C179" s="783">
        <v>1014</v>
      </c>
      <c r="D179" s="784" t="s">
        <v>837</v>
      </c>
      <c r="E179" s="785" t="s">
        <v>521</v>
      </c>
      <c r="F179" s="786">
        <v>0</v>
      </c>
      <c r="G179" s="785" t="s">
        <v>5</v>
      </c>
      <c r="H179" s="785" t="s">
        <v>850</v>
      </c>
      <c r="I179" s="787">
        <v>752719.91944727115</v>
      </c>
      <c r="J179" s="787">
        <v>0</v>
      </c>
      <c r="K179" s="787">
        <v>27692.398794459834</v>
      </c>
      <c r="L179" s="787">
        <v>0</v>
      </c>
      <c r="M179" s="787">
        <v>0</v>
      </c>
      <c r="N179" s="787">
        <v>0</v>
      </c>
      <c r="O179" s="787">
        <v>0</v>
      </c>
      <c r="P179" s="787">
        <v>0</v>
      </c>
      <c r="Q179" s="787">
        <v>6298.08</v>
      </c>
      <c r="R179" s="787">
        <v>0</v>
      </c>
      <c r="S179" s="787">
        <v>0</v>
      </c>
      <c r="T179" s="787">
        <v>75594.380000000121</v>
      </c>
      <c r="U179" s="787">
        <v>0</v>
      </c>
      <c r="V179" s="787">
        <v>48434.46</v>
      </c>
      <c r="W179" s="787">
        <v>0</v>
      </c>
      <c r="X179" s="787">
        <v>910739.23824173107</v>
      </c>
      <c r="Y179" s="787">
        <v>198590.5</v>
      </c>
      <c r="Z179" s="787">
        <v>0</v>
      </c>
      <c r="AA179" s="787">
        <v>230976.53</v>
      </c>
      <c r="AB179" s="787">
        <v>29691.839999999997</v>
      </c>
      <c r="AC179" s="787">
        <v>55784.31</v>
      </c>
      <c r="AD179" s="787">
        <v>0</v>
      </c>
      <c r="AE179" s="787">
        <v>20498.59</v>
      </c>
      <c r="AF179" s="787">
        <v>2331</v>
      </c>
      <c r="AG179" s="787">
        <v>4438.1499999999996</v>
      </c>
      <c r="AH179" s="787">
        <v>0</v>
      </c>
      <c r="AI179" s="787">
        <v>0</v>
      </c>
      <c r="AJ179" s="787">
        <v>5856.27</v>
      </c>
      <c r="AK179" s="787">
        <v>2515</v>
      </c>
      <c r="AL179" s="787">
        <v>1056.97</v>
      </c>
      <c r="AM179" s="787">
        <v>1713.94</v>
      </c>
      <c r="AN179" s="787">
        <v>8902.86</v>
      </c>
      <c r="AO179" s="787">
        <v>0</v>
      </c>
      <c r="AP179" s="787">
        <v>7195.54</v>
      </c>
      <c r="AQ179" s="787">
        <v>38435.99</v>
      </c>
      <c r="AR179" s="787">
        <v>0</v>
      </c>
      <c r="AS179" s="787">
        <v>0</v>
      </c>
      <c r="AT179" s="787">
        <v>1864.83</v>
      </c>
      <c r="AU179" s="787">
        <v>0</v>
      </c>
      <c r="AV179" s="787">
        <v>0</v>
      </c>
      <c r="AW179" s="787">
        <v>19.98</v>
      </c>
      <c r="AX179" s="787">
        <v>0</v>
      </c>
      <c r="AY179" s="787">
        <v>0</v>
      </c>
      <c r="AZ179" s="787">
        <v>10026.469999999999</v>
      </c>
      <c r="BA179" s="787">
        <v>3291.75</v>
      </c>
      <c r="BB179" s="787">
        <v>0</v>
      </c>
      <c r="BC179" s="787">
        <v>6762.1</v>
      </c>
      <c r="BD179" s="787">
        <v>122570.92</v>
      </c>
      <c r="BE179" s="787">
        <v>0</v>
      </c>
      <c r="BF179" s="787">
        <v>64544.89</v>
      </c>
      <c r="BG179" s="787">
        <v>63626.860000000219</v>
      </c>
      <c r="BH179" s="787">
        <v>0</v>
      </c>
      <c r="BI179" s="787">
        <v>0</v>
      </c>
      <c r="BJ179" s="787">
        <v>880695.29000000015</v>
      </c>
      <c r="BK179" s="787">
        <v>269332.04000000015</v>
      </c>
      <c r="BL179" s="787">
        <v>30043.948241730919</v>
      </c>
      <c r="BM179" s="787">
        <v>299375.98824173107</v>
      </c>
      <c r="BN179" s="787">
        <v>4985.5</v>
      </c>
      <c r="BO179" s="787">
        <v>0</v>
      </c>
      <c r="BP179" s="787">
        <v>0</v>
      </c>
      <c r="BQ179" s="787">
        <v>4985.5</v>
      </c>
      <c r="BR179" s="787">
        <v>0</v>
      </c>
      <c r="BS179" s="787">
        <v>14778.62</v>
      </c>
      <c r="BT179" s="787">
        <v>0</v>
      </c>
      <c r="BU179" s="787">
        <v>0</v>
      </c>
      <c r="BV179" s="787">
        <v>0</v>
      </c>
      <c r="BW179" s="787">
        <v>0</v>
      </c>
      <c r="BX179" s="787">
        <v>3485</v>
      </c>
      <c r="BY179" s="787">
        <v>0</v>
      </c>
      <c r="BZ179" s="787">
        <v>18263.620000000003</v>
      </c>
      <c r="CA179" s="787">
        <v>29855.68</v>
      </c>
      <c r="CB179" s="787">
        <v>-13278.120000000003</v>
      </c>
      <c r="CC179" s="787">
        <v>16577.559999999998</v>
      </c>
      <c r="CD179" s="787">
        <v>0</v>
      </c>
      <c r="CE179" s="787">
        <v>0</v>
      </c>
      <c r="CF179" s="787">
        <v>0</v>
      </c>
      <c r="CG179" s="787">
        <v>0</v>
      </c>
      <c r="CH179" s="787">
        <v>0</v>
      </c>
      <c r="CI179" s="787">
        <v>0</v>
      </c>
      <c r="CJ179" s="787">
        <v>0</v>
      </c>
      <c r="CK179" s="787">
        <v>0</v>
      </c>
      <c r="CL179" s="787">
        <v>0</v>
      </c>
      <c r="CM179" s="787">
        <v>299375.98824173107</v>
      </c>
      <c r="CN179" s="787">
        <v>0</v>
      </c>
      <c r="CO179" s="787">
        <v>16577.559999999998</v>
      </c>
      <c r="CP179" s="787">
        <v>0</v>
      </c>
      <c r="CQ179" s="787">
        <v>0</v>
      </c>
      <c r="CR179" s="787">
        <v>315953.54824173107</v>
      </c>
      <c r="CS179" s="787">
        <v>370089.7</v>
      </c>
      <c r="CT179" s="787">
        <v>0</v>
      </c>
      <c r="CU179" s="787">
        <v>0</v>
      </c>
      <c r="CV179" s="787">
        <v>370089.7</v>
      </c>
      <c r="CW179" s="787">
        <v>0</v>
      </c>
      <c r="CX179" s="787">
        <v>2424.17</v>
      </c>
      <c r="CY179" s="787">
        <v>726.44</v>
      </c>
      <c r="CZ179" s="787">
        <v>0</v>
      </c>
      <c r="DA179" s="787">
        <v>0</v>
      </c>
      <c r="DB179" s="787">
        <v>373240.31</v>
      </c>
      <c r="DC179" s="787">
        <v>0</v>
      </c>
      <c r="DD179" s="787">
        <v>0</v>
      </c>
      <c r="DE179" s="787">
        <v>0</v>
      </c>
      <c r="DF179" s="787">
        <v>0</v>
      </c>
      <c r="DG179" s="787"/>
      <c r="DH179" s="787"/>
      <c r="DI179" s="787"/>
      <c r="DJ179" s="787">
        <v>0</v>
      </c>
      <c r="DK179" s="787">
        <v>0</v>
      </c>
      <c r="DL179" s="787">
        <v>0</v>
      </c>
      <c r="DM179" s="787">
        <v>0</v>
      </c>
      <c r="DN179" s="787">
        <v>0</v>
      </c>
      <c r="DO179" s="787">
        <v>0</v>
      </c>
      <c r="DP179" s="787">
        <v>-57286.76</v>
      </c>
      <c r="DQ179" s="787">
        <v>0</v>
      </c>
      <c r="DR179" s="787">
        <v>0</v>
      </c>
      <c r="DS179" s="787">
        <v>0</v>
      </c>
      <c r="DT179" s="787">
        <v>-57286.76</v>
      </c>
      <c r="DU179" s="787">
        <v>0</v>
      </c>
      <c r="DV179" s="787">
        <v>0</v>
      </c>
      <c r="DW179" s="787">
        <v>0</v>
      </c>
      <c r="DX179" s="787">
        <v>0</v>
      </c>
      <c r="DY179" s="787">
        <v>0</v>
      </c>
      <c r="DZ179" s="787">
        <v>0</v>
      </c>
      <c r="EA179" s="787">
        <v>-1.7582689179107547E-3</v>
      </c>
      <c r="EC179" s="788">
        <v>16577.559999999998</v>
      </c>
      <c r="EE179">
        <f>_xlfn.XLOOKUP(C179,'[1]Cfwd Analysis'!$C:$C,'[1]Cfwd Analysis'!$I:$I,0,0)</f>
        <v>299375.98824173107</v>
      </c>
      <c r="EF179" s="788">
        <f t="shared" si="2"/>
        <v>0</v>
      </c>
    </row>
    <row r="180" spans="1:136" ht="15.6" hidden="1">
      <c r="A180" s="782" t="s">
        <v>1475</v>
      </c>
      <c r="B180" s="782" t="s">
        <v>938</v>
      </c>
      <c r="C180" s="783">
        <v>2019</v>
      </c>
      <c r="D180" s="784" t="s">
        <v>939</v>
      </c>
      <c r="E180" s="785" t="s">
        <v>521</v>
      </c>
      <c r="F180" s="786">
        <v>46091</v>
      </c>
      <c r="G180" s="785" t="s">
        <v>5</v>
      </c>
      <c r="H180" s="785" t="s">
        <v>816</v>
      </c>
      <c r="I180" s="787">
        <v>2452821.7722999994</v>
      </c>
      <c r="J180" s="787">
        <v>0</v>
      </c>
      <c r="K180" s="787">
        <v>261907.77999999997</v>
      </c>
      <c r="L180" s="787">
        <v>0</v>
      </c>
      <c r="M180" s="787">
        <v>302950</v>
      </c>
      <c r="N180" s="787">
        <v>74977.929999999993</v>
      </c>
      <c r="O180" s="787">
        <v>0</v>
      </c>
      <c r="P180" s="787">
        <v>0</v>
      </c>
      <c r="Q180" s="787">
        <v>17645.910284999969</v>
      </c>
      <c r="R180" s="787">
        <v>0</v>
      </c>
      <c r="S180" s="787">
        <v>0</v>
      </c>
      <c r="T180" s="787">
        <v>0</v>
      </c>
      <c r="U180" s="787">
        <v>1958.69</v>
      </c>
      <c r="V180" s="787">
        <v>8613.08</v>
      </c>
      <c r="W180" s="787">
        <v>0</v>
      </c>
      <c r="X180" s="787">
        <v>3120875.1625849991</v>
      </c>
      <c r="Y180" s="787">
        <v>1568539.3499999999</v>
      </c>
      <c r="Z180" s="787">
        <v>0</v>
      </c>
      <c r="AA180" s="787">
        <v>438936.41</v>
      </c>
      <c r="AB180" s="787">
        <v>134668.51</v>
      </c>
      <c r="AC180" s="787">
        <v>218452.5</v>
      </c>
      <c r="AD180" s="787">
        <v>10460.130000000001</v>
      </c>
      <c r="AE180" s="787">
        <v>0</v>
      </c>
      <c r="AF180" s="787">
        <v>225.03</v>
      </c>
      <c r="AG180" s="787">
        <v>3046.25</v>
      </c>
      <c r="AH180" s="787">
        <v>0</v>
      </c>
      <c r="AI180" s="787">
        <v>0</v>
      </c>
      <c r="AJ180" s="787">
        <v>3406.53</v>
      </c>
      <c r="AK180" s="787">
        <v>3930.39</v>
      </c>
      <c r="AL180" s="787">
        <v>2230.52</v>
      </c>
      <c r="AM180" s="787">
        <v>28447.98</v>
      </c>
      <c r="AN180" s="787">
        <v>34437.160000000003</v>
      </c>
      <c r="AO180" s="787">
        <v>61406.259999999987</v>
      </c>
      <c r="AP180" s="787">
        <v>23185.09</v>
      </c>
      <c r="AQ180" s="787">
        <v>8791.2999999999993</v>
      </c>
      <c r="AR180" s="787">
        <v>0</v>
      </c>
      <c r="AS180" s="787">
        <v>0</v>
      </c>
      <c r="AT180" s="787">
        <v>133.33000000000001</v>
      </c>
      <c r="AU180" s="787">
        <v>0</v>
      </c>
      <c r="AV180" s="787">
        <v>0</v>
      </c>
      <c r="AW180" s="787">
        <v>0</v>
      </c>
      <c r="AX180" s="787">
        <v>0</v>
      </c>
      <c r="AY180" s="787">
        <v>0</v>
      </c>
      <c r="AZ180" s="787">
        <v>221662.15</v>
      </c>
      <c r="BA180" s="787">
        <v>9471</v>
      </c>
      <c r="BB180" s="787">
        <v>1504.5</v>
      </c>
      <c r="BC180" s="787">
        <v>137000.39000000001</v>
      </c>
      <c r="BD180" s="787">
        <v>1407.24</v>
      </c>
      <c r="BE180" s="787">
        <v>10562.400000000001</v>
      </c>
      <c r="BF180" s="787">
        <v>177939.99</v>
      </c>
      <c r="BG180" s="787">
        <v>0</v>
      </c>
      <c r="BH180" s="787">
        <v>0</v>
      </c>
      <c r="BI180" s="787">
        <v>0</v>
      </c>
      <c r="BJ180" s="787">
        <v>3099844.4099999992</v>
      </c>
      <c r="BK180" s="787">
        <v>123178.30999999872</v>
      </c>
      <c r="BL180" s="787">
        <v>21030.752584999893</v>
      </c>
      <c r="BM180" s="787">
        <v>144209.06258499861</v>
      </c>
      <c r="BN180" s="787">
        <v>8578.75</v>
      </c>
      <c r="BO180" s="787">
        <v>0</v>
      </c>
      <c r="BP180" s="787">
        <v>0</v>
      </c>
      <c r="BQ180" s="787">
        <v>8578.75</v>
      </c>
      <c r="BR180" s="787">
        <v>18024</v>
      </c>
      <c r="BS180" s="787">
        <v>0</v>
      </c>
      <c r="BT180" s="787">
        <v>0</v>
      </c>
      <c r="BU180" s="787">
        <v>0</v>
      </c>
      <c r="BV180" s="787">
        <v>0</v>
      </c>
      <c r="BW180" s="787">
        <v>0</v>
      </c>
      <c r="BX180" s="787">
        <v>0</v>
      </c>
      <c r="BY180" s="787">
        <v>0</v>
      </c>
      <c r="BZ180" s="787">
        <v>18024</v>
      </c>
      <c r="CA180" s="787">
        <v>30887.719999999998</v>
      </c>
      <c r="CB180" s="787">
        <v>-9445.25</v>
      </c>
      <c r="CC180" s="787">
        <v>21442.469999999998</v>
      </c>
      <c r="CD180" s="787">
        <v>0</v>
      </c>
      <c r="CE180" s="787">
        <v>0</v>
      </c>
      <c r="CF180" s="787">
        <v>0</v>
      </c>
      <c r="CG180" s="787">
        <v>0</v>
      </c>
      <c r="CH180" s="787">
        <v>0</v>
      </c>
      <c r="CI180" s="787">
        <v>0</v>
      </c>
      <c r="CJ180" s="787">
        <v>0</v>
      </c>
      <c r="CK180" s="787">
        <v>0</v>
      </c>
      <c r="CL180" s="787">
        <v>0</v>
      </c>
      <c r="CM180" s="787">
        <v>144209.06258499861</v>
      </c>
      <c r="CN180" s="787">
        <v>0</v>
      </c>
      <c r="CO180" s="787">
        <v>21442</v>
      </c>
      <c r="CP180" s="787">
        <v>0.46999999999752617</v>
      </c>
      <c r="CQ180" s="787">
        <v>0</v>
      </c>
      <c r="CR180" s="787">
        <v>165651.53258499861</v>
      </c>
      <c r="CS180" s="787">
        <v>370768.9</v>
      </c>
      <c r="CT180" s="787">
        <v>0</v>
      </c>
      <c r="CU180" s="787">
        <v>0</v>
      </c>
      <c r="CV180" s="787">
        <v>370768.9</v>
      </c>
      <c r="CW180" s="787">
        <v>0</v>
      </c>
      <c r="CX180" s="787">
        <v>3107.57</v>
      </c>
      <c r="CY180" s="787">
        <v>1029.71</v>
      </c>
      <c r="CZ180" s="787">
        <v>0</v>
      </c>
      <c r="DA180" s="787">
        <v>0</v>
      </c>
      <c r="DB180" s="787">
        <v>374906.18000000005</v>
      </c>
      <c r="DC180" s="787">
        <v>0</v>
      </c>
      <c r="DD180" s="787">
        <v>0</v>
      </c>
      <c r="DE180" s="787">
        <v>0</v>
      </c>
      <c r="DF180" s="787">
        <v>0</v>
      </c>
      <c r="DG180" s="787"/>
      <c r="DH180" s="787"/>
      <c r="DI180" s="787"/>
      <c r="DJ180" s="787">
        <v>0</v>
      </c>
      <c r="DK180" s="787">
        <v>0</v>
      </c>
      <c r="DL180" s="787">
        <v>1072.98</v>
      </c>
      <c r="DM180" s="787">
        <v>0</v>
      </c>
      <c r="DN180" s="787">
        <v>0</v>
      </c>
      <c r="DO180" s="787">
        <v>0</v>
      </c>
      <c r="DP180" s="787">
        <v>-204006.16</v>
      </c>
      <c r="DQ180" s="787">
        <v>-6321.62</v>
      </c>
      <c r="DR180" s="787">
        <v>0</v>
      </c>
      <c r="DS180" s="787">
        <v>0</v>
      </c>
      <c r="DT180" s="787">
        <v>-209254.8</v>
      </c>
      <c r="DU180" s="787">
        <v>0</v>
      </c>
      <c r="DV180" s="787">
        <v>0</v>
      </c>
      <c r="DW180" s="787">
        <v>0</v>
      </c>
      <c r="DX180" s="787">
        <v>0</v>
      </c>
      <c r="DY180" s="787">
        <v>0</v>
      </c>
      <c r="DZ180" s="787">
        <v>0</v>
      </c>
      <c r="EA180" s="787">
        <v>0.15258499854826368</v>
      </c>
      <c r="EE180">
        <f>_xlfn.XLOOKUP(C180,'[1]Cfwd Analysis'!$C:$C,'[1]Cfwd Analysis'!$I:$I,0,0)</f>
        <v>144209.06258499861</v>
      </c>
      <c r="EF180" s="788">
        <f t="shared" si="2"/>
        <v>0</v>
      </c>
    </row>
    <row r="181" spans="1:136" ht="15.6" hidden="1">
      <c r="A181" s="782" t="s">
        <v>1476</v>
      </c>
      <c r="B181" s="782" t="s">
        <v>838</v>
      </c>
      <c r="C181" s="783">
        <v>2011</v>
      </c>
      <c r="D181" s="784" t="s">
        <v>839</v>
      </c>
      <c r="E181" s="785" t="s">
        <v>521</v>
      </c>
      <c r="F181" s="786">
        <v>46092</v>
      </c>
      <c r="G181" s="785" t="s">
        <v>5</v>
      </c>
      <c r="H181" s="785" t="s">
        <v>852</v>
      </c>
      <c r="I181" s="787">
        <v>3622508.3447204684</v>
      </c>
      <c r="J181" s="787">
        <v>0</v>
      </c>
      <c r="K181" s="787">
        <v>278431.45333333337</v>
      </c>
      <c r="L181" s="787">
        <v>0</v>
      </c>
      <c r="M181" s="787">
        <v>348315</v>
      </c>
      <c r="N181" s="787">
        <v>93787.53</v>
      </c>
      <c r="O181" s="787">
        <v>0</v>
      </c>
      <c r="P181" s="787">
        <v>14725.56</v>
      </c>
      <c r="Q181" s="787">
        <v>80.23</v>
      </c>
      <c r="R181" s="787">
        <v>44706.83</v>
      </c>
      <c r="S181" s="787">
        <v>0</v>
      </c>
      <c r="T181" s="787">
        <v>0</v>
      </c>
      <c r="U181" s="787">
        <v>41577.85</v>
      </c>
      <c r="V181" s="787">
        <v>25417.66</v>
      </c>
      <c r="W181" s="787">
        <v>0</v>
      </c>
      <c r="X181" s="787">
        <v>4469550.4580538021</v>
      </c>
      <c r="Y181" s="787">
        <v>2293462.34</v>
      </c>
      <c r="Z181" s="787">
        <v>0</v>
      </c>
      <c r="AA181" s="787">
        <v>270271.87</v>
      </c>
      <c r="AB181" s="787">
        <v>0</v>
      </c>
      <c r="AC181" s="787">
        <v>240394.55</v>
      </c>
      <c r="AD181" s="787">
        <v>136441.75</v>
      </c>
      <c r="AE181" s="787">
        <v>78189.8</v>
      </c>
      <c r="AF181" s="787">
        <v>11745.37</v>
      </c>
      <c r="AG181" s="787">
        <v>3862.56</v>
      </c>
      <c r="AH181" s="787">
        <v>0</v>
      </c>
      <c r="AI181" s="787">
        <v>0</v>
      </c>
      <c r="AJ181" s="787">
        <v>950</v>
      </c>
      <c r="AK181" s="787">
        <v>0</v>
      </c>
      <c r="AL181" s="787">
        <v>0</v>
      </c>
      <c r="AM181" s="787">
        <v>29210.6</v>
      </c>
      <c r="AN181" s="787">
        <v>63609.599999999999</v>
      </c>
      <c r="AO181" s="787">
        <v>93050.07</v>
      </c>
      <c r="AP181" s="787">
        <v>4672.95</v>
      </c>
      <c r="AQ181" s="787">
        <v>157415.64000000001</v>
      </c>
      <c r="AR181" s="787">
        <v>0</v>
      </c>
      <c r="AS181" s="787">
        <v>0</v>
      </c>
      <c r="AT181" s="787">
        <v>0</v>
      </c>
      <c r="AU181" s="787">
        <v>0</v>
      </c>
      <c r="AV181" s="787">
        <v>0</v>
      </c>
      <c r="AW181" s="787">
        <v>0</v>
      </c>
      <c r="AX181" s="787">
        <v>22623.05</v>
      </c>
      <c r="AY181" s="787">
        <v>0</v>
      </c>
      <c r="AZ181" s="787">
        <v>7575.44</v>
      </c>
      <c r="BA181" s="787">
        <v>18745.650000000001</v>
      </c>
      <c r="BB181" s="787">
        <v>3800</v>
      </c>
      <c r="BC181" s="787">
        <v>65807.98</v>
      </c>
      <c r="BD181" s="787">
        <v>390183.45</v>
      </c>
      <c r="BE181" s="787">
        <v>43296.480000000003</v>
      </c>
      <c r="BF181" s="787">
        <v>543547.63</v>
      </c>
      <c r="BG181" s="787">
        <v>0</v>
      </c>
      <c r="BH181" s="787">
        <v>0</v>
      </c>
      <c r="BI181" s="787">
        <v>0</v>
      </c>
      <c r="BJ181" s="787">
        <v>4478856.78</v>
      </c>
      <c r="BK181" s="787">
        <v>467915.51000000129</v>
      </c>
      <c r="BL181" s="787">
        <v>-9306.3219461981207</v>
      </c>
      <c r="BM181" s="787">
        <v>458609.18805380317</v>
      </c>
      <c r="BN181" s="787">
        <v>11204.5</v>
      </c>
      <c r="BO181" s="787">
        <v>0</v>
      </c>
      <c r="BP181" s="787">
        <v>0</v>
      </c>
      <c r="BQ181" s="787">
        <v>11204.5</v>
      </c>
      <c r="BR181" s="787">
        <v>0</v>
      </c>
      <c r="BS181" s="787">
        <v>0</v>
      </c>
      <c r="BT181" s="787">
        <v>0</v>
      </c>
      <c r="BU181" s="787">
        <v>0</v>
      </c>
      <c r="BV181" s="787">
        <v>0</v>
      </c>
      <c r="BW181" s="787">
        <v>0</v>
      </c>
      <c r="BX181" s="787">
        <v>13633</v>
      </c>
      <c r="BY181" s="787">
        <v>0</v>
      </c>
      <c r="BZ181" s="787">
        <v>13633</v>
      </c>
      <c r="CA181" s="787">
        <v>48032</v>
      </c>
      <c r="CB181" s="787">
        <v>-2428.5</v>
      </c>
      <c r="CC181" s="787">
        <v>45603.5</v>
      </c>
      <c r="CD181" s="787">
        <v>0</v>
      </c>
      <c r="CE181" s="787">
        <v>0</v>
      </c>
      <c r="CF181" s="787">
        <v>0</v>
      </c>
      <c r="CG181" s="787">
        <v>0</v>
      </c>
      <c r="CH181" s="787">
        <v>0</v>
      </c>
      <c r="CI181" s="787">
        <v>0</v>
      </c>
      <c r="CJ181" s="787">
        <v>0</v>
      </c>
      <c r="CK181" s="787">
        <v>0</v>
      </c>
      <c r="CL181" s="787">
        <v>0</v>
      </c>
      <c r="CM181" s="787">
        <v>458609.18805380317</v>
      </c>
      <c r="CN181" s="787">
        <v>0</v>
      </c>
      <c r="CO181" s="787">
        <v>45603.5</v>
      </c>
      <c r="CP181" s="787">
        <v>0</v>
      </c>
      <c r="CQ181" s="787">
        <v>0</v>
      </c>
      <c r="CR181" s="787">
        <v>504212.68805380317</v>
      </c>
      <c r="CS181" s="787">
        <v>805051.17</v>
      </c>
      <c r="CT181" s="787">
        <v>272070.42</v>
      </c>
      <c r="CU181" s="787">
        <v>6516.35</v>
      </c>
      <c r="CV181" s="787">
        <v>539497.1</v>
      </c>
      <c r="CW181" s="787">
        <v>0</v>
      </c>
      <c r="CX181" s="787">
        <v>9987.9599999999991</v>
      </c>
      <c r="CY181" s="787">
        <v>6110.55</v>
      </c>
      <c r="CZ181" s="787">
        <v>0</v>
      </c>
      <c r="DA181" s="787">
        <v>0</v>
      </c>
      <c r="DB181" s="787">
        <v>555595.61</v>
      </c>
      <c r="DC181" s="787">
        <v>0</v>
      </c>
      <c r="DD181" s="787">
        <v>0</v>
      </c>
      <c r="DE181" s="787">
        <v>0</v>
      </c>
      <c r="DF181" s="787">
        <v>0</v>
      </c>
      <c r="DG181" s="787"/>
      <c r="DH181" s="787"/>
      <c r="DI181" s="787"/>
      <c r="DJ181" s="787">
        <v>0</v>
      </c>
      <c r="DK181" s="787">
        <v>0</v>
      </c>
      <c r="DL181" s="787">
        <v>0</v>
      </c>
      <c r="DM181" s="787">
        <v>0</v>
      </c>
      <c r="DN181" s="787">
        <v>0</v>
      </c>
      <c r="DO181" s="787">
        <v>0</v>
      </c>
      <c r="DP181" s="787">
        <v>0</v>
      </c>
      <c r="DQ181" s="787">
        <v>0</v>
      </c>
      <c r="DR181" s="787">
        <v>0</v>
      </c>
      <c r="DS181" s="787">
        <v>0</v>
      </c>
      <c r="DT181" s="787">
        <v>0</v>
      </c>
      <c r="DU181" s="787">
        <v>119.98</v>
      </c>
      <c r="DV181" s="787">
        <v>0</v>
      </c>
      <c r="DW181" s="787">
        <v>0</v>
      </c>
      <c r="DX181" s="787">
        <v>0</v>
      </c>
      <c r="DY181" s="787">
        <v>0</v>
      </c>
      <c r="DZ181" s="787">
        <v>-51503.17</v>
      </c>
      <c r="EA181" s="787">
        <v>0.26805380318546668</v>
      </c>
      <c r="EE181">
        <f>_xlfn.XLOOKUP(C181,'[1]Cfwd Analysis'!$C:$C,'[1]Cfwd Analysis'!$I:$I,0,0)</f>
        <v>458609.18805380317</v>
      </c>
      <c r="EF181" s="788">
        <f t="shared" si="2"/>
        <v>0</v>
      </c>
    </row>
    <row r="182" spans="1:136" ht="15.6" hidden="1">
      <c r="A182" s="782" t="s">
        <v>1477</v>
      </c>
      <c r="B182" s="782" t="s">
        <v>840</v>
      </c>
      <c r="C182" s="783">
        <v>4193</v>
      </c>
      <c r="D182" s="784" t="s">
        <v>841</v>
      </c>
      <c r="E182" s="785" t="s">
        <v>521</v>
      </c>
      <c r="F182" s="786">
        <v>0</v>
      </c>
      <c r="G182" s="785" t="s">
        <v>5</v>
      </c>
      <c r="H182" s="785" t="s">
        <v>854</v>
      </c>
      <c r="I182" s="787">
        <v>5321838.016861164</v>
      </c>
      <c r="J182" s="787">
        <v>0</v>
      </c>
      <c r="K182" s="787">
        <v>219296.88999999998</v>
      </c>
      <c r="L182" s="787">
        <v>0</v>
      </c>
      <c r="M182" s="787">
        <v>272430</v>
      </c>
      <c r="N182" s="787">
        <v>15453</v>
      </c>
      <c r="O182" s="787">
        <v>0</v>
      </c>
      <c r="P182" s="787">
        <v>0</v>
      </c>
      <c r="Q182" s="787">
        <v>14070.29</v>
      </c>
      <c r="R182" s="787">
        <v>0</v>
      </c>
      <c r="S182" s="787">
        <v>0</v>
      </c>
      <c r="T182" s="787">
        <v>0</v>
      </c>
      <c r="U182" s="787">
        <v>130810.34999999999</v>
      </c>
      <c r="V182" s="787">
        <v>198744.24</v>
      </c>
      <c r="W182" s="787">
        <v>0</v>
      </c>
      <c r="X182" s="787">
        <v>6172642.7868611636</v>
      </c>
      <c r="Y182" s="787">
        <v>3426217.39</v>
      </c>
      <c r="Z182" s="787">
        <v>0</v>
      </c>
      <c r="AA182" s="787">
        <v>433980.01</v>
      </c>
      <c r="AB182" s="787">
        <v>0</v>
      </c>
      <c r="AC182" s="787">
        <v>1122111.3700000001</v>
      </c>
      <c r="AD182" s="787">
        <v>0</v>
      </c>
      <c r="AE182" s="787">
        <v>61006.14</v>
      </c>
      <c r="AF182" s="787">
        <v>20266.22</v>
      </c>
      <c r="AG182" s="787">
        <v>7077.67</v>
      </c>
      <c r="AH182" s="787">
        <v>0</v>
      </c>
      <c r="AI182" s="787">
        <v>0</v>
      </c>
      <c r="AJ182" s="787">
        <v>1680.3</v>
      </c>
      <c r="AK182" s="787">
        <v>400</v>
      </c>
      <c r="AL182" s="787">
        <v>187.4</v>
      </c>
      <c r="AM182" s="787">
        <v>45017.25</v>
      </c>
      <c r="AN182" s="787">
        <v>132519.81</v>
      </c>
      <c r="AO182" s="787">
        <v>126037.06</v>
      </c>
      <c r="AP182" s="787">
        <v>24329.89</v>
      </c>
      <c r="AQ182" s="787">
        <v>230060.7580952381</v>
      </c>
      <c r="AR182" s="787">
        <v>0</v>
      </c>
      <c r="AS182" s="787">
        <v>72642.37</v>
      </c>
      <c r="AT182" s="787">
        <v>10553.216666666667</v>
      </c>
      <c r="AU182" s="787">
        <v>32614.52</v>
      </c>
      <c r="AV182" s="787">
        <v>0</v>
      </c>
      <c r="AW182" s="787">
        <v>0</v>
      </c>
      <c r="AX182" s="787">
        <v>0</v>
      </c>
      <c r="AY182" s="787">
        <v>64666.049999999988</v>
      </c>
      <c r="AZ182" s="787">
        <v>110996.93333333333</v>
      </c>
      <c r="BA182" s="787">
        <v>22204.786666666667</v>
      </c>
      <c r="BB182" s="787">
        <v>148.83000000000001</v>
      </c>
      <c r="BC182" s="787">
        <v>128833.12000000001</v>
      </c>
      <c r="BD182" s="787">
        <v>26663.61</v>
      </c>
      <c r="BE182" s="787">
        <v>121003.8</v>
      </c>
      <c r="BF182" s="787">
        <v>69110.845833333326</v>
      </c>
      <c r="BG182" s="787">
        <v>338894.34</v>
      </c>
      <c r="BH182" s="787">
        <v>0</v>
      </c>
      <c r="BI182" s="787">
        <v>0</v>
      </c>
      <c r="BJ182" s="787">
        <v>6629223.6905952375</v>
      </c>
      <c r="BK182" s="787">
        <v>1580301.9500000011</v>
      </c>
      <c r="BL182" s="787">
        <v>-456580.90373407397</v>
      </c>
      <c r="BM182" s="787">
        <v>1123721.0462659271</v>
      </c>
      <c r="BN182" s="787">
        <v>15432.81</v>
      </c>
      <c r="BO182" s="787">
        <v>0</v>
      </c>
      <c r="BP182" s="787">
        <v>0</v>
      </c>
      <c r="BQ182" s="787">
        <v>15432.81</v>
      </c>
      <c r="BR182" s="787">
        <v>0</v>
      </c>
      <c r="BS182" s="787">
        <v>0</v>
      </c>
      <c r="BT182" s="787">
        <v>0</v>
      </c>
      <c r="BU182" s="787">
        <v>0</v>
      </c>
      <c r="BV182" s="787">
        <v>0</v>
      </c>
      <c r="BW182" s="787">
        <v>0</v>
      </c>
      <c r="BX182" s="787">
        <v>24590.37</v>
      </c>
      <c r="BY182" s="787">
        <v>0</v>
      </c>
      <c r="BZ182" s="787">
        <v>24590.37</v>
      </c>
      <c r="CA182" s="787">
        <v>75471.59</v>
      </c>
      <c r="CB182" s="787">
        <v>-9157.56</v>
      </c>
      <c r="CC182" s="787">
        <v>66314.03</v>
      </c>
      <c r="CD182" s="787">
        <v>0</v>
      </c>
      <c r="CE182" s="787">
        <v>0</v>
      </c>
      <c r="CF182" s="787">
        <v>0</v>
      </c>
      <c r="CG182" s="787">
        <v>0</v>
      </c>
      <c r="CH182" s="787">
        <v>0</v>
      </c>
      <c r="CI182" s="787">
        <v>0</v>
      </c>
      <c r="CJ182" s="787">
        <v>0</v>
      </c>
      <c r="CK182" s="787">
        <v>0</v>
      </c>
      <c r="CL182" s="787">
        <v>0</v>
      </c>
      <c r="CM182" s="787">
        <v>1123721.0462659271</v>
      </c>
      <c r="CN182" s="787">
        <v>0</v>
      </c>
      <c r="CO182" s="787">
        <v>66314</v>
      </c>
      <c r="CP182" s="787">
        <v>2.9999999998835847E-2</v>
      </c>
      <c r="CQ182" s="787">
        <v>0</v>
      </c>
      <c r="CR182" s="787">
        <v>1190035.0762659272</v>
      </c>
      <c r="CS182" s="787">
        <v>25000</v>
      </c>
      <c r="CT182" s="787">
        <v>0</v>
      </c>
      <c r="CU182" s="787">
        <v>250</v>
      </c>
      <c r="CV182" s="787">
        <v>25250</v>
      </c>
      <c r="CW182" s="787">
        <v>0</v>
      </c>
      <c r="CX182" s="787">
        <v>19289.36</v>
      </c>
      <c r="CY182" s="787">
        <v>402.37</v>
      </c>
      <c r="CZ182" s="787">
        <v>0</v>
      </c>
      <c r="DA182" s="787">
        <v>0</v>
      </c>
      <c r="DB182" s="787">
        <v>44941.73</v>
      </c>
      <c r="DC182" s="787">
        <v>1637183.16</v>
      </c>
      <c r="DD182" s="787">
        <v>0</v>
      </c>
      <c r="DE182" s="787">
        <v>0</v>
      </c>
      <c r="DF182" s="787">
        <v>1637183.16</v>
      </c>
      <c r="DG182" s="787"/>
      <c r="DH182" s="787"/>
      <c r="DI182" s="787"/>
      <c r="DJ182" s="787">
        <v>0</v>
      </c>
      <c r="DK182" s="787">
        <v>1637183.16</v>
      </c>
      <c r="DL182" s="787">
        <v>0</v>
      </c>
      <c r="DM182" s="787">
        <v>0</v>
      </c>
      <c r="DN182" s="787">
        <v>130601.88</v>
      </c>
      <c r="DO182" s="787">
        <v>0</v>
      </c>
      <c r="DP182" s="787">
        <v>-175204.06</v>
      </c>
      <c r="DQ182" s="787">
        <v>-1397.67</v>
      </c>
      <c r="DR182" s="787">
        <v>-66942.7</v>
      </c>
      <c r="DS182" s="787">
        <v>0</v>
      </c>
      <c r="DT182" s="787">
        <v>-112942.54999999999</v>
      </c>
      <c r="DU182" s="787">
        <v>27362</v>
      </c>
      <c r="DV182" s="787">
        <v>0</v>
      </c>
      <c r="DW182" s="787">
        <v>0</v>
      </c>
      <c r="DX182" s="787">
        <v>-1517.88</v>
      </c>
      <c r="DY182" s="787">
        <v>0</v>
      </c>
      <c r="DZ182" s="787">
        <v>-404991.41000000003</v>
      </c>
      <c r="EA182" s="787">
        <v>2.6265927357599139E-2</v>
      </c>
      <c r="EE182">
        <f>_xlfn.XLOOKUP(C182,'[1]Cfwd Analysis'!$C:$C,'[1]Cfwd Analysis'!$I:$I,0,0)</f>
        <v>1123721.0462659271</v>
      </c>
      <c r="EF182" s="788">
        <f t="shared" si="2"/>
        <v>0</v>
      </c>
    </row>
    <row r="183" spans="1:136" ht="15.6" hidden="1">
      <c r="A183" s="782" t="s">
        <v>1478</v>
      </c>
      <c r="B183" s="782" t="s">
        <v>842</v>
      </c>
      <c r="C183" s="783">
        <v>2478</v>
      </c>
      <c r="D183" s="784" t="s">
        <v>843</v>
      </c>
      <c r="E183" s="785" t="s">
        <v>521</v>
      </c>
      <c r="F183" s="786">
        <v>46094</v>
      </c>
      <c r="G183" s="785" t="s">
        <v>5</v>
      </c>
      <c r="H183" s="785" t="s">
        <v>856</v>
      </c>
      <c r="I183" s="787">
        <v>2336589.6273684208</v>
      </c>
      <c r="J183" s="787">
        <v>0</v>
      </c>
      <c r="K183" s="787">
        <v>56491.33</v>
      </c>
      <c r="L183" s="787">
        <v>0</v>
      </c>
      <c r="M183" s="787">
        <v>60915</v>
      </c>
      <c r="N183" s="787">
        <v>101063</v>
      </c>
      <c r="O183" s="787">
        <v>38623</v>
      </c>
      <c r="P183" s="787">
        <v>45864</v>
      </c>
      <c r="Q183" s="787">
        <v>52258.61</v>
      </c>
      <c r="R183" s="787">
        <v>0</v>
      </c>
      <c r="S183" s="787">
        <v>0</v>
      </c>
      <c r="T183" s="787">
        <v>0</v>
      </c>
      <c r="U183" s="787">
        <v>41636.92</v>
      </c>
      <c r="V183" s="787">
        <v>208666.34</v>
      </c>
      <c r="W183" s="787">
        <v>0</v>
      </c>
      <c r="X183" s="787">
        <v>2942107.8273684205</v>
      </c>
      <c r="Y183" s="787">
        <v>1365556.82</v>
      </c>
      <c r="Z183" s="787">
        <v>7324.71</v>
      </c>
      <c r="AA183" s="787">
        <v>318179.78999999998</v>
      </c>
      <c r="AB183" s="787">
        <v>61343.78</v>
      </c>
      <c r="AC183" s="787">
        <v>207589.86</v>
      </c>
      <c r="AD183" s="787">
        <v>0</v>
      </c>
      <c r="AE183" s="787">
        <v>181665.16</v>
      </c>
      <c r="AF183" s="787">
        <v>626.63</v>
      </c>
      <c r="AG183" s="787">
        <v>3004.12</v>
      </c>
      <c r="AH183" s="787">
        <v>0</v>
      </c>
      <c r="AI183" s="787">
        <v>0</v>
      </c>
      <c r="AJ183" s="787">
        <v>61684.85</v>
      </c>
      <c r="AK183" s="787">
        <v>6349.9299999999994</v>
      </c>
      <c r="AL183" s="787">
        <v>56922.03</v>
      </c>
      <c r="AM183" s="787">
        <v>9163.9399999999987</v>
      </c>
      <c r="AN183" s="787">
        <v>58960.15</v>
      </c>
      <c r="AO183" s="787">
        <v>47099.579999999987</v>
      </c>
      <c r="AP183" s="787">
        <v>9750.67</v>
      </c>
      <c r="AQ183" s="787">
        <v>57482.229999999996</v>
      </c>
      <c r="AR183" s="787">
        <v>0</v>
      </c>
      <c r="AS183" s="787">
        <v>0</v>
      </c>
      <c r="AT183" s="787">
        <v>27927.67</v>
      </c>
      <c r="AU183" s="787">
        <v>4629.75</v>
      </c>
      <c r="AV183" s="787">
        <v>0</v>
      </c>
      <c r="AW183" s="787">
        <v>26402.51</v>
      </c>
      <c r="AX183" s="787">
        <v>0</v>
      </c>
      <c r="AY183" s="787">
        <v>0</v>
      </c>
      <c r="AZ183" s="787">
        <v>37147.82</v>
      </c>
      <c r="BA183" s="787">
        <v>11934</v>
      </c>
      <c r="BB183" s="787">
        <v>0</v>
      </c>
      <c r="BC183" s="787">
        <v>70535.319999999992</v>
      </c>
      <c r="BD183" s="787">
        <v>250347.84</v>
      </c>
      <c r="BE183" s="787">
        <v>119807.01</v>
      </c>
      <c r="BF183" s="787">
        <v>208159.28</v>
      </c>
      <c r="BG183" s="787">
        <v>0</v>
      </c>
      <c r="BH183" s="787">
        <v>0</v>
      </c>
      <c r="BI183" s="787">
        <v>0</v>
      </c>
      <c r="BJ183" s="787">
        <v>3209595.4499999988</v>
      </c>
      <c r="BK183" s="787">
        <v>575599.77000000014</v>
      </c>
      <c r="BL183" s="787">
        <v>-267487.62263157824</v>
      </c>
      <c r="BM183" s="787">
        <v>308112.14736842189</v>
      </c>
      <c r="BN183" s="787">
        <v>9121</v>
      </c>
      <c r="BO183" s="787">
        <v>0</v>
      </c>
      <c r="BP183" s="787">
        <v>0</v>
      </c>
      <c r="BQ183" s="787">
        <v>9121</v>
      </c>
      <c r="BR183" s="787">
        <v>0</v>
      </c>
      <c r="BS183" s="787">
        <v>0</v>
      </c>
      <c r="BT183" s="787">
        <v>0</v>
      </c>
      <c r="BU183" s="787">
        <v>0</v>
      </c>
      <c r="BV183" s="787">
        <v>0</v>
      </c>
      <c r="BW183" s="787">
        <v>0</v>
      </c>
      <c r="BX183" s="787">
        <v>0</v>
      </c>
      <c r="BY183" s="787">
        <v>0</v>
      </c>
      <c r="BZ183" s="787">
        <v>0</v>
      </c>
      <c r="CA183" s="787">
        <v>4255.9600000000028</v>
      </c>
      <c r="CB183" s="787">
        <v>9121</v>
      </c>
      <c r="CC183" s="787">
        <v>13376.960000000003</v>
      </c>
      <c r="CD183" s="787">
        <v>0</v>
      </c>
      <c r="CE183" s="787">
        <v>0</v>
      </c>
      <c r="CF183" s="787">
        <v>0</v>
      </c>
      <c r="CG183" s="787">
        <v>0</v>
      </c>
      <c r="CH183" s="787">
        <v>0</v>
      </c>
      <c r="CI183" s="787">
        <v>0</v>
      </c>
      <c r="CJ183" s="787">
        <v>0</v>
      </c>
      <c r="CK183" s="787">
        <v>0</v>
      </c>
      <c r="CL183" s="787">
        <v>0</v>
      </c>
      <c r="CM183" s="787">
        <v>308112.14736842189</v>
      </c>
      <c r="CN183" s="787">
        <v>0</v>
      </c>
      <c r="CO183" s="787">
        <v>13376.960000000003</v>
      </c>
      <c r="CP183" s="787">
        <v>0</v>
      </c>
      <c r="CQ183" s="787">
        <v>0</v>
      </c>
      <c r="CR183" s="787">
        <v>321489.10736842192</v>
      </c>
      <c r="CS183" s="787">
        <v>100000</v>
      </c>
      <c r="CT183" s="787">
        <v>0</v>
      </c>
      <c r="CU183" s="787">
        <v>216.6</v>
      </c>
      <c r="CV183" s="787">
        <v>100216.6</v>
      </c>
      <c r="CW183" s="787">
        <v>0</v>
      </c>
      <c r="CX183" s="787">
        <v>10163.86</v>
      </c>
      <c r="CY183" s="787">
        <v>20778.849999999999</v>
      </c>
      <c r="CZ183" s="787">
        <v>0</v>
      </c>
      <c r="DA183" s="787">
        <v>0</v>
      </c>
      <c r="DB183" s="787">
        <v>131159.31</v>
      </c>
      <c r="DC183" s="787">
        <v>505399.79</v>
      </c>
      <c r="DD183" s="787">
        <v>0</v>
      </c>
      <c r="DE183" s="787">
        <v>1577</v>
      </c>
      <c r="DF183" s="787">
        <v>506976.79</v>
      </c>
      <c r="DG183" s="787"/>
      <c r="DH183" s="787"/>
      <c r="DI183" s="787"/>
      <c r="DJ183" s="787">
        <v>0</v>
      </c>
      <c r="DK183" s="787">
        <v>506976.79</v>
      </c>
      <c r="DL183" s="787">
        <v>0</v>
      </c>
      <c r="DM183" s="787">
        <v>0</v>
      </c>
      <c r="DN183" s="787">
        <v>0</v>
      </c>
      <c r="DO183" s="787">
        <v>0</v>
      </c>
      <c r="DP183" s="787">
        <v>-63073.1</v>
      </c>
      <c r="DQ183" s="787">
        <v>-68312.45</v>
      </c>
      <c r="DR183" s="787">
        <v>0</v>
      </c>
      <c r="DS183" s="787">
        <v>0</v>
      </c>
      <c r="DT183" s="787">
        <v>-131385.54999999999</v>
      </c>
      <c r="DU183" s="787">
        <v>5218</v>
      </c>
      <c r="DV183" s="787">
        <v>0</v>
      </c>
      <c r="DW183" s="787">
        <v>-6460</v>
      </c>
      <c r="DX183" s="787">
        <v>0</v>
      </c>
      <c r="DY183" s="787">
        <v>0</v>
      </c>
      <c r="DZ183" s="787">
        <v>-184019.59</v>
      </c>
      <c r="EA183" s="787">
        <v>0.14736842195270583</v>
      </c>
      <c r="EE183">
        <f>_xlfn.XLOOKUP(C183,'[1]Cfwd Analysis'!$C:$C,'[1]Cfwd Analysis'!$I:$I,0,0)</f>
        <v>308112.14736842189</v>
      </c>
      <c r="EF183" s="788">
        <f t="shared" si="2"/>
        <v>0</v>
      </c>
    </row>
    <row r="184" spans="1:136" ht="15.6" hidden="1">
      <c r="A184" s="782" t="s">
        <v>1479</v>
      </c>
      <c r="B184" s="782" t="s">
        <v>844</v>
      </c>
      <c r="C184" s="783">
        <v>2293</v>
      </c>
      <c r="D184" s="784" t="s">
        <v>845</v>
      </c>
      <c r="E184" s="785" t="s">
        <v>521</v>
      </c>
      <c r="F184" s="786">
        <v>0</v>
      </c>
      <c r="G184" s="785" t="s">
        <v>5</v>
      </c>
      <c r="H184" s="785" t="s">
        <v>858</v>
      </c>
      <c r="I184" s="787">
        <v>3631607.1168743148</v>
      </c>
      <c r="J184" s="787">
        <v>0</v>
      </c>
      <c r="K184" s="787">
        <v>125466.9</v>
      </c>
      <c r="L184" s="787">
        <v>0</v>
      </c>
      <c r="M184" s="787">
        <v>403340</v>
      </c>
      <c r="N184" s="787">
        <v>88487</v>
      </c>
      <c r="O184" s="787">
        <v>0</v>
      </c>
      <c r="P184" s="787">
        <v>0</v>
      </c>
      <c r="Q184" s="787">
        <v>69.98</v>
      </c>
      <c r="R184" s="787">
        <v>2736.93</v>
      </c>
      <c r="S184" s="787">
        <v>0</v>
      </c>
      <c r="T184" s="787">
        <v>0</v>
      </c>
      <c r="U184" s="787">
        <v>44532.98</v>
      </c>
      <c r="V184" s="787">
        <v>82648.899999999994</v>
      </c>
      <c r="W184" s="787">
        <v>0</v>
      </c>
      <c r="X184" s="787">
        <v>4378889.8068743162</v>
      </c>
      <c r="Y184" s="787">
        <v>1919445.81</v>
      </c>
      <c r="Z184" s="787">
        <v>0</v>
      </c>
      <c r="AA184" s="787">
        <v>417758.99</v>
      </c>
      <c r="AB184" s="787">
        <v>154550.91</v>
      </c>
      <c r="AC184" s="787">
        <v>387867.86</v>
      </c>
      <c r="AD184" s="787">
        <v>130993.59999999999</v>
      </c>
      <c r="AE184" s="787">
        <v>190719.68</v>
      </c>
      <c r="AF184" s="787">
        <v>0</v>
      </c>
      <c r="AG184" s="787">
        <v>15079.46</v>
      </c>
      <c r="AH184" s="787">
        <v>0</v>
      </c>
      <c r="AI184" s="787">
        <v>0</v>
      </c>
      <c r="AJ184" s="787">
        <v>30496.42</v>
      </c>
      <c r="AK184" s="787">
        <v>23554.01</v>
      </c>
      <c r="AL184" s="787">
        <v>247.3</v>
      </c>
      <c r="AM184" s="787">
        <v>8203.81</v>
      </c>
      <c r="AN184" s="787">
        <v>87943.74</v>
      </c>
      <c r="AO184" s="787">
        <v>41074.75</v>
      </c>
      <c r="AP184" s="787">
        <v>13084.06</v>
      </c>
      <c r="AQ184" s="787">
        <v>242443.3168743182</v>
      </c>
      <c r="AR184" s="787">
        <v>0</v>
      </c>
      <c r="AS184" s="787">
        <v>0</v>
      </c>
      <c r="AT184" s="787">
        <v>0</v>
      </c>
      <c r="AU184" s="787">
        <v>0</v>
      </c>
      <c r="AV184" s="787">
        <v>11247.7</v>
      </c>
      <c r="AW184" s="787">
        <v>0</v>
      </c>
      <c r="AX184" s="787">
        <v>0</v>
      </c>
      <c r="AY184" s="787">
        <v>0</v>
      </c>
      <c r="AZ184" s="787">
        <v>78429.649999999994</v>
      </c>
      <c r="BA184" s="787">
        <v>12566.4</v>
      </c>
      <c r="BB184" s="787">
        <v>10578</v>
      </c>
      <c r="BC184" s="787">
        <v>118472.73000000001</v>
      </c>
      <c r="BD184" s="787">
        <v>255156.9</v>
      </c>
      <c r="BE184" s="787">
        <v>41859.99</v>
      </c>
      <c r="BF184" s="787">
        <v>202155.31</v>
      </c>
      <c r="BG184" s="787">
        <v>0</v>
      </c>
      <c r="BH184" s="787">
        <v>0</v>
      </c>
      <c r="BI184" s="787">
        <v>0</v>
      </c>
      <c r="BJ184" s="787">
        <v>4393930.3968743179</v>
      </c>
      <c r="BK184" s="787">
        <v>1033474.2400000016</v>
      </c>
      <c r="BL184" s="787">
        <v>-15040.590000001714</v>
      </c>
      <c r="BM184" s="787">
        <v>1018433.6499999999</v>
      </c>
      <c r="BN184" s="787">
        <v>10894</v>
      </c>
      <c r="BO184" s="787">
        <v>0</v>
      </c>
      <c r="BP184" s="787">
        <v>0</v>
      </c>
      <c r="BQ184" s="787">
        <v>10894</v>
      </c>
      <c r="BR184" s="787">
        <v>0</v>
      </c>
      <c r="BS184" s="787">
        <v>0</v>
      </c>
      <c r="BT184" s="787">
        <v>0</v>
      </c>
      <c r="BU184" s="787">
        <v>0</v>
      </c>
      <c r="BV184" s="787">
        <v>0</v>
      </c>
      <c r="BW184" s="787">
        <v>0</v>
      </c>
      <c r="BX184" s="787">
        <v>0</v>
      </c>
      <c r="BY184" s="787">
        <v>0</v>
      </c>
      <c r="BZ184" s="787">
        <v>0</v>
      </c>
      <c r="CA184" s="787">
        <v>82527.95</v>
      </c>
      <c r="CB184" s="787">
        <v>10894</v>
      </c>
      <c r="CC184" s="787">
        <v>93421.95</v>
      </c>
      <c r="CD184" s="787">
        <v>0</v>
      </c>
      <c r="CE184" s="787">
        <v>0</v>
      </c>
      <c r="CF184" s="787">
        <v>0</v>
      </c>
      <c r="CG184" s="787">
        <v>0</v>
      </c>
      <c r="CH184" s="787">
        <v>0</v>
      </c>
      <c r="CI184" s="787">
        <v>0</v>
      </c>
      <c r="CJ184" s="787">
        <v>0</v>
      </c>
      <c r="CK184" s="787">
        <v>0</v>
      </c>
      <c r="CL184" s="787">
        <v>0</v>
      </c>
      <c r="CM184" s="787">
        <v>1018433.6499999999</v>
      </c>
      <c r="CN184" s="787">
        <v>0</v>
      </c>
      <c r="CO184" s="787">
        <v>93421.95</v>
      </c>
      <c r="CP184" s="787">
        <v>0</v>
      </c>
      <c r="CQ184" s="787">
        <v>0</v>
      </c>
      <c r="CR184" s="787">
        <v>1111855.5999999999</v>
      </c>
      <c r="CS184" s="787">
        <v>1359594.05</v>
      </c>
      <c r="CT184" s="787">
        <v>56776.42</v>
      </c>
      <c r="CU184" s="787">
        <v>4494.46</v>
      </c>
      <c r="CV184" s="787">
        <v>1307312.0900000001</v>
      </c>
      <c r="CW184" s="787">
        <v>0</v>
      </c>
      <c r="CX184" s="787">
        <v>9375.41</v>
      </c>
      <c r="CY184" s="787">
        <v>12793.97</v>
      </c>
      <c r="CZ184" s="787">
        <v>0</v>
      </c>
      <c r="DA184" s="787">
        <v>0</v>
      </c>
      <c r="DB184" s="787">
        <v>1329481.47</v>
      </c>
      <c r="DC184" s="787">
        <v>0</v>
      </c>
      <c r="DD184" s="787">
        <v>0</v>
      </c>
      <c r="DE184" s="787">
        <v>0</v>
      </c>
      <c r="DF184" s="787">
        <v>0</v>
      </c>
      <c r="DG184" s="787"/>
      <c r="DH184" s="787"/>
      <c r="DI184" s="787"/>
      <c r="DJ184" s="787">
        <v>0</v>
      </c>
      <c r="DK184" s="787">
        <v>0</v>
      </c>
      <c r="DL184" s="787">
        <v>0</v>
      </c>
      <c r="DM184" s="787">
        <v>0</v>
      </c>
      <c r="DN184" s="787">
        <v>0</v>
      </c>
      <c r="DO184" s="787">
        <v>0</v>
      </c>
      <c r="DP184" s="787">
        <v>-251288.56</v>
      </c>
      <c r="DQ184" s="787">
        <v>-17264.29</v>
      </c>
      <c r="DR184" s="787">
        <v>0</v>
      </c>
      <c r="DS184" s="787">
        <v>0</v>
      </c>
      <c r="DT184" s="787">
        <v>-268552.84999999998</v>
      </c>
      <c r="DU184" s="787">
        <v>41340.6</v>
      </c>
      <c r="DV184" s="787">
        <v>0</v>
      </c>
      <c r="DW184" s="787">
        <v>0</v>
      </c>
      <c r="DX184" s="787">
        <v>0</v>
      </c>
      <c r="DY184" s="787">
        <v>9586.3799999999992</v>
      </c>
      <c r="DZ184" s="787">
        <v>0</v>
      </c>
      <c r="EA184" s="787">
        <v>0</v>
      </c>
      <c r="EC184" s="788">
        <v>93421.95</v>
      </c>
      <c r="EE184">
        <f>_xlfn.XLOOKUP(C184,'[1]Cfwd Analysis'!$C:$C,'[1]Cfwd Analysis'!$I:$I,0,0)</f>
        <v>1018433.6499999999</v>
      </c>
      <c r="EF184" s="788">
        <f t="shared" si="2"/>
        <v>0</v>
      </c>
    </row>
    <row r="185" spans="1:136" ht="15.6" hidden="1">
      <c r="A185" s="782" t="s">
        <v>1480</v>
      </c>
      <c r="B185" s="782" t="s">
        <v>874</v>
      </c>
      <c r="C185" s="783">
        <v>2445</v>
      </c>
      <c r="D185" s="784" t="s">
        <v>875</v>
      </c>
      <c r="E185" s="785" t="s">
        <v>521</v>
      </c>
      <c r="F185" s="786">
        <v>46094</v>
      </c>
      <c r="G185" s="785" t="s">
        <v>5</v>
      </c>
      <c r="H185" s="785" t="s">
        <v>818</v>
      </c>
      <c r="I185" s="787">
        <v>1444120.5447175885</v>
      </c>
      <c r="J185" s="787">
        <v>0</v>
      </c>
      <c r="K185" s="787">
        <v>137470.60666666669</v>
      </c>
      <c r="L185" s="787">
        <v>0</v>
      </c>
      <c r="M185" s="787">
        <v>216160</v>
      </c>
      <c r="N185" s="787">
        <v>33035</v>
      </c>
      <c r="O185" s="787">
        <v>0</v>
      </c>
      <c r="P185" s="787">
        <v>0</v>
      </c>
      <c r="Q185" s="787">
        <v>4401.9245699999801</v>
      </c>
      <c r="R185" s="787">
        <v>9720</v>
      </c>
      <c r="S185" s="787">
        <v>0</v>
      </c>
      <c r="T185" s="787">
        <v>0</v>
      </c>
      <c r="U185" s="787">
        <v>6979</v>
      </c>
      <c r="V185" s="787">
        <v>16194.899438877124</v>
      </c>
      <c r="W185" s="787">
        <v>0</v>
      </c>
      <c r="X185" s="787">
        <v>1868081.9753931323</v>
      </c>
      <c r="Y185" s="787">
        <v>663874.03</v>
      </c>
      <c r="Z185" s="787">
        <v>0</v>
      </c>
      <c r="AA185" s="787">
        <v>411115.31</v>
      </c>
      <c r="AB185" s="787">
        <v>49970.99</v>
      </c>
      <c r="AC185" s="787">
        <v>118379.5</v>
      </c>
      <c r="AD185" s="787">
        <v>0</v>
      </c>
      <c r="AE185" s="787">
        <v>40564.959999999999</v>
      </c>
      <c r="AF185" s="787">
        <v>0</v>
      </c>
      <c r="AG185" s="787">
        <v>3926</v>
      </c>
      <c r="AH185" s="787">
        <v>0</v>
      </c>
      <c r="AI185" s="787">
        <v>0</v>
      </c>
      <c r="AJ185" s="787">
        <v>28693</v>
      </c>
      <c r="AK185" s="787">
        <v>10360</v>
      </c>
      <c r="AL185" s="787">
        <v>4682</v>
      </c>
      <c r="AM185" s="787">
        <v>12192</v>
      </c>
      <c r="AN185" s="787">
        <v>38737</v>
      </c>
      <c r="AO185" s="787">
        <v>24535.639999999996</v>
      </c>
      <c r="AP185" s="787">
        <v>16160</v>
      </c>
      <c r="AQ185" s="787">
        <v>36387</v>
      </c>
      <c r="AR185" s="787">
        <v>39921</v>
      </c>
      <c r="AS185" s="787">
        <v>0</v>
      </c>
      <c r="AT185" s="787">
        <v>0</v>
      </c>
      <c r="AU185" s="787">
        <v>0</v>
      </c>
      <c r="AV185" s="787">
        <v>0</v>
      </c>
      <c r="AW185" s="787">
        <v>0</v>
      </c>
      <c r="AX185" s="787">
        <v>9020</v>
      </c>
      <c r="AY185" s="787">
        <v>0</v>
      </c>
      <c r="AZ185" s="787">
        <v>10574</v>
      </c>
      <c r="BA185" s="787">
        <v>5139.75</v>
      </c>
      <c r="BB185" s="787">
        <v>5685</v>
      </c>
      <c r="BC185" s="787">
        <v>88423.679999999993</v>
      </c>
      <c r="BD185" s="787">
        <v>105557</v>
      </c>
      <c r="BE185" s="787">
        <v>28001.32</v>
      </c>
      <c r="BF185" s="787">
        <v>20323</v>
      </c>
      <c r="BG185" s="787">
        <v>4119.160000000149</v>
      </c>
      <c r="BH185" s="787">
        <v>0</v>
      </c>
      <c r="BI185" s="787">
        <v>216</v>
      </c>
      <c r="BJ185" s="787">
        <v>1776557.34</v>
      </c>
      <c r="BK185" s="787">
        <v>23520.619999999151</v>
      </c>
      <c r="BL185" s="787">
        <v>91524.635393132223</v>
      </c>
      <c r="BM185" s="787">
        <v>115045.25539313137</v>
      </c>
      <c r="BN185" s="787">
        <v>6283.75</v>
      </c>
      <c r="BO185" s="787">
        <v>0</v>
      </c>
      <c r="BP185" s="787">
        <v>216</v>
      </c>
      <c r="BQ185" s="787">
        <v>6499.75</v>
      </c>
      <c r="BR185" s="787">
        <v>0</v>
      </c>
      <c r="BS185" s="787">
        <v>6500</v>
      </c>
      <c r="BT185" s="787">
        <v>0</v>
      </c>
      <c r="BU185" s="787">
        <v>0</v>
      </c>
      <c r="BV185" s="787">
        <v>0</v>
      </c>
      <c r="BW185" s="787">
        <v>0</v>
      </c>
      <c r="BX185" s="787">
        <v>0</v>
      </c>
      <c r="BY185" s="787">
        <v>0</v>
      </c>
      <c r="BZ185" s="787">
        <v>6500</v>
      </c>
      <c r="CA185" s="787">
        <v>13518.599999999999</v>
      </c>
      <c r="CB185" s="787">
        <v>-0.25</v>
      </c>
      <c r="CC185" s="787">
        <v>13518.349999999999</v>
      </c>
      <c r="CD185" s="787">
        <v>0</v>
      </c>
      <c r="CE185" s="787">
        <v>0</v>
      </c>
      <c r="CF185" s="787">
        <v>0</v>
      </c>
      <c r="CG185" s="787">
        <v>0</v>
      </c>
      <c r="CH185" s="787">
        <v>0</v>
      </c>
      <c r="CI185" s="787">
        <v>0</v>
      </c>
      <c r="CJ185" s="787">
        <v>0</v>
      </c>
      <c r="CK185" s="787">
        <v>0</v>
      </c>
      <c r="CL185" s="787">
        <v>0</v>
      </c>
      <c r="CM185" s="787">
        <v>115045.25539313137</v>
      </c>
      <c r="CN185" s="787">
        <v>0</v>
      </c>
      <c r="CO185" s="787">
        <v>6500</v>
      </c>
      <c r="CP185" s="787">
        <v>7018.3499999999985</v>
      </c>
      <c r="CQ185" s="787">
        <v>0</v>
      </c>
      <c r="CR185" s="787">
        <v>128563.60539313138</v>
      </c>
      <c r="CS185" s="787">
        <v>254134</v>
      </c>
      <c r="CT185" s="787">
        <v>0</v>
      </c>
      <c r="CU185" s="787">
        <v>0</v>
      </c>
      <c r="CV185" s="787">
        <v>254134</v>
      </c>
      <c r="CW185" s="787">
        <v>0</v>
      </c>
      <c r="CX185" s="787">
        <v>5585.16</v>
      </c>
      <c r="CY185" s="787">
        <v>621.24</v>
      </c>
      <c r="CZ185" s="787">
        <v>0</v>
      </c>
      <c r="DA185" s="787">
        <v>0</v>
      </c>
      <c r="DB185" s="787">
        <v>260340.4</v>
      </c>
      <c r="DC185" s="787">
        <v>0</v>
      </c>
      <c r="DD185" s="787">
        <v>0</v>
      </c>
      <c r="DE185" s="787">
        <v>0</v>
      </c>
      <c r="DF185" s="787">
        <v>0</v>
      </c>
      <c r="DG185" s="787"/>
      <c r="DH185" s="787"/>
      <c r="DI185" s="787"/>
      <c r="DJ185" s="787">
        <v>0</v>
      </c>
      <c r="DK185" s="787">
        <v>0</v>
      </c>
      <c r="DL185" s="787">
        <v>0</v>
      </c>
      <c r="DM185" s="787">
        <v>3691.19</v>
      </c>
      <c r="DN185" s="787">
        <v>0</v>
      </c>
      <c r="DO185" s="787">
        <v>0</v>
      </c>
      <c r="DP185" s="787">
        <v>-111923.79</v>
      </c>
      <c r="DQ185" s="787">
        <v>-23544.68</v>
      </c>
      <c r="DR185" s="787">
        <v>0</v>
      </c>
      <c r="DS185" s="787">
        <v>0</v>
      </c>
      <c r="DT185" s="787">
        <v>-131777.28</v>
      </c>
      <c r="DU185" s="787">
        <v>0</v>
      </c>
      <c r="DV185" s="787">
        <v>0</v>
      </c>
      <c r="DW185" s="787">
        <v>0</v>
      </c>
      <c r="DX185" s="787">
        <v>0</v>
      </c>
      <c r="DY185" s="787">
        <v>0</v>
      </c>
      <c r="DZ185" s="787">
        <v>0</v>
      </c>
      <c r="EA185" s="787">
        <v>0.48539313138462603</v>
      </c>
      <c r="EE185">
        <f>_xlfn.XLOOKUP(C185,'[1]Cfwd Analysis'!$C:$C,'[1]Cfwd Analysis'!$I:$I,0,0)</f>
        <v>115045.25539313137</v>
      </c>
      <c r="EF185" s="788">
        <f t="shared" si="2"/>
        <v>0</v>
      </c>
    </row>
    <row r="186" spans="1:136" ht="15.6" hidden="1">
      <c r="A186" s="782" t="s">
        <v>1481</v>
      </c>
      <c r="B186" s="782" t="s">
        <v>846</v>
      </c>
      <c r="C186" s="783">
        <v>2278</v>
      </c>
      <c r="D186" s="784" t="s">
        <v>847</v>
      </c>
      <c r="E186" s="785" t="s">
        <v>521</v>
      </c>
      <c r="F186" s="786">
        <v>46091</v>
      </c>
      <c r="G186" s="785" t="s">
        <v>5</v>
      </c>
      <c r="H186" s="785" t="s">
        <v>860</v>
      </c>
      <c r="I186" s="787">
        <v>2567155.6818283945</v>
      </c>
      <c r="J186" s="787">
        <v>0</v>
      </c>
      <c r="K186" s="787">
        <v>340885.03666666668</v>
      </c>
      <c r="L186" s="787">
        <v>0</v>
      </c>
      <c r="M186" s="787">
        <v>382780</v>
      </c>
      <c r="N186" s="787">
        <v>57676.93</v>
      </c>
      <c r="O186" s="787">
        <v>0</v>
      </c>
      <c r="P186" s="787">
        <v>8164</v>
      </c>
      <c r="Q186" s="787">
        <v>34886.949999999997</v>
      </c>
      <c r="R186" s="787">
        <v>0</v>
      </c>
      <c r="S186" s="787">
        <v>0</v>
      </c>
      <c r="T186" s="787">
        <v>0</v>
      </c>
      <c r="U186" s="787">
        <v>14843.5</v>
      </c>
      <c r="V186" s="787">
        <v>370712.44</v>
      </c>
      <c r="W186" s="787">
        <v>0</v>
      </c>
      <c r="X186" s="787">
        <v>3777104.5384950615</v>
      </c>
      <c r="Y186" s="787">
        <v>1524706.42</v>
      </c>
      <c r="Z186" s="787">
        <v>0</v>
      </c>
      <c r="AA186" s="787">
        <v>750418.88</v>
      </c>
      <c r="AB186" s="787">
        <v>89956.61</v>
      </c>
      <c r="AC186" s="787">
        <v>149220.98000000001</v>
      </c>
      <c r="AD186" s="787">
        <v>0</v>
      </c>
      <c r="AE186" s="787">
        <v>81303.429999999993</v>
      </c>
      <c r="AF186" s="787">
        <v>16620.3</v>
      </c>
      <c r="AG186" s="787">
        <v>1239</v>
      </c>
      <c r="AH186" s="787">
        <v>0</v>
      </c>
      <c r="AI186" s="787">
        <v>0</v>
      </c>
      <c r="AJ186" s="787">
        <v>179377.40000000002</v>
      </c>
      <c r="AK186" s="787">
        <v>6864</v>
      </c>
      <c r="AL186" s="787">
        <v>1247.8</v>
      </c>
      <c r="AM186" s="787">
        <v>7700</v>
      </c>
      <c r="AN186" s="787">
        <v>37550.46</v>
      </c>
      <c r="AO186" s="787">
        <v>24535.639999999996</v>
      </c>
      <c r="AP186" s="787">
        <v>10473.64</v>
      </c>
      <c r="AQ186" s="787">
        <v>68306.990000000005</v>
      </c>
      <c r="AR186" s="787">
        <v>0</v>
      </c>
      <c r="AS186" s="787">
        <v>0</v>
      </c>
      <c r="AT186" s="787">
        <v>0</v>
      </c>
      <c r="AU186" s="787">
        <v>0</v>
      </c>
      <c r="AV186" s="787">
        <v>0</v>
      </c>
      <c r="AW186" s="787">
        <v>0</v>
      </c>
      <c r="AX186" s="787">
        <v>0</v>
      </c>
      <c r="AY186" s="787">
        <v>0</v>
      </c>
      <c r="AZ186" s="787">
        <v>327492.34000000003</v>
      </c>
      <c r="BA186" s="787">
        <v>9471</v>
      </c>
      <c r="BB186" s="787">
        <v>4540</v>
      </c>
      <c r="BC186" s="787">
        <v>178827.2</v>
      </c>
      <c r="BD186" s="787">
        <v>77167.259999999995</v>
      </c>
      <c r="BE186" s="787">
        <v>10458.079999999996</v>
      </c>
      <c r="BF186" s="787">
        <v>170245.5</v>
      </c>
      <c r="BG186" s="787">
        <v>0</v>
      </c>
      <c r="BH186" s="787">
        <v>0</v>
      </c>
      <c r="BI186" s="787">
        <v>0</v>
      </c>
      <c r="BJ186" s="787">
        <v>3727722.9299999997</v>
      </c>
      <c r="BK186" s="787">
        <v>512082.35000000021</v>
      </c>
      <c r="BL186" s="787">
        <v>49381.608495061751</v>
      </c>
      <c r="BM186" s="787">
        <v>561463.95849506196</v>
      </c>
      <c r="BN186" s="787">
        <v>8623.75</v>
      </c>
      <c r="BO186" s="787">
        <v>0</v>
      </c>
      <c r="BP186" s="787">
        <v>0</v>
      </c>
      <c r="BQ186" s="787">
        <v>8623.75</v>
      </c>
      <c r="BR186" s="787">
        <v>0</v>
      </c>
      <c r="BS186" s="787">
        <v>0</v>
      </c>
      <c r="BT186" s="787">
        <v>0</v>
      </c>
      <c r="BU186" s="787">
        <v>0</v>
      </c>
      <c r="BV186" s="787">
        <v>0</v>
      </c>
      <c r="BW186" s="787">
        <v>0</v>
      </c>
      <c r="BX186" s="787">
        <v>31101.42</v>
      </c>
      <c r="BY186" s="787">
        <v>0</v>
      </c>
      <c r="BZ186" s="787">
        <v>31101.42</v>
      </c>
      <c r="CA186" s="787">
        <v>28037.59</v>
      </c>
      <c r="CB186" s="787">
        <v>-22477.67</v>
      </c>
      <c r="CC186" s="787">
        <v>5559.9200000000019</v>
      </c>
      <c r="CD186" s="787">
        <v>0</v>
      </c>
      <c r="CE186" s="787">
        <v>0</v>
      </c>
      <c r="CF186" s="787">
        <v>0</v>
      </c>
      <c r="CG186" s="787">
        <v>0</v>
      </c>
      <c r="CH186" s="787">
        <v>0</v>
      </c>
      <c r="CI186" s="787">
        <v>0</v>
      </c>
      <c r="CJ186" s="787">
        <v>0</v>
      </c>
      <c r="CK186" s="787">
        <v>0</v>
      </c>
      <c r="CL186" s="787">
        <v>0</v>
      </c>
      <c r="CM186" s="787">
        <v>561463.95849506196</v>
      </c>
      <c r="CN186" s="787">
        <v>0</v>
      </c>
      <c r="CO186" s="787">
        <v>5559.9200000000019</v>
      </c>
      <c r="CP186" s="787">
        <v>0</v>
      </c>
      <c r="CQ186" s="787">
        <v>0</v>
      </c>
      <c r="CR186" s="787">
        <v>567023.878495062</v>
      </c>
      <c r="CS186" s="787">
        <v>879225.84</v>
      </c>
      <c r="CT186" s="787">
        <v>35000</v>
      </c>
      <c r="CU186" s="787">
        <v>0</v>
      </c>
      <c r="CV186" s="787">
        <v>844225.84</v>
      </c>
      <c r="CW186" s="787">
        <v>0</v>
      </c>
      <c r="CX186" s="787">
        <v>7119.22</v>
      </c>
      <c r="CY186" s="787">
        <v>1115.8599999999999</v>
      </c>
      <c r="CZ186" s="787">
        <v>128.58000000000001</v>
      </c>
      <c r="DA186" s="787">
        <v>0</v>
      </c>
      <c r="DB186" s="787">
        <v>852589.49999999988</v>
      </c>
      <c r="DC186" s="787">
        <v>0</v>
      </c>
      <c r="DD186" s="787">
        <v>0</v>
      </c>
      <c r="DE186" s="787">
        <v>0</v>
      </c>
      <c r="DF186" s="787">
        <v>0</v>
      </c>
      <c r="DG186" s="787"/>
      <c r="DH186" s="787"/>
      <c r="DI186" s="787"/>
      <c r="DJ186" s="787">
        <v>0</v>
      </c>
      <c r="DK186" s="787">
        <v>0</v>
      </c>
      <c r="DL186" s="787">
        <v>0</v>
      </c>
      <c r="DM186" s="787">
        <v>0</v>
      </c>
      <c r="DN186" s="787">
        <v>0</v>
      </c>
      <c r="DO186" s="787">
        <v>0</v>
      </c>
      <c r="DP186" s="787">
        <v>-233976.21</v>
      </c>
      <c r="DQ186" s="787">
        <v>-56872.88</v>
      </c>
      <c r="DR186" s="787">
        <v>0</v>
      </c>
      <c r="DS186" s="787">
        <v>0</v>
      </c>
      <c r="DT186" s="787">
        <v>-290849.08999999997</v>
      </c>
      <c r="DU186" s="787">
        <v>0</v>
      </c>
      <c r="DV186" s="787">
        <v>4096.55</v>
      </c>
      <c r="DW186" s="787">
        <v>0</v>
      </c>
      <c r="DX186" s="787">
        <v>0</v>
      </c>
      <c r="DY186" s="787">
        <v>1186.9199999999998</v>
      </c>
      <c r="DZ186" s="787">
        <v>0</v>
      </c>
      <c r="EA186" s="787">
        <v>-1.5049378853291273E-3</v>
      </c>
      <c r="EE186">
        <f>_xlfn.XLOOKUP(C186,'[1]Cfwd Analysis'!$C:$C,'[1]Cfwd Analysis'!$I:$I,0,0)</f>
        <v>561463.95849506196</v>
      </c>
      <c r="EF186" s="788">
        <f t="shared" si="2"/>
        <v>0</v>
      </c>
    </row>
    <row r="187" spans="1:136" ht="15.6" hidden="1">
      <c r="A187" s="782" t="s">
        <v>1482</v>
      </c>
      <c r="B187" s="782" t="s">
        <v>850</v>
      </c>
      <c r="C187" s="783">
        <v>2317</v>
      </c>
      <c r="D187" s="784" t="s">
        <v>851</v>
      </c>
      <c r="E187" s="785" t="s">
        <v>521</v>
      </c>
      <c r="F187" s="786" t="s">
        <v>1305</v>
      </c>
      <c r="G187" s="785" t="s">
        <v>5</v>
      </c>
      <c r="H187" s="785" t="s">
        <v>876</v>
      </c>
      <c r="I187" s="787">
        <v>1825022.5158814637</v>
      </c>
      <c r="J187" s="787">
        <v>0</v>
      </c>
      <c r="K187" s="787">
        <v>160773.28444444446</v>
      </c>
      <c r="L187" s="787">
        <v>0</v>
      </c>
      <c r="M187" s="787">
        <v>132045</v>
      </c>
      <c r="N187" s="787">
        <v>97105.48</v>
      </c>
      <c r="O187" s="787">
        <v>900</v>
      </c>
      <c r="P187" s="787">
        <v>0</v>
      </c>
      <c r="Q187" s="787">
        <v>4424.01</v>
      </c>
      <c r="R187" s="787">
        <v>7619.44</v>
      </c>
      <c r="S187" s="787">
        <v>0</v>
      </c>
      <c r="T187" s="787">
        <v>0</v>
      </c>
      <c r="U187" s="787">
        <v>4825.3</v>
      </c>
      <c r="V187" s="787">
        <v>161426.13999999998</v>
      </c>
      <c r="W187" s="787">
        <v>0</v>
      </c>
      <c r="X187" s="787">
        <v>2394141.1703259079</v>
      </c>
      <c r="Y187" s="787">
        <v>904602.12</v>
      </c>
      <c r="Z187" s="787">
        <v>0</v>
      </c>
      <c r="AA187" s="787">
        <v>398958.96</v>
      </c>
      <c r="AB187" s="787">
        <v>75891.89</v>
      </c>
      <c r="AC187" s="787">
        <v>120089.68</v>
      </c>
      <c r="AD187" s="787">
        <v>0</v>
      </c>
      <c r="AE187" s="787">
        <v>79249.59</v>
      </c>
      <c r="AF187" s="787">
        <v>50224.24</v>
      </c>
      <c r="AG187" s="787">
        <v>6745.6</v>
      </c>
      <c r="AH187" s="787">
        <v>0</v>
      </c>
      <c r="AI187" s="787">
        <v>0</v>
      </c>
      <c r="AJ187" s="787">
        <v>18464.240000000002</v>
      </c>
      <c r="AK187" s="787">
        <v>3000</v>
      </c>
      <c r="AL187" s="787">
        <v>2875.04</v>
      </c>
      <c r="AM187" s="787">
        <v>29055.49</v>
      </c>
      <c r="AN187" s="787">
        <v>107509.78</v>
      </c>
      <c r="AO187" s="787">
        <v>15383.15</v>
      </c>
      <c r="AP187" s="787">
        <v>14926.3</v>
      </c>
      <c r="AQ187" s="787">
        <v>36681.26</v>
      </c>
      <c r="AR187" s="787">
        <v>0</v>
      </c>
      <c r="AS187" s="787">
        <v>0</v>
      </c>
      <c r="AT187" s="787">
        <v>0</v>
      </c>
      <c r="AU187" s="787">
        <v>1636.52</v>
      </c>
      <c r="AV187" s="787">
        <v>0</v>
      </c>
      <c r="AW187" s="787">
        <v>0</v>
      </c>
      <c r="AX187" s="787">
        <v>0</v>
      </c>
      <c r="AY187" s="787">
        <v>0</v>
      </c>
      <c r="AZ187" s="787">
        <v>13934.16</v>
      </c>
      <c r="BA187" s="787">
        <v>5139.75</v>
      </c>
      <c r="BB187" s="787">
        <v>0</v>
      </c>
      <c r="BC187" s="787">
        <v>137501.44</v>
      </c>
      <c r="BD187" s="787">
        <v>483229.13</v>
      </c>
      <c r="BE187" s="787">
        <v>6546.0799999999981</v>
      </c>
      <c r="BF187" s="787">
        <v>107432.04</v>
      </c>
      <c r="BG187" s="787">
        <v>0</v>
      </c>
      <c r="BH187" s="787">
        <v>0</v>
      </c>
      <c r="BI187" s="787">
        <v>0</v>
      </c>
      <c r="BJ187" s="787">
        <v>2619076.46</v>
      </c>
      <c r="BK187" s="787">
        <v>-92002.089999998105</v>
      </c>
      <c r="BL187" s="787">
        <v>-224935.28967409208</v>
      </c>
      <c r="BM187" s="787">
        <v>-316937.37967409019</v>
      </c>
      <c r="BN187" s="787">
        <v>7429</v>
      </c>
      <c r="BO187" s="787">
        <v>0</v>
      </c>
      <c r="BP187" s="787">
        <v>0</v>
      </c>
      <c r="BQ187" s="787">
        <v>7429</v>
      </c>
      <c r="BR187" s="787">
        <v>0</v>
      </c>
      <c r="BS187" s="787">
        <v>6952</v>
      </c>
      <c r="BT187" s="787">
        <v>0</v>
      </c>
      <c r="BU187" s="787">
        <v>0</v>
      </c>
      <c r="BV187" s="787">
        <v>0</v>
      </c>
      <c r="BW187" s="787">
        <v>0</v>
      </c>
      <c r="BX187" s="787">
        <v>0</v>
      </c>
      <c r="BY187" s="787">
        <v>0</v>
      </c>
      <c r="BZ187" s="787">
        <v>6952</v>
      </c>
      <c r="CA187" s="787">
        <v>18324.299999999996</v>
      </c>
      <c r="CB187" s="787">
        <v>477</v>
      </c>
      <c r="CC187" s="787">
        <v>18801.299999999996</v>
      </c>
      <c r="CD187" s="787">
        <v>0</v>
      </c>
      <c r="CE187" s="787">
        <v>0</v>
      </c>
      <c r="CF187" s="787">
        <v>0</v>
      </c>
      <c r="CG187" s="787">
        <v>0</v>
      </c>
      <c r="CH187" s="787">
        <v>0</v>
      </c>
      <c r="CI187" s="787">
        <v>0</v>
      </c>
      <c r="CJ187" s="787">
        <v>0</v>
      </c>
      <c r="CK187" s="787">
        <v>0</v>
      </c>
      <c r="CL187" s="787">
        <v>0</v>
      </c>
      <c r="CM187" s="787">
        <v>0</v>
      </c>
      <c r="CN187" s="787">
        <v>-316937.37967409019</v>
      </c>
      <c r="CO187" s="787">
        <v>18801</v>
      </c>
      <c r="CP187" s="787">
        <v>0.29999999999563443</v>
      </c>
      <c r="CQ187" s="787">
        <v>0</v>
      </c>
      <c r="CR187" s="787">
        <v>-298136.0796740902</v>
      </c>
      <c r="CS187" s="787">
        <v>-119690.38</v>
      </c>
      <c r="CT187" s="787">
        <v>0</v>
      </c>
      <c r="CU187" s="787">
        <v>0</v>
      </c>
      <c r="CV187" s="787">
        <v>-119690.38</v>
      </c>
      <c r="CW187" s="787">
        <v>600</v>
      </c>
      <c r="CX187" s="787">
        <v>13961.21</v>
      </c>
      <c r="CY187" s="787">
        <v>2616.08</v>
      </c>
      <c r="CZ187" s="787">
        <v>0</v>
      </c>
      <c r="DA187" s="787">
        <v>-35000</v>
      </c>
      <c r="DB187" s="787">
        <v>-137513.09000000003</v>
      </c>
      <c r="DC187" s="787">
        <v>58.44</v>
      </c>
      <c r="DD187" s="787">
        <v>0</v>
      </c>
      <c r="DE187" s="787">
        <v>0</v>
      </c>
      <c r="DF187" s="787">
        <v>58.44</v>
      </c>
      <c r="DG187" s="787"/>
      <c r="DH187" s="787"/>
      <c r="DI187" s="787"/>
      <c r="DJ187" s="787">
        <v>0</v>
      </c>
      <c r="DK187" s="787">
        <v>58.44</v>
      </c>
      <c r="DL187" s="787">
        <v>59920.18</v>
      </c>
      <c r="DM187" s="787">
        <v>0</v>
      </c>
      <c r="DN187" s="787">
        <v>0</v>
      </c>
      <c r="DO187" s="787">
        <v>0</v>
      </c>
      <c r="DP187" s="787">
        <v>-49000</v>
      </c>
      <c r="DQ187" s="787">
        <v>-34111.39</v>
      </c>
      <c r="DR187" s="787">
        <v>0</v>
      </c>
      <c r="DS187" s="787">
        <v>0</v>
      </c>
      <c r="DT187" s="787">
        <v>-23191.21</v>
      </c>
      <c r="DU187" s="787">
        <v>596.5</v>
      </c>
      <c r="DV187" s="787">
        <v>0</v>
      </c>
      <c r="DW187" s="787">
        <v>-308.7</v>
      </c>
      <c r="DX187" s="787">
        <v>0</v>
      </c>
      <c r="DY187" s="787">
        <v>0</v>
      </c>
      <c r="DZ187" s="787">
        <v>-137777.87</v>
      </c>
      <c r="EA187" s="787">
        <v>-0.14967409014934674</v>
      </c>
      <c r="EE187">
        <f>_xlfn.XLOOKUP(C187,'[1]Cfwd Analysis'!$C:$C,'[1]Cfwd Analysis'!$I:$I,0,0)</f>
        <v>-316937.37967409019</v>
      </c>
      <c r="EF187" s="788">
        <f t="shared" si="2"/>
        <v>0</v>
      </c>
    </row>
    <row r="188" spans="1:136" ht="15.6" hidden="1">
      <c r="A188" s="782" t="s">
        <v>1483</v>
      </c>
      <c r="B188" s="782" t="s">
        <v>852</v>
      </c>
      <c r="C188" s="783">
        <v>2225</v>
      </c>
      <c r="D188" s="784" t="s">
        <v>853</v>
      </c>
      <c r="E188" s="785" t="s">
        <v>521</v>
      </c>
      <c r="F188" s="786">
        <v>46094</v>
      </c>
      <c r="G188" s="785" t="s">
        <v>5</v>
      </c>
      <c r="H188" s="785" t="s">
        <v>880</v>
      </c>
      <c r="I188" s="787">
        <v>2287657.4927828242</v>
      </c>
      <c r="J188" s="787">
        <v>0</v>
      </c>
      <c r="K188" s="787">
        <v>233508.95333333337</v>
      </c>
      <c r="L188" s="787">
        <v>0</v>
      </c>
      <c r="M188" s="787">
        <v>282140</v>
      </c>
      <c r="N188" s="787">
        <v>47895.92</v>
      </c>
      <c r="O188" s="787">
        <v>0</v>
      </c>
      <c r="P188" s="787">
        <v>0</v>
      </c>
      <c r="Q188" s="787">
        <v>7239.48</v>
      </c>
      <c r="R188" s="787">
        <v>26558.95</v>
      </c>
      <c r="S188" s="787">
        <v>0</v>
      </c>
      <c r="T188" s="787">
        <v>0</v>
      </c>
      <c r="U188" s="787">
        <v>32144.809999999998</v>
      </c>
      <c r="V188" s="787">
        <v>80270.27</v>
      </c>
      <c r="W188" s="787">
        <v>0</v>
      </c>
      <c r="X188" s="787">
        <v>2997415.876116158</v>
      </c>
      <c r="Y188" s="787">
        <v>1171893.3399999999</v>
      </c>
      <c r="Z188" s="787">
        <v>200494.78</v>
      </c>
      <c r="AA188" s="787">
        <v>695848.30999999994</v>
      </c>
      <c r="AB188" s="787">
        <v>34816.950000000004</v>
      </c>
      <c r="AC188" s="787">
        <v>58933.340000000004</v>
      </c>
      <c r="AD188" s="787">
        <v>0</v>
      </c>
      <c r="AE188" s="787">
        <v>70622.5</v>
      </c>
      <c r="AF188" s="787">
        <v>7747.88</v>
      </c>
      <c r="AG188" s="787">
        <v>27915.74</v>
      </c>
      <c r="AH188" s="787">
        <v>0</v>
      </c>
      <c r="AI188" s="787">
        <v>0</v>
      </c>
      <c r="AJ188" s="787">
        <v>60168.1</v>
      </c>
      <c r="AK188" s="787">
        <v>1289.75</v>
      </c>
      <c r="AL188" s="787">
        <v>5702.16</v>
      </c>
      <c r="AM188" s="787">
        <v>12250.93</v>
      </c>
      <c r="AN188" s="787">
        <v>46822.41</v>
      </c>
      <c r="AO188" s="787">
        <v>20391.630000000005</v>
      </c>
      <c r="AP188" s="787">
        <v>37915.99</v>
      </c>
      <c r="AQ188" s="787">
        <v>118583.5</v>
      </c>
      <c r="AR188" s="787">
        <v>0</v>
      </c>
      <c r="AS188" s="787">
        <v>0</v>
      </c>
      <c r="AT188" s="787">
        <v>0</v>
      </c>
      <c r="AU188" s="787">
        <v>0</v>
      </c>
      <c r="AV188" s="787">
        <v>0</v>
      </c>
      <c r="AW188" s="787">
        <v>0</v>
      </c>
      <c r="AX188" s="787">
        <v>0</v>
      </c>
      <c r="AY188" s="787">
        <v>0</v>
      </c>
      <c r="AZ188" s="787">
        <v>60341.639999999992</v>
      </c>
      <c r="BA188" s="787">
        <v>9747</v>
      </c>
      <c r="BB188" s="787">
        <v>0</v>
      </c>
      <c r="BC188" s="787">
        <v>140608.24</v>
      </c>
      <c r="BD188" s="787">
        <v>0</v>
      </c>
      <c r="BE188" s="787">
        <v>106965.64</v>
      </c>
      <c r="BF188" s="787">
        <v>0</v>
      </c>
      <c r="BG188" s="787">
        <v>0</v>
      </c>
      <c r="BH188" s="787">
        <v>0</v>
      </c>
      <c r="BI188" s="787">
        <v>0</v>
      </c>
      <c r="BJ188" s="787">
        <v>2889059.8300000005</v>
      </c>
      <c r="BK188" s="787">
        <v>577131.90000000084</v>
      </c>
      <c r="BL188" s="787">
        <v>108356.04611615743</v>
      </c>
      <c r="BM188" s="787">
        <v>685487.94611615827</v>
      </c>
      <c r="BN188" s="787">
        <v>8140</v>
      </c>
      <c r="BO188" s="787">
        <v>0</v>
      </c>
      <c r="BP188" s="787">
        <v>0</v>
      </c>
      <c r="BQ188" s="787">
        <v>8140</v>
      </c>
      <c r="BR188" s="787">
        <v>0</v>
      </c>
      <c r="BS188" s="787">
        <v>0</v>
      </c>
      <c r="BT188" s="787">
        <v>0</v>
      </c>
      <c r="BU188" s="787">
        <v>0</v>
      </c>
      <c r="BV188" s="787">
        <v>0</v>
      </c>
      <c r="BW188" s="787">
        <v>0</v>
      </c>
      <c r="BX188" s="787">
        <v>0</v>
      </c>
      <c r="BY188" s="787">
        <v>0</v>
      </c>
      <c r="BZ188" s="787">
        <v>0</v>
      </c>
      <c r="CA188" s="787">
        <v>58183.75</v>
      </c>
      <c r="CB188" s="787">
        <v>8140</v>
      </c>
      <c r="CC188" s="787">
        <v>66323.75</v>
      </c>
      <c r="CD188" s="787">
        <v>0</v>
      </c>
      <c r="CE188" s="787">
        <v>0</v>
      </c>
      <c r="CF188" s="787">
        <v>0</v>
      </c>
      <c r="CG188" s="787">
        <v>0</v>
      </c>
      <c r="CH188" s="787">
        <v>0</v>
      </c>
      <c r="CI188" s="787">
        <v>0</v>
      </c>
      <c r="CJ188" s="787">
        <v>0</v>
      </c>
      <c r="CK188" s="787">
        <v>0</v>
      </c>
      <c r="CL188" s="787">
        <v>0</v>
      </c>
      <c r="CM188" s="787">
        <v>685487.94611615827</v>
      </c>
      <c r="CN188" s="787">
        <v>0</v>
      </c>
      <c r="CO188" s="787">
        <v>66323.75</v>
      </c>
      <c r="CP188" s="787">
        <v>0</v>
      </c>
      <c r="CQ188" s="787">
        <v>0</v>
      </c>
      <c r="CR188" s="787">
        <v>751811.69611615827</v>
      </c>
      <c r="CS188" s="787">
        <v>1111572.3500000001</v>
      </c>
      <c r="CT188" s="787">
        <v>51276.99</v>
      </c>
      <c r="CU188" s="787">
        <v>3280.73</v>
      </c>
      <c r="CV188" s="787">
        <v>1063576.0900000001</v>
      </c>
      <c r="CW188" s="787">
        <v>0</v>
      </c>
      <c r="CX188" s="787">
        <v>6388.8</v>
      </c>
      <c r="CY188" s="787">
        <v>3733.7</v>
      </c>
      <c r="CZ188" s="787">
        <v>26367.97</v>
      </c>
      <c r="DA188" s="787">
        <v>0</v>
      </c>
      <c r="DB188" s="787">
        <v>1100066.56</v>
      </c>
      <c r="DC188" s="787">
        <v>-38050.939999999981</v>
      </c>
      <c r="DD188" s="787">
        <v>46647.199999999997</v>
      </c>
      <c r="DE188" s="787">
        <v>0</v>
      </c>
      <c r="DF188" s="787">
        <v>-84698.139999999985</v>
      </c>
      <c r="DG188" s="787"/>
      <c r="DH188" s="787"/>
      <c r="DI188" s="787"/>
      <c r="DJ188" s="787">
        <v>0</v>
      </c>
      <c r="DK188" s="787">
        <v>-84698.139999999985</v>
      </c>
      <c r="DL188" s="787">
        <v>75275</v>
      </c>
      <c r="DM188" s="787">
        <v>0</v>
      </c>
      <c r="DN188" s="787">
        <v>0</v>
      </c>
      <c r="DO188" s="787">
        <v>0</v>
      </c>
      <c r="DP188" s="787">
        <v>-226942.82</v>
      </c>
      <c r="DQ188" s="787">
        <v>-38501.480000000003</v>
      </c>
      <c r="DR188" s="787">
        <v>0</v>
      </c>
      <c r="DS188" s="787">
        <v>0</v>
      </c>
      <c r="DT188" s="787">
        <v>-190169.30000000002</v>
      </c>
      <c r="DU188" s="787">
        <v>0</v>
      </c>
      <c r="DV188" s="787">
        <v>0</v>
      </c>
      <c r="DW188" s="787">
        <v>-44798.93</v>
      </c>
      <c r="DX188" s="787">
        <v>0</v>
      </c>
      <c r="DY188" s="787">
        <v>12573.11</v>
      </c>
      <c r="DZ188" s="787">
        <v>-41161.26</v>
      </c>
      <c r="EA188" s="787">
        <v>-0.34388384176418185</v>
      </c>
      <c r="EC188" s="788">
        <v>66323.75</v>
      </c>
      <c r="EE188">
        <f>_xlfn.XLOOKUP(C188,'[1]Cfwd Analysis'!$C:$C,'[1]Cfwd Analysis'!$I:$I,0,0)</f>
        <v>685487.94611615827</v>
      </c>
      <c r="EF188" s="788">
        <f t="shared" si="2"/>
        <v>0</v>
      </c>
    </row>
    <row r="189" spans="1:136" ht="15.6" hidden="1">
      <c r="A189" s="782" t="s">
        <v>1484</v>
      </c>
      <c r="B189" s="782" t="s">
        <v>854</v>
      </c>
      <c r="C189" s="783">
        <v>2412</v>
      </c>
      <c r="D189" s="784" t="s">
        <v>855</v>
      </c>
      <c r="E189" s="785" t="s">
        <v>521</v>
      </c>
      <c r="F189" s="786">
        <v>46094</v>
      </c>
      <c r="G189" s="785" t="s">
        <v>5</v>
      </c>
      <c r="H189" s="785" t="s">
        <v>882</v>
      </c>
      <c r="I189" s="787">
        <v>2215764.3643996087</v>
      </c>
      <c r="J189" s="787">
        <v>0</v>
      </c>
      <c r="K189" s="787">
        <v>216619.76666666666</v>
      </c>
      <c r="L189" s="787">
        <v>0</v>
      </c>
      <c r="M189" s="787">
        <v>184345</v>
      </c>
      <c r="N189" s="787">
        <v>79230.2</v>
      </c>
      <c r="O189" s="787">
        <v>32265.53</v>
      </c>
      <c r="P189" s="787">
        <v>0</v>
      </c>
      <c r="Q189" s="787">
        <v>861.98</v>
      </c>
      <c r="R189" s="787">
        <v>0</v>
      </c>
      <c r="S189" s="787">
        <v>0</v>
      </c>
      <c r="T189" s="787">
        <v>0</v>
      </c>
      <c r="U189" s="787">
        <v>26600</v>
      </c>
      <c r="V189" s="787">
        <v>20531</v>
      </c>
      <c r="W189" s="787">
        <v>0</v>
      </c>
      <c r="X189" s="787">
        <v>2776217.8410662753</v>
      </c>
      <c r="Y189" s="787">
        <v>1380114.4</v>
      </c>
      <c r="Z189" s="787">
        <v>0</v>
      </c>
      <c r="AA189" s="787">
        <v>196519.97999999998</v>
      </c>
      <c r="AB189" s="787">
        <v>87233.25</v>
      </c>
      <c r="AC189" s="787">
        <v>45452.340000000004</v>
      </c>
      <c r="AD189" s="787">
        <v>0</v>
      </c>
      <c r="AE189" s="787">
        <v>52472.1</v>
      </c>
      <c r="AF189" s="787">
        <v>5901.58</v>
      </c>
      <c r="AG189" s="787">
        <v>4702.9699999999993</v>
      </c>
      <c r="AH189" s="787">
        <v>0</v>
      </c>
      <c r="AI189" s="787">
        <v>0</v>
      </c>
      <c r="AJ189" s="787">
        <v>15623.130000000001</v>
      </c>
      <c r="AK189" s="787">
        <v>2310</v>
      </c>
      <c r="AL189" s="787">
        <v>0</v>
      </c>
      <c r="AM189" s="787">
        <v>6104.22</v>
      </c>
      <c r="AN189" s="787">
        <v>35211.089999999997</v>
      </c>
      <c r="AO189" s="787">
        <v>32064.810000000009</v>
      </c>
      <c r="AP189" s="787">
        <v>33879.9</v>
      </c>
      <c r="AQ189" s="787">
        <v>148702.45000000001</v>
      </c>
      <c r="AR189" s="787">
        <v>0</v>
      </c>
      <c r="AS189" s="787">
        <v>0</v>
      </c>
      <c r="AT189" s="787">
        <v>0</v>
      </c>
      <c r="AU189" s="787">
        <v>0</v>
      </c>
      <c r="AV189" s="787">
        <v>0</v>
      </c>
      <c r="AW189" s="787">
        <v>0</v>
      </c>
      <c r="AX189" s="787">
        <v>11480</v>
      </c>
      <c r="AY189" s="787">
        <v>0</v>
      </c>
      <c r="AZ189" s="787">
        <v>6874.08</v>
      </c>
      <c r="BA189" s="787">
        <v>9471</v>
      </c>
      <c r="BB189" s="787">
        <v>5000</v>
      </c>
      <c r="BC189" s="787">
        <v>88977.89</v>
      </c>
      <c r="BD189" s="787">
        <v>318847.08999999997</v>
      </c>
      <c r="BE189" s="787">
        <v>108016.45000000001</v>
      </c>
      <c r="BF189" s="787">
        <v>137874.81</v>
      </c>
      <c r="BG189" s="787">
        <v>0</v>
      </c>
      <c r="BH189" s="787">
        <v>0</v>
      </c>
      <c r="BI189" s="787">
        <v>0</v>
      </c>
      <c r="BJ189" s="787">
        <v>2732833.54</v>
      </c>
      <c r="BK189" s="787">
        <v>616793.31000000029</v>
      </c>
      <c r="BL189" s="787">
        <v>43384.30106627522</v>
      </c>
      <c r="BM189" s="787">
        <v>660177.61106627551</v>
      </c>
      <c r="BN189" s="787">
        <v>8725</v>
      </c>
      <c r="BO189" s="787">
        <v>0</v>
      </c>
      <c r="BP189" s="787">
        <v>0</v>
      </c>
      <c r="BQ189" s="787">
        <v>8725</v>
      </c>
      <c r="BR189" s="787">
        <v>0</v>
      </c>
      <c r="BS189" s="787">
        <v>0</v>
      </c>
      <c r="BT189" s="787">
        <v>0</v>
      </c>
      <c r="BU189" s="787">
        <v>0</v>
      </c>
      <c r="BV189" s="787">
        <v>0</v>
      </c>
      <c r="BW189" s="787">
        <v>0</v>
      </c>
      <c r="BX189" s="787">
        <v>10264.64</v>
      </c>
      <c r="BY189" s="787">
        <v>0</v>
      </c>
      <c r="BZ189" s="787">
        <v>10264.64</v>
      </c>
      <c r="CA189" s="787">
        <v>70269.25</v>
      </c>
      <c r="CB189" s="787">
        <v>-1539.6399999999994</v>
      </c>
      <c r="CC189" s="787">
        <v>68729.61</v>
      </c>
      <c r="CD189" s="787">
        <v>0</v>
      </c>
      <c r="CE189" s="787">
        <v>0</v>
      </c>
      <c r="CF189" s="787">
        <v>0</v>
      </c>
      <c r="CG189" s="787">
        <v>0</v>
      </c>
      <c r="CH189" s="787">
        <v>0</v>
      </c>
      <c r="CI189" s="787">
        <v>0</v>
      </c>
      <c r="CJ189" s="787">
        <v>0</v>
      </c>
      <c r="CK189" s="787">
        <v>0</v>
      </c>
      <c r="CL189" s="787">
        <v>0</v>
      </c>
      <c r="CM189" s="787">
        <v>660177.61106627551</v>
      </c>
      <c r="CN189" s="787">
        <v>0</v>
      </c>
      <c r="CO189" s="787">
        <v>68729.61</v>
      </c>
      <c r="CP189" s="787">
        <v>0</v>
      </c>
      <c r="CQ189" s="787">
        <v>0</v>
      </c>
      <c r="CR189" s="787">
        <v>728907.2210662755</v>
      </c>
      <c r="CS189" s="787">
        <v>1012991.28</v>
      </c>
      <c r="CT189" s="787">
        <v>59418.52</v>
      </c>
      <c r="CU189" s="787">
        <v>0</v>
      </c>
      <c r="CV189" s="787">
        <v>953572.76</v>
      </c>
      <c r="CW189" s="787">
        <v>0</v>
      </c>
      <c r="CX189" s="787">
        <v>14932.56</v>
      </c>
      <c r="CY189" s="787">
        <v>7714.06</v>
      </c>
      <c r="CZ189" s="787">
        <v>0</v>
      </c>
      <c r="DA189" s="787">
        <v>0</v>
      </c>
      <c r="DB189" s="787">
        <v>976219.38000000012</v>
      </c>
      <c r="DC189" s="787">
        <v>0</v>
      </c>
      <c r="DD189" s="787">
        <v>0</v>
      </c>
      <c r="DE189" s="787">
        <v>0</v>
      </c>
      <c r="DF189" s="787">
        <v>0</v>
      </c>
      <c r="DG189" s="787"/>
      <c r="DH189" s="787"/>
      <c r="DI189" s="787"/>
      <c r="DJ189" s="787">
        <v>0</v>
      </c>
      <c r="DK189" s="787">
        <v>0</v>
      </c>
      <c r="DL189" s="787">
        <v>0</v>
      </c>
      <c r="DM189" s="787">
        <v>0</v>
      </c>
      <c r="DN189" s="787">
        <v>9251.17</v>
      </c>
      <c r="DO189" s="787">
        <v>0</v>
      </c>
      <c r="DP189" s="787">
        <v>-180841.61</v>
      </c>
      <c r="DQ189" s="787">
        <v>0</v>
      </c>
      <c r="DR189" s="787">
        <v>-75722.080000000002</v>
      </c>
      <c r="DS189" s="787">
        <v>0</v>
      </c>
      <c r="DT189" s="787">
        <v>-247312.51999999996</v>
      </c>
      <c r="DU189" s="787">
        <v>0</v>
      </c>
      <c r="DV189" s="787">
        <v>0</v>
      </c>
      <c r="DW189" s="787">
        <v>0</v>
      </c>
      <c r="DX189" s="787">
        <v>0</v>
      </c>
      <c r="DY189" s="787">
        <v>0</v>
      </c>
      <c r="DZ189" s="787">
        <v>0</v>
      </c>
      <c r="EA189" s="787">
        <v>0.36106627539265901</v>
      </c>
      <c r="EC189" s="788">
        <v>68729.61</v>
      </c>
      <c r="EE189">
        <f>_xlfn.XLOOKUP(C189,'[1]Cfwd Analysis'!$C:$C,'[1]Cfwd Analysis'!$I:$I,0,0)</f>
        <v>660177.61106627551</v>
      </c>
      <c r="EF189" s="788">
        <f t="shared" si="2"/>
        <v>0</v>
      </c>
    </row>
    <row r="190" spans="1:136" ht="15.6" hidden="1">
      <c r="A190" s="782" t="s">
        <v>1485</v>
      </c>
      <c r="B190" s="782" t="s">
        <v>856</v>
      </c>
      <c r="C190" s="783">
        <v>3421</v>
      </c>
      <c r="D190" s="784" t="s">
        <v>857</v>
      </c>
      <c r="E190" s="785" t="s">
        <v>521</v>
      </c>
      <c r="F190" s="786">
        <v>0</v>
      </c>
      <c r="G190" s="785" t="s">
        <v>5</v>
      </c>
      <c r="H190" s="785" t="s">
        <v>862</v>
      </c>
      <c r="I190" s="787">
        <v>4564559.4898238098</v>
      </c>
      <c r="J190" s="787">
        <v>0</v>
      </c>
      <c r="K190" s="787">
        <v>239092.12866666669</v>
      </c>
      <c r="L190" s="787">
        <v>0</v>
      </c>
      <c r="M190" s="787">
        <v>523255</v>
      </c>
      <c r="N190" s="787">
        <v>132634.18999999881</v>
      </c>
      <c r="O190" s="787">
        <v>0</v>
      </c>
      <c r="P190" s="787">
        <v>60</v>
      </c>
      <c r="Q190" s="787">
        <v>83124.65282500007</v>
      </c>
      <c r="R190" s="787">
        <v>39263.47</v>
      </c>
      <c r="S190" s="787">
        <v>0</v>
      </c>
      <c r="T190" s="787">
        <v>0</v>
      </c>
      <c r="U190" s="787">
        <v>25996.7</v>
      </c>
      <c r="V190" s="787">
        <v>13364.44</v>
      </c>
      <c r="W190" s="787">
        <v>0</v>
      </c>
      <c r="X190" s="787">
        <v>5621350.0713154748</v>
      </c>
      <c r="Y190" s="787">
        <v>3308476.1599999997</v>
      </c>
      <c r="Z190" s="787">
        <v>0</v>
      </c>
      <c r="AA190" s="787">
        <v>754728.64</v>
      </c>
      <c r="AB190" s="787">
        <v>76704.399999999994</v>
      </c>
      <c r="AC190" s="787">
        <v>261975.44</v>
      </c>
      <c r="AD190" s="787">
        <v>0</v>
      </c>
      <c r="AE190" s="787">
        <v>125027.55</v>
      </c>
      <c r="AF190" s="787">
        <v>24467.97</v>
      </c>
      <c r="AG190" s="787">
        <v>23005.7</v>
      </c>
      <c r="AH190" s="787">
        <v>0</v>
      </c>
      <c r="AI190" s="787">
        <v>0</v>
      </c>
      <c r="AJ190" s="787">
        <v>25182.03</v>
      </c>
      <c r="AK190" s="787">
        <v>0</v>
      </c>
      <c r="AL190" s="787">
        <v>76390.92</v>
      </c>
      <c r="AM190" s="787">
        <v>15801.44</v>
      </c>
      <c r="AN190" s="787">
        <v>36193.279999999999</v>
      </c>
      <c r="AO190" s="787">
        <v>32542.019999999993</v>
      </c>
      <c r="AP190" s="787">
        <v>30252.920000000002</v>
      </c>
      <c r="AQ190" s="787">
        <v>63930.33</v>
      </c>
      <c r="AR190" s="787">
        <v>0</v>
      </c>
      <c r="AS190" s="787">
        <v>0</v>
      </c>
      <c r="AT190" s="787">
        <v>0</v>
      </c>
      <c r="AU190" s="787">
        <v>20508.04</v>
      </c>
      <c r="AV190" s="787">
        <v>887</v>
      </c>
      <c r="AW190" s="787">
        <v>4082.85</v>
      </c>
      <c r="AX190" s="787">
        <v>35486.5</v>
      </c>
      <c r="AY190" s="787">
        <v>0</v>
      </c>
      <c r="AZ190" s="787">
        <v>73236.639999995867</v>
      </c>
      <c r="BA190" s="787">
        <v>48916.759999999995</v>
      </c>
      <c r="BB190" s="787">
        <v>15781.29</v>
      </c>
      <c r="BC190" s="787">
        <v>233408.23</v>
      </c>
      <c r="BD190" s="787">
        <v>72767.81</v>
      </c>
      <c r="BE190" s="787">
        <v>138960.32000000001</v>
      </c>
      <c r="BF190" s="787">
        <v>87374.03</v>
      </c>
      <c r="BG190" s="787">
        <v>0</v>
      </c>
      <c r="BH190" s="787">
        <v>0</v>
      </c>
      <c r="BI190" s="787">
        <v>0</v>
      </c>
      <c r="BJ190" s="787">
        <v>5586088.2699999958</v>
      </c>
      <c r="BK190" s="787">
        <v>197343.95000000286</v>
      </c>
      <c r="BL190" s="787">
        <v>35261.801315478981</v>
      </c>
      <c r="BM190" s="787">
        <v>232605.75131548184</v>
      </c>
      <c r="BN190" s="787">
        <v>13393.75</v>
      </c>
      <c r="BO190" s="787">
        <v>0</v>
      </c>
      <c r="BP190" s="787">
        <v>0</v>
      </c>
      <c r="BQ190" s="787">
        <v>13393.75</v>
      </c>
      <c r="BR190" s="787">
        <v>0</v>
      </c>
      <c r="BS190" s="787">
        <v>12143.71</v>
      </c>
      <c r="BT190" s="787">
        <v>0</v>
      </c>
      <c r="BU190" s="787">
        <v>0</v>
      </c>
      <c r="BV190" s="787">
        <v>0</v>
      </c>
      <c r="BW190" s="787">
        <v>0</v>
      </c>
      <c r="BX190" s="787">
        <v>0</v>
      </c>
      <c r="BY190" s="787">
        <v>0</v>
      </c>
      <c r="BZ190" s="787">
        <v>12143.71</v>
      </c>
      <c r="CA190" s="787">
        <v>6901.3099999999977</v>
      </c>
      <c r="CB190" s="787">
        <v>1250.0400000000009</v>
      </c>
      <c r="CC190" s="787">
        <v>8151.3499999999985</v>
      </c>
      <c r="CD190" s="787">
        <v>0</v>
      </c>
      <c r="CE190" s="787">
        <v>0</v>
      </c>
      <c r="CF190" s="787">
        <v>0</v>
      </c>
      <c r="CG190" s="787">
        <v>0</v>
      </c>
      <c r="CH190" s="787">
        <v>0</v>
      </c>
      <c r="CI190" s="787">
        <v>0</v>
      </c>
      <c r="CJ190" s="787">
        <v>0</v>
      </c>
      <c r="CK190" s="787">
        <v>0</v>
      </c>
      <c r="CL190" s="787">
        <v>0</v>
      </c>
      <c r="CM190" s="787">
        <v>232605.75131548184</v>
      </c>
      <c r="CN190" s="787">
        <v>0</v>
      </c>
      <c r="CO190" s="787">
        <v>8151</v>
      </c>
      <c r="CP190" s="787">
        <v>0.34999999999854481</v>
      </c>
      <c r="CQ190" s="787">
        <v>0</v>
      </c>
      <c r="CR190" s="787">
        <v>240757.10131548185</v>
      </c>
      <c r="CS190" s="787">
        <v>770792.86</v>
      </c>
      <c r="CT190" s="787">
        <v>2027.31</v>
      </c>
      <c r="CU190" s="787">
        <v>250</v>
      </c>
      <c r="CV190" s="787">
        <v>769015.54999999993</v>
      </c>
      <c r="CW190" s="787">
        <v>0</v>
      </c>
      <c r="CX190" s="787">
        <v>16261.17</v>
      </c>
      <c r="CY190" s="787">
        <v>1487.01</v>
      </c>
      <c r="CZ190" s="787">
        <v>12824</v>
      </c>
      <c r="DA190" s="787">
        <v>0</v>
      </c>
      <c r="DB190" s="787">
        <v>799587.73</v>
      </c>
      <c r="DC190" s="787">
        <v>0</v>
      </c>
      <c r="DD190" s="787">
        <v>0</v>
      </c>
      <c r="DE190" s="787">
        <v>0</v>
      </c>
      <c r="DF190" s="787">
        <v>0</v>
      </c>
      <c r="DG190" s="787"/>
      <c r="DH190" s="787"/>
      <c r="DI190" s="787"/>
      <c r="DJ190" s="787">
        <v>0</v>
      </c>
      <c r="DK190" s="787">
        <v>0</v>
      </c>
      <c r="DL190" s="787">
        <v>0</v>
      </c>
      <c r="DM190" s="787">
        <v>0</v>
      </c>
      <c r="DN190" s="787">
        <v>0</v>
      </c>
      <c r="DO190" s="787">
        <v>0</v>
      </c>
      <c r="DP190" s="787">
        <v>-373234.75</v>
      </c>
      <c r="DQ190" s="787">
        <v>-4712.3999999999996</v>
      </c>
      <c r="DR190" s="787">
        <v>0</v>
      </c>
      <c r="DS190" s="787">
        <v>0</v>
      </c>
      <c r="DT190" s="787">
        <v>-377947.15</v>
      </c>
      <c r="DU190" s="787">
        <v>0</v>
      </c>
      <c r="DV190" s="787">
        <v>0</v>
      </c>
      <c r="DW190" s="787">
        <v>0</v>
      </c>
      <c r="DX190" s="787">
        <v>0</v>
      </c>
      <c r="DY190" s="787">
        <v>0</v>
      </c>
      <c r="DZ190" s="787">
        <v>-180883.06</v>
      </c>
      <c r="EA190" s="787">
        <v>-0.41868451811023988</v>
      </c>
      <c r="EE190">
        <f>_xlfn.XLOOKUP(C190,'[1]Cfwd Analysis'!$C:$C,'[1]Cfwd Analysis'!$I:$I,0,0)</f>
        <v>232605.75131548184</v>
      </c>
      <c r="EF190" s="788">
        <f t="shared" si="2"/>
        <v>0</v>
      </c>
    </row>
    <row r="191" spans="1:136" ht="15.6" hidden="1">
      <c r="A191" s="782" t="s">
        <v>1486</v>
      </c>
      <c r="B191" s="782" t="s">
        <v>858</v>
      </c>
      <c r="C191" s="783">
        <v>2227</v>
      </c>
      <c r="D191" s="784" t="s">
        <v>859</v>
      </c>
      <c r="E191" s="785" t="s">
        <v>521</v>
      </c>
      <c r="F191" s="786">
        <v>46094</v>
      </c>
      <c r="G191" s="785" t="s">
        <v>5</v>
      </c>
      <c r="H191" s="785" t="s">
        <v>864</v>
      </c>
      <c r="I191" s="787">
        <v>2849298.7815727475</v>
      </c>
      <c r="J191" s="787">
        <v>0</v>
      </c>
      <c r="K191" s="787">
        <v>185905.65666666668</v>
      </c>
      <c r="L191" s="787">
        <v>0</v>
      </c>
      <c r="M191" s="787">
        <v>368155</v>
      </c>
      <c r="N191" s="787">
        <v>49571</v>
      </c>
      <c r="O191" s="787">
        <v>0</v>
      </c>
      <c r="P191" s="787">
        <v>0</v>
      </c>
      <c r="Q191" s="787">
        <v>78438.597163232786</v>
      </c>
      <c r="R191" s="787">
        <v>0</v>
      </c>
      <c r="S191" s="787">
        <v>0</v>
      </c>
      <c r="T191" s="787">
        <v>0</v>
      </c>
      <c r="U191" s="787">
        <v>14850.45</v>
      </c>
      <c r="V191" s="787">
        <v>41979.26</v>
      </c>
      <c r="W191" s="787">
        <v>0</v>
      </c>
      <c r="X191" s="787">
        <v>3588198.7454026472</v>
      </c>
      <c r="Y191" s="787">
        <v>1570174.56</v>
      </c>
      <c r="Z191" s="787">
        <v>0</v>
      </c>
      <c r="AA191" s="787">
        <v>736713.5</v>
      </c>
      <c r="AB191" s="787">
        <v>103885.77</v>
      </c>
      <c r="AC191" s="787">
        <v>234980.46</v>
      </c>
      <c r="AD191" s="787">
        <v>0</v>
      </c>
      <c r="AE191" s="787">
        <v>59599.29</v>
      </c>
      <c r="AF191" s="787">
        <v>10407.39</v>
      </c>
      <c r="AG191" s="787">
        <v>5004.88</v>
      </c>
      <c r="AH191" s="787">
        <v>0</v>
      </c>
      <c r="AI191" s="787">
        <v>0</v>
      </c>
      <c r="AJ191" s="787">
        <v>43835.56</v>
      </c>
      <c r="AK191" s="787">
        <v>2310</v>
      </c>
      <c r="AL191" s="787">
        <v>2447.6799999999998</v>
      </c>
      <c r="AM191" s="787">
        <v>14391.740000000002</v>
      </c>
      <c r="AN191" s="787">
        <v>48703.59</v>
      </c>
      <c r="AO191" s="787">
        <v>20919.869999999995</v>
      </c>
      <c r="AP191" s="787">
        <v>10343.16</v>
      </c>
      <c r="AQ191" s="787">
        <v>103895</v>
      </c>
      <c r="AR191" s="787">
        <v>7136.53</v>
      </c>
      <c r="AS191" s="787">
        <v>0</v>
      </c>
      <c r="AT191" s="787">
        <v>24677.64</v>
      </c>
      <c r="AU191" s="787">
        <v>10642.54</v>
      </c>
      <c r="AV191" s="787">
        <v>65700.37</v>
      </c>
      <c r="AW191" s="787">
        <v>0</v>
      </c>
      <c r="AX191" s="787">
        <v>10800</v>
      </c>
      <c r="AY191" s="787">
        <v>0</v>
      </c>
      <c r="AZ191" s="787">
        <v>19357.45</v>
      </c>
      <c r="BA191" s="787">
        <v>9471</v>
      </c>
      <c r="BB191" s="787">
        <v>6440</v>
      </c>
      <c r="BC191" s="787">
        <v>200115.21000000002</v>
      </c>
      <c r="BD191" s="787">
        <v>234214.82</v>
      </c>
      <c r="BE191" s="787">
        <v>22935.949999999997</v>
      </c>
      <c r="BF191" s="787">
        <v>108519.98</v>
      </c>
      <c r="BG191" s="787">
        <v>0</v>
      </c>
      <c r="BH191" s="787">
        <v>0</v>
      </c>
      <c r="BI191" s="787">
        <v>0</v>
      </c>
      <c r="BJ191" s="787">
        <v>3687623.9400000009</v>
      </c>
      <c r="BK191" s="787">
        <v>411321.15588224592</v>
      </c>
      <c r="BL191" s="787">
        <v>-99425.194597353693</v>
      </c>
      <c r="BM191" s="787">
        <v>311895.96128489223</v>
      </c>
      <c r="BN191" s="787">
        <v>9172.75</v>
      </c>
      <c r="BO191" s="787">
        <v>0</v>
      </c>
      <c r="BP191" s="787">
        <v>0</v>
      </c>
      <c r="BQ191" s="787">
        <v>9172.75</v>
      </c>
      <c r="BR191" s="787">
        <v>0</v>
      </c>
      <c r="BS191" s="787">
        <v>0</v>
      </c>
      <c r="BT191" s="787">
        <v>0</v>
      </c>
      <c r="BU191" s="787">
        <v>0</v>
      </c>
      <c r="BV191" s="787">
        <v>0</v>
      </c>
      <c r="BW191" s="787">
        <v>0</v>
      </c>
      <c r="BX191" s="787">
        <v>0</v>
      </c>
      <c r="BY191" s="787">
        <v>0</v>
      </c>
      <c r="BZ191" s="787">
        <v>0</v>
      </c>
      <c r="CA191" s="787">
        <v>3763.8</v>
      </c>
      <c r="CB191" s="787">
        <v>9172.75</v>
      </c>
      <c r="CC191" s="787">
        <v>12936.55</v>
      </c>
      <c r="CD191" s="787">
        <v>0</v>
      </c>
      <c r="CE191" s="787">
        <v>0</v>
      </c>
      <c r="CF191" s="787">
        <v>0</v>
      </c>
      <c r="CG191" s="787">
        <v>0</v>
      </c>
      <c r="CH191" s="787">
        <v>0</v>
      </c>
      <c r="CI191" s="787">
        <v>0</v>
      </c>
      <c r="CJ191" s="787">
        <v>0</v>
      </c>
      <c r="CK191" s="787">
        <v>0</v>
      </c>
      <c r="CL191" s="787">
        <v>0</v>
      </c>
      <c r="CM191" s="787">
        <v>311895.96128489223</v>
      </c>
      <c r="CN191" s="787">
        <v>0</v>
      </c>
      <c r="CO191" s="787">
        <v>12936.55</v>
      </c>
      <c r="CP191" s="787">
        <v>0</v>
      </c>
      <c r="CQ191" s="787">
        <v>0</v>
      </c>
      <c r="CR191" s="787">
        <v>324832.51128489221</v>
      </c>
      <c r="CS191" s="787">
        <v>645020.32999999996</v>
      </c>
      <c r="CT191" s="787">
        <v>0</v>
      </c>
      <c r="CU191" s="787">
        <v>0</v>
      </c>
      <c r="CV191" s="787">
        <v>645020.32999999996</v>
      </c>
      <c r="CW191" s="787">
        <v>0</v>
      </c>
      <c r="CX191" s="787">
        <v>11931.25</v>
      </c>
      <c r="CY191" s="787">
        <v>4805.05</v>
      </c>
      <c r="CZ191" s="787">
        <v>0</v>
      </c>
      <c r="DA191" s="787">
        <v>0</v>
      </c>
      <c r="DB191" s="787">
        <v>661756.63</v>
      </c>
      <c r="DC191" s="787">
        <v>0</v>
      </c>
      <c r="DD191" s="787">
        <v>0</v>
      </c>
      <c r="DE191" s="787">
        <v>0</v>
      </c>
      <c r="DF191" s="787">
        <v>0</v>
      </c>
      <c r="DG191" s="787"/>
      <c r="DH191" s="787"/>
      <c r="DI191" s="787"/>
      <c r="DJ191" s="787">
        <v>0</v>
      </c>
      <c r="DK191" s="787">
        <v>0</v>
      </c>
      <c r="DL191" s="787">
        <v>12489.05</v>
      </c>
      <c r="DM191" s="787">
        <v>14250</v>
      </c>
      <c r="DN191" s="787">
        <v>0</v>
      </c>
      <c r="DO191" s="787">
        <v>0</v>
      </c>
      <c r="DP191" s="787">
        <v>-265024.11</v>
      </c>
      <c r="DQ191" s="787">
        <v>-52267.98</v>
      </c>
      <c r="DR191" s="787">
        <v>0</v>
      </c>
      <c r="DS191" s="787">
        <v>0</v>
      </c>
      <c r="DT191" s="787">
        <v>-290553.03999999998</v>
      </c>
      <c r="DU191" s="787">
        <v>0</v>
      </c>
      <c r="DV191" s="787">
        <v>0</v>
      </c>
      <c r="DW191" s="787">
        <v>0</v>
      </c>
      <c r="DX191" s="787">
        <v>0</v>
      </c>
      <c r="DY191" s="787">
        <v>0</v>
      </c>
      <c r="DZ191" s="787">
        <v>-46370.81</v>
      </c>
      <c r="EA191" s="787">
        <v>-0.26871510781347752</v>
      </c>
      <c r="EC191" s="788">
        <v>12936.55</v>
      </c>
      <c r="EE191">
        <f>_xlfn.XLOOKUP(C191,'[1]Cfwd Analysis'!$C:$C,'[1]Cfwd Analysis'!$I:$I,0,0)</f>
        <v>311895.96128489223</v>
      </c>
      <c r="EF191" s="788">
        <f t="shared" si="2"/>
        <v>0</v>
      </c>
    </row>
    <row r="192" spans="1:136" ht="15.6" hidden="1">
      <c r="A192" s="782" t="s">
        <v>1487</v>
      </c>
      <c r="B192" s="782" t="s">
        <v>860</v>
      </c>
      <c r="C192" s="783">
        <v>2231</v>
      </c>
      <c r="D192" s="784" t="s">
        <v>861</v>
      </c>
      <c r="E192" s="785" t="s">
        <v>521</v>
      </c>
      <c r="F192" s="786">
        <v>0</v>
      </c>
      <c r="G192" s="785" t="s">
        <v>5</v>
      </c>
      <c r="H192" s="785" t="s">
        <v>884</v>
      </c>
      <c r="I192" s="787">
        <v>2656620.6288642175</v>
      </c>
      <c r="J192" s="787">
        <v>0</v>
      </c>
      <c r="K192" s="787">
        <v>61042.920000000006</v>
      </c>
      <c r="L192" s="787">
        <v>0</v>
      </c>
      <c r="M192" s="787">
        <v>320780</v>
      </c>
      <c r="N192" s="787">
        <v>59494</v>
      </c>
      <c r="O192" s="787">
        <v>0</v>
      </c>
      <c r="P192" s="787">
        <v>0</v>
      </c>
      <c r="Q192" s="787">
        <v>14878.225315000027</v>
      </c>
      <c r="R192" s="787">
        <v>0</v>
      </c>
      <c r="S192" s="787">
        <v>0</v>
      </c>
      <c r="T192" s="787">
        <v>0</v>
      </c>
      <c r="U192" s="787">
        <v>23940.840152982259</v>
      </c>
      <c r="V192" s="787">
        <v>7311.2698470164933</v>
      </c>
      <c r="W192" s="787">
        <v>0</v>
      </c>
      <c r="X192" s="787">
        <v>3144067.8841792159</v>
      </c>
      <c r="Y192" s="787">
        <v>1705267.7601974402</v>
      </c>
      <c r="Z192" s="787">
        <v>0</v>
      </c>
      <c r="AA192" s="787">
        <v>0</v>
      </c>
      <c r="AB192" s="787">
        <v>118650.86086847156</v>
      </c>
      <c r="AC192" s="787">
        <v>214959.05602887343</v>
      </c>
      <c r="AD192" s="787">
        <v>0</v>
      </c>
      <c r="AE192" s="787">
        <v>806465.37804733473</v>
      </c>
      <c r="AF192" s="787">
        <v>2773.6080421129809</v>
      </c>
      <c r="AG192" s="787">
        <v>111.8812921003878</v>
      </c>
      <c r="AH192" s="787">
        <v>0</v>
      </c>
      <c r="AI192" s="787">
        <v>0</v>
      </c>
      <c r="AJ192" s="787">
        <v>11883.832576258963</v>
      </c>
      <c r="AK192" s="787">
        <v>0</v>
      </c>
      <c r="AL192" s="787">
        <v>2640.851683613103</v>
      </c>
      <c r="AM192" s="787">
        <v>0</v>
      </c>
      <c r="AN192" s="787">
        <v>17303.655289645332</v>
      </c>
      <c r="AO192" s="787">
        <v>36393.823020768526</v>
      </c>
      <c r="AP192" s="787">
        <v>3450.2200000000003</v>
      </c>
      <c r="AQ192" s="787">
        <v>7184.9740921202847</v>
      </c>
      <c r="AR192" s="787">
        <v>0</v>
      </c>
      <c r="AS192" s="787">
        <v>0</v>
      </c>
      <c r="AT192" s="787">
        <v>0</v>
      </c>
      <c r="AU192" s="787">
        <v>0</v>
      </c>
      <c r="AV192" s="787">
        <v>0</v>
      </c>
      <c r="AW192" s="787">
        <v>0</v>
      </c>
      <c r="AX192" s="787">
        <v>0</v>
      </c>
      <c r="AY192" s="787">
        <v>0</v>
      </c>
      <c r="AZ192" s="787">
        <v>67.496992170942832</v>
      </c>
      <c r="BA192" s="787">
        <v>13413.009082060416</v>
      </c>
      <c r="BB192" s="787">
        <v>0</v>
      </c>
      <c r="BC192" s="787">
        <v>118647.58725324376</v>
      </c>
      <c r="BD192" s="787">
        <v>7209.05</v>
      </c>
      <c r="BE192" s="787">
        <v>15845.11010167862</v>
      </c>
      <c r="BF192" s="787">
        <v>3166.6654321071787</v>
      </c>
      <c r="BG192" s="787">
        <v>0</v>
      </c>
      <c r="BH192" s="787">
        <v>0</v>
      </c>
      <c r="BI192" s="787">
        <v>0</v>
      </c>
      <c r="BJ192" s="787">
        <v>3085434.82</v>
      </c>
      <c r="BK192" s="787">
        <v>209531.29000000108</v>
      </c>
      <c r="BL192" s="787">
        <v>58633.064179216046</v>
      </c>
      <c r="BM192" s="787">
        <v>268164.35417921713</v>
      </c>
      <c r="BN192" s="787">
        <v>9094</v>
      </c>
      <c r="BO192" s="787">
        <v>0</v>
      </c>
      <c r="BP192" s="787">
        <v>0</v>
      </c>
      <c r="BQ192" s="787">
        <v>9094</v>
      </c>
      <c r="BR192" s="787">
        <v>0</v>
      </c>
      <c r="BS192" s="787">
        <v>0</v>
      </c>
      <c r="BT192" s="787">
        <v>0</v>
      </c>
      <c r="BU192" s="787">
        <v>0</v>
      </c>
      <c r="BV192" s="787">
        <v>0</v>
      </c>
      <c r="BW192" s="787">
        <v>0</v>
      </c>
      <c r="BX192" s="787">
        <v>0</v>
      </c>
      <c r="BY192" s="787">
        <v>0</v>
      </c>
      <c r="BZ192" s="787">
        <v>0</v>
      </c>
      <c r="CA192" s="787">
        <v>7768.64</v>
      </c>
      <c r="CB192" s="787">
        <v>9094</v>
      </c>
      <c r="CC192" s="787">
        <v>16862.64</v>
      </c>
      <c r="CD192" s="787">
        <v>0</v>
      </c>
      <c r="CE192" s="787">
        <v>0</v>
      </c>
      <c r="CF192" s="787">
        <v>0</v>
      </c>
      <c r="CG192" s="787">
        <v>0</v>
      </c>
      <c r="CH192" s="787">
        <v>0</v>
      </c>
      <c r="CI192" s="787">
        <v>0</v>
      </c>
      <c r="CJ192" s="787">
        <v>0</v>
      </c>
      <c r="CK192" s="787">
        <v>0</v>
      </c>
      <c r="CL192" s="787">
        <v>0</v>
      </c>
      <c r="CM192" s="787">
        <v>268164.35417921713</v>
      </c>
      <c r="CN192" s="787">
        <v>0</v>
      </c>
      <c r="CO192" s="787">
        <v>16862.64</v>
      </c>
      <c r="CP192" s="787">
        <v>0</v>
      </c>
      <c r="CQ192" s="787">
        <v>0</v>
      </c>
      <c r="CR192" s="787">
        <v>285026.99417921714</v>
      </c>
      <c r="CS192" s="787">
        <v>369015.86</v>
      </c>
      <c r="CT192" s="787">
        <v>275328.93</v>
      </c>
      <c r="CU192" s="787">
        <v>286543.82</v>
      </c>
      <c r="CV192" s="787">
        <v>380230.75</v>
      </c>
      <c r="CW192" s="787">
        <v>0</v>
      </c>
      <c r="CX192" s="787">
        <v>3876.9900000000002</v>
      </c>
      <c r="CY192" s="787">
        <v>0</v>
      </c>
      <c r="CZ192" s="787">
        <v>6877.79</v>
      </c>
      <c r="DA192" s="787">
        <v>0</v>
      </c>
      <c r="DB192" s="787">
        <v>390985.52999999997</v>
      </c>
      <c r="DC192" s="787">
        <v>0</v>
      </c>
      <c r="DD192" s="787">
        <v>0</v>
      </c>
      <c r="DE192" s="787">
        <v>0</v>
      </c>
      <c r="DF192" s="787">
        <v>0</v>
      </c>
      <c r="DG192" s="787"/>
      <c r="DH192" s="787"/>
      <c r="DI192" s="787"/>
      <c r="DJ192" s="787">
        <v>0</v>
      </c>
      <c r="DK192" s="787">
        <v>0</v>
      </c>
      <c r="DL192" s="787">
        <v>0</v>
      </c>
      <c r="DM192" s="787">
        <v>0</v>
      </c>
      <c r="DN192" s="787">
        <v>0</v>
      </c>
      <c r="DO192" s="787">
        <v>0</v>
      </c>
      <c r="DP192" s="787">
        <v>-9944.0499999999993</v>
      </c>
      <c r="DQ192" s="787">
        <v>-51662.13</v>
      </c>
      <c r="DR192" s="787">
        <v>0</v>
      </c>
      <c r="DS192" s="787">
        <v>0</v>
      </c>
      <c r="DT192" s="787">
        <v>-61606.179999999993</v>
      </c>
      <c r="DU192" s="787">
        <v>0</v>
      </c>
      <c r="DV192" s="787">
        <v>0</v>
      </c>
      <c r="DW192" s="787">
        <v>-2168.39</v>
      </c>
      <c r="DX192" s="787">
        <v>0</v>
      </c>
      <c r="DY192" s="787">
        <v>0</v>
      </c>
      <c r="DZ192" s="787">
        <v>-42183.97</v>
      </c>
      <c r="EA192" s="787">
        <v>4.1792171541601419E-3</v>
      </c>
      <c r="EC192" s="788">
        <v>16862.64</v>
      </c>
      <c r="EE192">
        <f>_xlfn.XLOOKUP(C192,'[1]Cfwd Analysis'!$C:$C,'[1]Cfwd Analysis'!$I:$I,0,0)</f>
        <v>268164.35417921713</v>
      </c>
      <c r="EF192" s="788">
        <f t="shared" si="2"/>
        <v>0</v>
      </c>
    </row>
    <row r="194" spans="9:131">
      <c r="I194" s="788">
        <f>SUM(I7:I193)</f>
        <v>449434924.60869431</v>
      </c>
      <c r="J194" s="788">
        <f t="shared" ref="J194:BU194" si="3">SUM(J7:J193)</f>
        <v>9446876.8588592913</v>
      </c>
      <c r="K194" s="788">
        <f t="shared" si="3"/>
        <v>78279486.91251649</v>
      </c>
      <c r="L194" s="788">
        <f t="shared" si="3"/>
        <v>0</v>
      </c>
      <c r="M194" s="788">
        <f t="shared" si="3"/>
        <v>38368956.379999995</v>
      </c>
      <c r="N194" s="788">
        <f t="shared" si="3"/>
        <v>11188378.079999991</v>
      </c>
      <c r="O194" s="788">
        <f t="shared" si="3"/>
        <v>2221296.1199999996</v>
      </c>
      <c r="P194" s="788">
        <f t="shared" si="3"/>
        <v>1508045.6600000001</v>
      </c>
      <c r="Q194" s="788">
        <f t="shared" si="3"/>
        <v>17241912.164059233</v>
      </c>
      <c r="R194" s="788">
        <f t="shared" si="3"/>
        <v>3641838.97</v>
      </c>
      <c r="S194" s="788">
        <f t="shared" si="3"/>
        <v>139196.81813296548</v>
      </c>
      <c r="T194" s="788">
        <f t="shared" si="3"/>
        <v>298260.93043586134</v>
      </c>
      <c r="U194" s="788">
        <f t="shared" si="3"/>
        <v>4641714.5201529823</v>
      </c>
      <c r="V194" s="788">
        <f t="shared" si="3"/>
        <v>6025138.4392858921</v>
      </c>
      <c r="W194" s="788">
        <f t="shared" si="3"/>
        <v>178671.41</v>
      </c>
      <c r="X194" s="788">
        <f t="shared" si="3"/>
        <v>622614697.87213719</v>
      </c>
      <c r="Y194" s="788">
        <f t="shared" si="3"/>
        <v>271225018.90647584</v>
      </c>
      <c r="Z194" s="788">
        <f t="shared" si="3"/>
        <v>773591.85</v>
      </c>
      <c r="AA194" s="788">
        <f t="shared" si="3"/>
        <v>101769185.35123137</v>
      </c>
      <c r="AB194" s="788">
        <f t="shared" si="3"/>
        <v>13003301.525688181</v>
      </c>
      <c r="AC194" s="788">
        <f t="shared" si="3"/>
        <v>38439959.665894583</v>
      </c>
      <c r="AD194" s="788">
        <f t="shared" si="3"/>
        <v>3678146.162</v>
      </c>
      <c r="AE194" s="788">
        <f t="shared" si="3"/>
        <v>15352040.332058104</v>
      </c>
      <c r="AF194" s="788">
        <f t="shared" si="3"/>
        <v>2255117.5523910597</v>
      </c>
      <c r="AG194" s="788">
        <f t="shared" si="3"/>
        <v>1644118.0790124065</v>
      </c>
      <c r="AH194" s="788">
        <f t="shared" si="3"/>
        <v>11261.53</v>
      </c>
      <c r="AI194" s="788">
        <f t="shared" si="3"/>
        <v>208620.59000000003</v>
      </c>
      <c r="AJ194" s="788">
        <f t="shared" si="3"/>
        <v>9503782.597876627</v>
      </c>
      <c r="AK194" s="788">
        <f t="shared" si="3"/>
        <v>741826.85318998876</v>
      </c>
      <c r="AL194" s="788">
        <f t="shared" si="3"/>
        <v>5276911.3411449427</v>
      </c>
      <c r="AM194" s="788">
        <f t="shared" si="3"/>
        <v>1961337.7286186831</v>
      </c>
      <c r="AN194" s="788">
        <f t="shared" si="3"/>
        <v>9565328.0901554823</v>
      </c>
      <c r="AO194" s="788">
        <f t="shared" si="3"/>
        <v>4658772.6942834845</v>
      </c>
      <c r="AP194" s="788">
        <f t="shared" si="3"/>
        <v>9941952.2373820078</v>
      </c>
      <c r="AQ194" s="788">
        <f t="shared" si="3"/>
        <v>21298250.849097282</v>
      </c>
      <c r="AR194" s="788">
        <f t="shared" si="3"/>
        <v>1256671.1150000005</v>
      </c>
      <c r="AS194" s="788">
        <f t="shared" si="3"/>
        <v>106244.19</v>
      </c>
      <c r="AT194" s="788">
        <f t="shared" si="3"/>
        <v>1927489.8991423051</v>
      </c>
      <c r="AU194" s="788">
        <f t="shared" si="3"/>
        <v>1418413.3900000004</v>
      </c>
      <c r="AV194" s="788">
        <f t="shared" si="3"/>
        <v>811865.80999999994</v>
      </c>
      <c r="AW194" s="788">
        <f t="shared" si="3"/>
        <v>541575.00222223997</v>
      </c>
      <c r="AX194" s="788">
        <f t="shared" si="3"/>
        <v>962742.52</v>
      </c>
      <c r="AY194" s="788">
        <f t="shared" si="3"/>
        <v>1671710.8999999994</v>
      </c>
      <c r="AZ194" s="788">
        <f t="shared" si="3"/>
        <v>9352236.3297486827</v>
      </c>
      <c r="BA194" s="788">
        <f t="shared" si="3"/>
        <v>1984184.9257487268</v>
      </c>
      <c r="BB194" s="788">
        <f t="shared" si="3"/>
        <v>1145911.7391440198</v>
      </c>
      <c r="BC194" s="788">
        <f t="shared" si="3"/>
        <v>21657611.313862909</v>
      </c>
      <c r="BD194" s="788">
        <f t="shared" si="3"/>
        <v>25108476.421586558</v>
      </c>
      <c r="BE194" s="788">
        <f t="shared" si="3"/>
        <v>11547615.320346635</v>
      </c>
      <c r="BF194" s="788">
        <f t="shared" si="3"/>
        <v>28679663.856362909</v>
      </c>
      <c r="BG194" s="788">
        <f t="shared" si="3"/>
        <v>4869792.6600000011</v>
      </c>
      <c r="BH194" s="788">
        <f t="shared" si="3"/>
        <v>13490.920000000102</v>
      </c>
      <c r="BI194" s="788">
        <f t="shared" si="3"/>
        <v>1207067.3500000001</v>
      </c>
      <c r="BJ194" s="788">
        <f t="shared" si="3"/>
        <v>625571287.59966505</v>
      </c>
      <c r="BK194" s="788">
        <f t="shared" si="3"/>
        <v>58416836.440045111</v>
      </c>
      <c r="BL194" s="788">
        <f t="shared" si="3"/>
        <v>-2956589.7275281111</v>
      </c>
      <c r="BM194" s="788">
        <f t="shared" si="3"/>
        <v>55460246.712516941</v>
      </c>
      <c r="BN194" s="788">
        <f t="shared" si="3"/>
        <v>1756755.1699999997</v>
      </c>
      <c r="BO194" s="788">
        <f t="shared" si="3"/>
        <v>152033</v>
      </c>
      <c r="BP194" s="788">
        <f t="shared" si="3"/>
        <v>1197772.3500000001</v>
      </c>
      <c r="BQ194" s="788">
        <f t="shared" si="3"/>
        <v>3106560.5199999991</v>
      </c>
      <c r="BR194" s="788">
        <f t="shared" si="3"/>
        <v>249100.18999999997</v>
      </c>
      <c r="BS194" s="788">
        <f t="shared" si="3"/>
        <v>1682138.2800000003</v>
      </c>
      <c r="BT194" s="788">
        <f t="shared" si="3"/>
        <v>437908.44999999995</v>
      </c>
      <c r="BU194" s="788">
        <f t="shared" si="3"/>
        <v>25467.72</v>
      </c>
      <c r="BV194" s="788">
        <f t="shared" ref="BV194:EA194" si="4">SUM(BV7:BV193)</f>
        <v>20636.61</v>
      </c>
      <c r="BW194" s="788">
        <f t="shared" si="4"/>
        <v>137018.88999999998</v>
      </c>
      <c r="BX194" s="788">
        <f t="shared" si="4"/>
        <v>696129.58</v>
      </c>
      <c r="BY194" s="788">
        <f t="shared" si="4"/>
        <v>242522.32</v>
      </c>
      <c r="BZ194" s="788">
        <f t="shared" si="4"/>
        <v>3490922.0400000005</v>
      </c>
      <c r="CA194" s="788">
        <f t="shared" si="4"/>
        <v>4220059.3400000008</v>
      </c>
      <c r="CB194" s="788">
        <f t="shared" si="4"/>
        <v>-384361.52</v>
      </c>
      <c r="CC194" s="788">
        <f t="shared" si="4"/>
        <v>3835697.8200000012</v>
      </c>
      <c r="CD194" s="788">
        <f t="shared" si="4"/>
        <v>637457.18999999994</v>
      </c>
      <c r="CE194" s="788">
        <f t="shared" si="4"/>
        <v>0</v>
      </c>
      <c r="CF194" s="788">
        <f t="shared" si="4"/>
        <v>637457.18999999994</v>
      </c>
      <c r="CG194" s="788">
        <f t="shared" si="4"/>
        <v>125009.68000000001</v>
      </c>
      <c r="CH194" s="788">
        <f t="shared" si="4"/>
        <v>319401</v>
      </c>
      <c r="CI194" s="788">
        <f t="shared" si="4"/>
        <v>444410.68</v>
      </c>
      <c r="CJ194" s="788">
        <f t="shared" si="4"/>
        <v>0</v>
      </c>
      <c r="CK194" s="788">
        <f t="shared" si="4"/>
        <v>193046.51</v>
      </c>
      <c r="CL194" s="788">
        <f t="shared" si="4"/>
        <v>193046.51</v>
      </c>
      <c r="CM194" s="788">
        <f t="shared" si="4"/>
        <v>70793544.659267515</v>
      </c>
      <c r="CN194" s="788">
        <f t="shared" si="4"/>
        <v>-15333297.946750557</v>
      </c>
      <c r="CO194" s="788">
        <f t="shared" si="4"/>
        <v>3511991.7800000007</v>
      </c>
      <c r="CP194" s="788">
        <f t="shared" si="4"/>
        <v>323706.03999999986</v>
      </c>
      <c r="CQ194" s="788">
        <f t="shared" si="4"/>
        <v>193046.51</v>
      </c>
      <c r="CR194" s="788">
        <f t="shared" si="4"/>
        <v>59488991.042516962</v>
      </c>
      <c r="CS194" s="788">
        <f t="shared" si="4"/>
        <v>84921839.590000004</v>
      </c>
      <c r="CT194" s="788">
        <f t="shared" si="4"/>
        <v>9823648.1500000022</v>
      </c>
      <c r="CU194" s="788">
        <f t="shared" si="4"/>
        <v>2127125.2499999995</v>
      </c>
      <c r="CV194" s="788">
        <f t="shared" si="4"/>
        <v>77225316.690000013</v>
      </c>
      <c r="CW194" s="788">
        <f t="shared" si="4"/>
        <v>42295.369999999988</v>
      </c>
      <c r="CX194" s="788">
        <f t="shared" si="4"/>
        <v>2028077.9700000007</v>
      </c>
      <c r="CY194" s="788">
        <f t="shared" si="4"/>
        <v>1164205.9300000011</v>
      </c>
      <c r="CZ194" s="788">
        <f t="shared" si="4"/>
        <v>1131703.0799999998</v>
      </c>
      <c r="DA194" s="788">
        <f t="shared" si="4"/>
        <v>-6029.8200000000252</v>
      </c>
      <c r="DB194" s="788">
        <f t="shared" si="4"/>
        <v>81585569.220000044</v>
      </c>
      <c r="DC194" s="788">
        <f t="shared" si="4"/>
        <v>30561438.729999989</v>
      </c>
      <c r="DD194" s="788">
        <f t="shared" si="4"/>
        <v>1896666.4200000002</v>
      </c>
      <c r="DE194" s="788">
        <f t="shared" si="4"/>
        <v>304057.19</v>
      </c>
      <c r="DF194" s="788">
        <f t="shared" si="4"/>
        <v>28968829.499999996</v>
      </c>
      <c r="DG194" s="788">
        <f t="shared" si="4"/>
        <v>0</v>
      </c>
      <c r="DH194" s="788">
        <f t="shared" si="4"/>
        <v>0</v>
      </c>
      <c r="DI194" s="788">
        <f t="shared" si="4"/>
        <v>0</v>
      </c>
      <c r="DJ194" s="788">
        <f t="shared" si="4"/>
        <v>-4418964.6336617377</v>
      </c>
      <c r="DK194" s="788">
        <f t="shared" si="4"/>
        <v>24549864.86633826</v>
      </c>
      <c r="DL194" s="788">
        <f t="shared" si="4"/>
        <v>2793999.26</v>
      </c>
      <c r="DM194" s="788">
        <f t="shared" si="4"/>
        <v>649210.6399999999</v>
      </c>
      <c r="DN194" s="788">
        <f t="shared" si="4"/>
        <v>1359207.8399999999</v>
      </c>
      <c r="DO194" s="788">
        <f t="shared" si="4"/>
        <v>428173.52</v>
      </c>
      <c r="DP194" s="788">
        <f t="shared" si="4"/>
        <v>-31837669.390000008</v>
      </c>
      <c r="DQ194" s="788">
        <f t="shared" si="4"/>
        <v>-3963647.34</v>
      </c>
      <c r="DR194" s="788">
        <f t="shared" si="4"/>
        <v>-830265.57</v>
      </c>
      <c r="DS194" s="788">
        <f t="shared" si="4"/>
        <v>-688025.30999999994</v>
      </c>
      <c r="DT194" s="788">
        <f t="shared" si="4"/>
        <v>-32089016.350000016</v>
      </c>
      <c r="DU194" s="788">
        <f t="shared" si="4"/>
        <v>458491.5199999999</v>
      </c>
      <c r="DV194" s="788">
        <f t="shared" si="4"/>
        <v>215848.20999999996</v>
      </c>
      <c r="DW194" s="788">
        <f t="shared" si="4"/>
        <v>-694867.70000000007</v>
      </c>
      <c r="DX194" s="788">
        <f t="shared" si="4"/>
        <v>-1533084.0499999998</v>
      </c>
      <c r="DY194" s="788">
        <f t="shared" si="4"/>
        <v>76074.81</v>
      </c>
      <c r="DZ194" s="788">
        <f t="shared" si="4"/>
        <v>-13079895.860000001</v>
      </c>
      <c r="EA194" s="788">
        <f t="shared" si="4"/>
        <v>6.3761787068597187</v>
      </c>
    </row>
  </sheetData>
  <autoFilter ref="A6:EA192" xr:uid="{00000000-0001-0000-0000-000000000000}">
    <filterColumn colId="3">
      <filters>
        <filter val="Hamilton School"/>
      </filters>
    </filterColumn>
  </autoFilter>
  <mergeCells count="10">
    <mergeCell ref="DC4:DK4"/>
    <mergeCell ref="DL4:DT4"/>
    <mergeCell ref="DU4:DV4"/>
    <mergeCell ref="DW4:DX4"/>
    <mergeCell ref="E4:H4"/>
    <mergeCell ref="I4:BM4"/>
    <mergeCell ref="BN4:CC4"/>
    <mergeCell ref="CD4:CL4"/>
    <mergeCell ref="CM4:CR4"/>
    <mergeCell ref="CS4:DB4"/>
  </mergeCells>
  <conditionalFormatting sqref="A6:D6">
    <cfRule type="cellIs" dxfId="85" priority="1" operator="lessThan">
      <formula>0</formula>
    </cfRule>
  </conditionalFormatting>
  <pageMargins left="0.7" right="0.7" top="0.75" bottom="0.75" header="0.3" footer="0.3"/>
  <headerFooter>
    <oddFooter>&amp;C_x000D_&amp;1#&amp;"Aptos"&amp;10&amp;K000000 OFFICIAL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1DE15-0134-4BEB-B346-007F7945EB86}">
  <dimension ref="A1:EA195"/>
  <sheetViews>
    <sheetView topLeftCell="CH1" zoomScale="70" zoomScaleNormal="70" workbookViewId="0">
      <selection activeCell="BM198" sqref="BM198"/>
    </sheetView>
  </sheetViews>
  <sheetFormatPr defaultRowHeight="14.4"/>
  <cols>
    <col min="4" max="4" width="80.5546875" customWidth="1"/>
    <col min="5" max="5" width="15.44140625" bestFit="1" customWidth="1"/>
    <col min="6" max="6" width="15.33203125" bestFit="1" customWidth="1"/>
    <col min="7" max="7" width="13.88671875" bestFit="1" customWidth="1"/>
    <col min="8" max="8" width="19.33203125" bestFit="1" customWidth="1"/>
    <col min="9" max="9" width="11.5546875" bestFit="1" customWidth="1"/>
    <col min="10" max="10" width="9.88671875" bestFit="1" customWidth="1"/>
    <col min="11" max="11" width="11.6640625" bestFit="1" customWidth="1"/>
    <col min="12" max="12" width="8.88671875" bestFit="1" customWidth="1"/>
    <col min="13" max="14" width="10.109375" bestFit="1" customWidth="1"/>
    <col min="15" max="15" width="8.88671875" bestFit="1" customWidth="1"/>
    <col min="16" max="16" width="8.6640625" bestFit="1" customWidth="1"/>
    <col min="17" max="17" width="10.33203125" bestFit="1" customWidth="1"/>
    <col min="18" max="18" width="9" bestFit="1" customWidth="1"/>
    <col min="21" max="21" width="8.6640625" bestFit="1" customWidth="1"/>
    <col min="22" max="22" width="9" bestFit="1" customWidth="1"/>
    <col min="24" max="24" width="11.6640625" bestFit="1" customWidth="1"/>
    <col min="25" max="25" width="11.5546875" bestFit="1" customWidth="1"/>
    <col min="26" max="26" width="8.6640625" bestFit="1" customWidth="1"/>
    <col min="27" max="27" width="10.33203125" bestFit="1" customWidth="1"/>
    <col min="28" max="28" width="8.6640625" bestFit="1" customWidth="1"/>
    <col min="29" max="29" width="10.33203125" bestFit="1" customWidth="1"/>
    <col min="31" max="31" width="8.6640625" bestFit="1" customWidth="1"/>
    <col min="32" max="32" width="8.88671875" bestFit="1" customWidth="1"/>
    <col min="33" max="33" width="9" bestFit="1" customWidth="1"/>
    <col min="34" max="34" width="8.44140625" bestFit="1" customWidth="1"/>
    <col min="35" max="35" width="8.33203125" bestFit="1" customWidth="1"/>
    <col min="38" max="38" width="8.88671875" bestFit="1" customWidth="1"/>
    <col min="39" max="39" width="9" bestFit="1" customWidth="1"/>
    <col min="40" max="40" width="8.6640625" bestFit="1" customWidth="1"/>
    <col min="41" max="41" width="9.109375" bestFit="1" customWidth="1"/>
    <col min="42" max="42" width="8.88671875" bestFit="1" customWidth="1"/>
    <col min="43" max="43" width="10.33203125" bestFit="1" customWidth="1"/>
    <col min="44" max="44" width="9" bestFit="1" customWidth="1"/>
    <col min="45" max="45" width="7.88671875" bestFit="1" customWidth="1"/>
    <col min="46" max="46" width="9" bestFit="1" customWidth="1"/>
    <col min="47" max="48" width="8.88671875" bestFit="1" customWidth="1"/>
    <col min="49" max="49" width="8.44140625" bestFit="1" customWidth="1"/>
    <col min="50" max="51" width="8.6640625" bestFit="1" customWidth="1"/>
    <col min="52" max="52" width="8.88671875" bestFit="1" customWidth="1"/>
    <col min="53" max="53" width="9.109375" bestFit="1" customWidth="1"/>
    <col min="54" max="54" width="9" bestFit="1" customWidth="1"/>
    <col min="56" max="56" width="10.33203125" bestFit="1" customWidth="1"/>
    <col min="58" max="58" width="10.33203125" bestFit="1" customWidth="1"/>
    <col min="60" max="60" width="8.5546875" bestFit="1" customWidth="1"/>
    <col min="61" max="61" width="9.44140625" bestFit="1" customWidth="1"/>
    <col min="62" max="62" width="11.44140625" bestFit="1" customWidth="1"/>
    <col min="63" max="63" width="9.88671875" bestFit="1" customWidth="1"/>
    <col min="64" max="64" width="9.33203125" bestFit="1" customWidth="1"/>
    <col min="65" max="65" width="9.88671875" bestFit="1" customWidth="1"/>
    <col min="66" max="68" width="12.109375" bestFit="1" customWidth="1"/>
    <col min="69" max="69" width="10.33203125" bestFit="1" customWidth="1"/>
    <col min="70" max="70" width="9" bestFit="1" customWidth="1"/>
    <col min="71" max="72" width="12.5546875" bestFit="1" customWidth="1"/>
    <col min="73" max="75" width="13.88671875" bestFit="1" customWidth="1"/>
    <col min="76" max="76" width="14" bestFit="1" customWidth="1"/>
    <col min="77" max="77" width="13.5546875" bestFit="1" customWidth="1"/>
    <col min="78" max="78" width="16.109375" customWidth="1"/>
    <col min="79" max="79" width="8.5546875" bestFit="1" customWidth="1"/>
    <col min="80" max="80" width="9" bestFit="1" customWidth="1"/>
    <col min="81" max="81" width="8.5546875" bestFit="1" customWidth="1"/>
    <col min="82" max="82" width="8.6640625" bestFit="1" customWidth="1"/>
    <col min="83" max="83" width="9" bestFit="1" customWidth="1"/>
    <col min="85" max="86" width="8.6640625" bestFit="1" customWidth="1"/>
    <col min="88" max="89" width="8.5546875" bestFit="1" customWidth="1"/>
    <col min="90" max="90" width="8.88671875" bestFit="1" customWidth="1"/>
    <col min="91" max="91" width="9.44140625" bestFit="1" customWidth="1"/>
    <col min="92" max="92" width="10.5546875" bestFit="1" customWidth="1"/>
    <col min="93" max="93" width="8.88671875" bestFit="1" customWidth="1"/>
    <col min="94" max="94" width="8.5546875" bestFit="1" customWidth="1"/>
    <col min="95" max="95" width="9" bestFit="1" customWidth="1"/>
    <col min="96" max="96" width="10.33203125" bestFit="1" customWidth="1"/>
    <col min="97" max="97" width="11.5546875" bestFit="1" customWidth="1"/>
    <col min="100" max="100" width="10.33203125" bestFit="1" customWidth="1"/>
    <col min="101" max="101" width="8.5546875" bestFit="1" customWidth="1"/>
    <col min="102" max="104" width="9" bestFit="1" customWidth="1"/>
    <col min="105" max="105" width="9.109375" bestFit="1" customWidth="1"/>
    <col min="106" max="107" width="10.33203125" bestFit="1" customWidth="1"/>
    <col min="110" max="110" width="10.33203125" bestFit="1" customWidth="1"/>
    <col min="111" max="111" width="8.5546875" bestFit="1" customWidth="1"/>
    <col min="112" max="113" width="9" bestFit="1" customWidth="1"/>
    <col min="114" max="115" width="11.6640625" bestFit="1" customWidth="1"/>
    <col min="116" max="117" width="8.6640625" bestFit="1" customWidth="1"/>
    <col min="120" max="120" width="11.6640625" bestFit="1" customWidth="1"/>
    <col min="121" max="122" width="10.109375" bestFit="1" customWidth="1"/>
    <col min="124" max="124" width="11.6640625" bestFit="1" customWidth="1"/>
    <col min="125" max="126" width="8.6640625" bestFit="1" customWidth="1"/>
    <col min="127" max="128" width="10.109375" bestFit="1" customWidth="1"/>
    <col min="129" max="129" width="8.5546875" bestFit="1" customWidth="1"/>
    <col min="130" max="130" width="11.6640625" bestFit="1" customWidth="1"/>
    <col min="131" max="131" width="9" bestFit="1" customWidth="1"/>
  </cols>
  <sheetData>
    <row r="1" spans="1:131">
      <c r="A1" s="76" t="s">
        <v>1292</v>
      </c>
    </row>
    <row r="2" spans="1:131" ht="39.75" customHeight="1">
      <c r="A2" s="865" t="s">
        <v>1488</v>
      </c>
      <c r="B2" s="865"/>
      <c r="C2" s="865"/>
      <c r="D2" s="865"/>
    </row>
    <row r="3" spans="1:131" ht="39.75" customHeight="1">
      <c r="A3" s="789"/>
      <c r="B3" s="789"/>
      <c r="C3" s="789">
        <v>1</v>
      </c>
      <c r="D3" s="789">
        <v>2</v>
      </c>
      <c r="E3" s="789">
        <v>3</v>
      </c>
      <c r="F3" s="789">
        <v>4</v>
      </c>
      <c r="G3" s="789">
        <v>5</v>
      </c>
      <c r="H3" s="789">
        <v>6</v>
      </c>
      <c r="I3" s="789">
        <v>7</v>
      </c>
      <c r="J3" s="789">
        <v>8</v>
      </c>
      <c r="K3" s="789">
        <v>9</v>
      </c>
      <c r="L3" s="789">
        <v>10</v>
      </c>
      <c r="M3" s="789">
        <v>11</v>
      </c>
      <c r="N3" s="789">
        <v>12</v>
      </c>
      <c r="O3" s="789">
        <v>13</v>
      </c>
      <c r="P3" s="789">
        <v>14</v>
      </c>
      <c r="Q3" s="789">
        <v>15</v>
      </c>
      <c r="R3" s="789">
        <v>16</v>
      </c>
      <c r="S3" s="789">
        <v>17</v>
      </c>
      <c r="T3" s="789">
        <v>18</v>
      </c>
      <c r="U3" s="789">
        <v>19</v>
      </c>
      <c r="V3" s="789">
        <v>20</v>
      </c>
      <c r="W3" s="789">
        <v>21</v>
      </c>
      <c r="X3" s="789">
        <v>22</v>
      </c>
      <c r="Y3" s="789">
        <v>23</v>
      </c>
      <c r="Z3" s="789">
        <v>24</v>
      </c>
      <c r="AA3" s="789">
        <v>25</v>
      </c>
      <c r="AB3" s="789">
        <v>26</v>
      </c>
      <c r="AC3" s="789">
        <v>27</v>
      </c>
      <c r="AD3" s="789">
        <v>28</v>
      </c>
      <c r="AE3" s="789">
        <v>29</v>
      </c>
      <c r="AF3" s="789">
        <v>30</v>
      </c>
      <c r="AG3" s="789">
        <v>31</v>
      </c>
      <c r="AH3" s="789">
        <v>32</v>
      </c>
      <c r="AI3" s="789">
        <v>33</v>
      </c>
      <c r="AJ3" s="789">
        <v>34</v>
      </c>
      <c r="AK3" s="789">
        <v>35</v>
      </c>
      <c r="AL3" s="789">
        <v>36</v>
      </c>
      <c r="AM3" s="789">
        <v>37</v>
      </c>
      <c r="AN3" s="789">
        <v>38</v>
      </c>
      <c r="AO3" s="789">
        <v>39</v>
      </c>
      <c r="AP3" s="789">
        <v>40</v>
      </c>
      <c r="AQ3" s="789">
        <v>41</v>
      </c>
      <c r="AR3" s="789">
        <v>42</v>
      </c>
      <c r="AS3" s="789">
        <v>43</v>
      </c>
      <c r="AT3" s="789">
        <v>44</v>
      </c>
      <c r="AU3" s="789">
        <v>45</v>
      </c>
      <c r="AV3" s="789">
        <v>46</v>
      </c>
      <c r="AW3" s="789">
        <v>47</v>
      </c>
      <c r="AX3" s="789">
        <v>48</v>
      </c>
      <c r="AY3" s="789">
        <v>49</v>
      </c>
      <c r="AZ3" s="789">
        <v>50</v>
      </c>
      <c r="BA3" s="789">
        <v>51</v>
      </c>
      <c r="BB3" s="789">
        <v>52</v>
      </c>
      <c r="BC3" s="789">
        <v>53</v>
      </c>
      <c r="BD3" s="789">
        <v>54</v>
      </c>
      <c r="BE3" s="789">
        <v>55</v>
      </c>
      <c r="BF3" s="789">
        <v>56</v>
      </c>
      <c r="BG3" s="789">
        <v>57</v>
      </c>
      <c r="BH3" s="789">
        <v>58</v>
      </c>
      <c r="BI3" s="789">
        <v>59</v>
      </c>
      <c r="BJ3" s="789">
        <v>60</v>
      </c>
      <c r="BK3" s="789">
        <v>61</v>
      </c>
      <c r="BL3" s="789">
        <v>62</v>
      </c>
      <c r="BM3" s="789">
        <v>63</v>
      </c>
      <c r="BN3" s="789">
        <v>64</v>
      </c>
      <c r="BO3" s="789">
        <v>65</v>
      </c>
      <c r="BP3" s="789">
        <v>66</v>
      </c>
      <c r="BQ3" s="789">
        <v>67</v>
      </c>
      <c r="BR3" s="789">
        <v>68</v>
      </c>
      <c r="BS3" s="789">
        <v>69</v>
      </c>
      <c r="BT3" s="789">
        <v>70</v>
      </c>
      <c r="BU3" s="789">
        <v>71</v>
      </c>
      <c r="BV3" s="789">
        <v>72</v>
      </c>
      <c r="BW3" s="789">
        <v>73</v>
      </c>
      <c r="BX3" s="789">
        <v>74</v>
      </c>
      <c r="BY3" s="789">
        <v>75</v>
      </c>
      <c r="BZ3" s="789">
        <v>76</v>
      </c>
      <c r="CA3" s="789">
        <v>77</v>
      </c>
      <c r="CB3" s="789">
        <v>78</v>
      </c>
      <c r="CC3" s="789">
        <v>79</v>
      </c>
      <c r="CD3" s="789">
        <v>80</v>
      </c>
      <c r="CE3" s="789">
        <v>81</v>
      </c>
      <c r="CF3" s="789">
        <v>82</v>
      </c>
      <c r="CG3" s="789">
        <v>83</v>
      </c>
      <c r="CH3" s="789">
        <v>84</v>
      </c>
      <c r="CI3" s="789">
        <v>85</v>
      </c>
      <c r="CJ3" s="789">
        <v>86</v>
      </c>
      <c r="CK3" s="789">
        <v>87</v>
      </c>
      <c r="CL3" s="789">
        <v>88</v>
      </c>
      <c r="CM3" s="789">
        <v>89</v>
      </c>
      <c r="CN3" s="789">
        <v>90</v>
      </c>
      <c r="CO3" s="789">
        <v>91</v>
      </c>
      <c r="CP3" s="789">
        <v>92</v>
      </c>
      <c r="CQ3" s="789">
        <v>93</v>
      </c>
      <c r="CR3" s="789">
        <v>94</v>
      </c>
      <c r="CS3" s="789">
        <v>95</v>
      </c>
      <c r="CT3" s="789">
        <v>96</v>
      </c>
      <c r="CU3" s="789">
        <v>97</v>
      </c>
      <c r="CV3" s="789">
        <v>98</v>
      </c>
      <c r="CW3" s="789">
        <v>99</v>
      </c>
      <c r="CX3" s="789">
        <v>100</v>
      </c>
      <c r="CY3" s="789">
        <v>101</v>
      </c>
      <c r="CZ3" s="789">
        <v>102</v>
      </c>
      <c r="DA3" s="789">
        <v>103</v>
      </c>
      <c r="DB3" s="789">
        <v>104</v>
      </c>
      <c r="DC3" s="789">
        <v>105</v>
      </c>
      <c r="DD3" s="789">
        <v>106</v>
      </c>
      <c r="DE3" s="789">
        <v>107</v>
      </c>
      <c r="DF3" s="789">
        <v>108</v>
      </c>
      <c r="DG3" s="789">
        <v>109</v>
      </c>
      <c r="DH3" s="789">
        <v>110</v>
      </c>
      <c r="DI3" s="789">
        <v>111</v>
      </c>
      <c r="DJ3" s="789">
        <v>112</v>
      </c>
      <c r="DK3" s="789">
        <v>113</v>
      </c>
      <c r="DL3" s="789">
        <v>114</v>
      </c>
      <c r="DM3" s="789">
        <v>115</v>
      </c>
      <c r="DN3" s="789">
        <v>116</v>
      </c>
      <c r="DO3" s="789">
        <v>117</v>
      </c>
      <c r="DP3" s="789">
        <v>118</v>
      </c>
      <c r="DQ3" s="789">
        <v>119</v>
      </c>
      <c r="DR3" s="789">
        <v>120</v>
      </c>
      <c r="DS3" s="789">
        <v>121</v>
      </c>
      <c r="DT3" s="789">
        <v>122</v>
      </c>
      <c r="DU3" s="789">
        <v>123</v>
      </c>
      <c r="DV3" s="789">
        <v>124</v>
      </c>
      <c r="DW3" s="789">
        <v>125</v>
      </c>
      <c r="DX3" s="789">
        <v>126</v>
      </c>
      <c r="DY3" s="789">
        <v>127</v>
      </c>
      <c r="DZ3" s="789">
        <v>128</v>
      </c>
      <c r="EA3" s="789">
        <v>129</v>
      </c>
    </row>
    <row r="4" spans="1:131">
      <c r="H4" s="790" t="s">
        <v>1489</v>
      </c>
      <c r="I4" s="791" t="s">
        <v>341</v>
      </c>
      <c r="J4" s="791" t="s">
        <v>341</v>
      </c>
      <c r="K4" s="791" t="s">
        <v>341</v>
      </c>
      <c r="L4" s="791" t="s">
        <v>341</v>
      </c>
      <c r="M4" s="791" t="s">
        <v>341</v>
      </c>
      <c r="N4" s="791" t="s">
        <v>341</v>
      </c>
      <c r="O4" s="791" t="s">
        <v>341</v>
      </c>
      <c r="P4" s="791" t="s">
        <v>344</v>
      </c>
      <c r="Q4" s="791" t="s">
        <v>347</v>
      </c>
      <c r="R4" s="791" t="s">
        <v>349</v>
      </c>
      <c r="S4" s="791" t="s">
        <v>341</v>
      </c>
      <c r="T4" s="791" t="s">
        <v>341</v>
      </c>
      <c r="U4" s="791" t="s">
        <v>349</v>
      </c>
      <c r="V4" s="791" t="s">
        <v>351</v>
      </c>
      <c r="W4" s="791" t="s">
        <v>341</v>
      </c>
      <c r="X4" s="790"/>
      <c r="Y4" s="791" t="s">
        <v>358</v>
      </c>
      <c r="Z4" s="791" t="s">
        <v>375</v>
      </c>
      <c r="AA4" s="791" t="s">
        <v>375</v>
      </c>
      <c r="AB4" s="791" t="s">
        <v>375</v>
      </c>
      <c r="AC4" s="791" t="s">
        <v>375</v>
      </c>
      <c r="AD4" s="791" t="s">
        <v>375</v>
      </c>
      <c r="AE4" s="791" t="s">
        <v>375</v>
      </c>
      <c r="AF4" s="791" t="s">
        <v>386</v>
      </c>
      <c r="AG4" s="791" t="s">
        <v>388</v>
      </c>
      <c r="AH4" s="791" t="s">
        <v>390</v>
      </c>
      <c r="AI4" s="791" t="s">
        <v>393</v>
      </c>
      <c r="AJ4" s="791" t="s">
        <v>395</v>
      </c>
      <c r="AK4" s="791" t="s">
        <v>397</v>
      </c>
      <c r="AL4" s="791" t="s">
        <v>399</v>
      </c>
      <c r="AM4" s="791" t="s">
        <v>401</v>
      </c>
      <c r="AN4" s="791" t="s">
        <v>403</v>
      </c>
      <c r="AO4" s="791" t="s">
        <v>405</v>
      </c>
      <c r="AP4" s="791" t="s">
        <v>406</v>
      </c>
      <c r="AQ4" s="791" t="s">
        <v>408</v>
      </c>
      <c r="AR4" s="791" t="s">
        <v>410</v>
      </c>
      <c r="AS4" s="791" t="s">
        <v>410</v>
      </c>
      <c r="AT4" s="791" t="s">
        <v>410</v>
      </c>
      <c r="AU4" s="791" t="s">
        <v>410</v>
      </c>
      <c r="AV4" s="791" t="s">
        <v>410</v>
      </c>
      <c r="AW4" s="791" t="s">
        <v>410</v>
      </c>
      <c r="AX4" s="791" t="s">
        <v>410</v>
      </c>
      <c r="AY4" s="791" t="s">
        <v>412</v>
      </c>
      <c r="AZ4" s="791" t="s">
        <v>412</v>
      </c>
      <c r="BA4" s="791" t="s">
        <v>414</v>
      </c>
      <c r="BB4" s="791" t="s">
        <v>412</v>
      </c>
      <c r="BC4" s="791" t="s">
        <v>416</v>
      </c>
      <c r="BD4" s="791" t="s">
        <v>418</v>
      </c>
      <c r="BE4" s="791" t="s">
        <v>421</v>
      </c>
      <c r="BF4" s="791" t="s">
        <v>421</v>
      </c>
      <c r="BG4" s="791" t="s">
        <v>421</v>
      </c>
      <c r="BH4" s="791" t="s">
        <v>412</v>
      </c>
      <c r="BI4" s="791" t="s">
        <v>423</v>
      </c>
      <c r="BN4" s="791" t="s">
        <v>433</v>
      </c>
      <c r="BO4" s="791" t="s">
        <v>433</v>
      </c>
      <c r="BP4" s="791" t="s">
        <v>440</v>
      </c>
      <c r="BR4" s="791" t="s">
        <v>443</v>
      </c>
      <c r="BS4" s="791" t="s">
        <v>445</v>
      </c>
      <c r="BT4" s="791" t="s">
        <v>447</v>
      </c>
      <c r="BU4" s="791" t="s">
        <v>449</v>
      </c>
      <c r="BV4" s="791" t="s">
        <v>449</v>
      </c>
      <c r="BW4" s="791" t="s">
        <v>449</v>
      </c>
      <c r="BX4" s="791" t="s">
        <v>449</v>
      </c>
      <c r="BY4" s="791" t="s">
        <v>449</v>
      </c>
      <c r="CD4" s="791" t="s">
        <v>341</v>
      </c>
      <c r="CE4" s="791" t="s">
        <v>341</v>
      </c>
      <c r="CG4" s="791" t="s">
        <v>412</v>
      </c>
      <c r="CH4" s="791" t="s">
        <v>412</v>
      </c>
    </row>
    <row r="5" spans="1:131" ht="15.75" customHeight="1">
      <c r="E5" s="792"/>
      <c r="F5" s="792"/>
      <c r="G5" s="792"/>
      <c r="H5" s="792"/>
      <c r="I5" s="845" t="s">
        <v>461</v>
      </c>
      <c r="J5" s="846"/>
      <c r="K5" s="846"/>
      <c r="L5" s="846"/>
      <c r="M5" s="846"/>
      <c r="N5" s="846"/>
      <c r="O5" s="846"/>
      <c r="P5" s="846"/>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c r="AW5" s="846"/>
      <c r="AX5" s="846"/>
      <c r="AY5" s="846"/>
      <c r="AZ5" s="846"/>
      <c r="BA5" s="846"/>
      <c r="BB5" s="846"/>
      <c r="BC5" s="846"/>
      <c r="BD5" s="846"/>
      <c r="BE5" s="846"/>
      <c r="BF5" s="846"/>
      <c r="BG5" s="846"/>
      <c r="BH5" s="846"/>
      <c r="BI5" s="846"/>
      <c r="BJ5" s="846"/>
      <c r="BK5" s="846"/>
      <c r="BL5" s="846"/>
      <c r="BM5" s="847"/>
      <c r="BN5" s="848" t="s">
        <v>462</v>
      </c>
      <c r="BO5" s="849"/>
      <c r="BP5" s="849"/>
      <c r="BQ5" s="849"/>
      <c r="BR5" s="849"/>
      <c r="BS5" s="849"/>
      <c r="BT5" s="849"/>
      <c r="BU5" s="849"/>
      <c r="BV5" s="849"/>
      <c r="BW5" s="849"/>
      <c r="BX5" s="849"/>
      <c r="BY5" s="849"/>
      <c r="BZ5" s="849"/>
      <c r="CA5" s="849"/>
      <c r="CB5" s="849"/>
      <c r="CC5" s="850"/>
      <c r="CD5" s="851" t="s">
        <v>463</v>
      </c>
      <c r="CE5" s="852"/>
      <c r="CF5" s="852"/>
      <c r="CG5" s="852"/>
      <c r="CH5" s="852"/>
      <c r="CI5" s="852"/>
      <c r="CJ5" s="852"/>
      <c r="CK5" s="852"/>
      <c r="CL5" s="853"/>
      <c r="CM5" s="854" t="s">
        <v>464</v>
      </c>
      <c r="CN5" s="854"/>
      <c r="CO5" s="854"/>
      <c r="CP5" s="854"/>
      <c r="CQ5" s="854"/>
      <c r="CR5" s="854"/>
      <c r="CS5" s="855" t="s">
        <v>465</v>
      </c>
      <c r="CT5" s="856"/>
      <c r="CU5" s="856"/>
      <c r="CV5" s="856"/>
      <c r="CW5" s="856"/>
      <c r="CX5" s="856"/>
      <c r="CY5" s="856"/>
      <c r="CZ5" s="856"/>
      <c r="DA5" s="856"/>
      <c r="DB5" s="857"/>
      <c r="DC5" s="836" t="s">
        <v>466</v>
      </c>
      <c r="DD5" s="837"/>
      <c r="DE5" s="837"/>
      <c r="DF5" s="837"/>
      <c r="DG5" s="837"/>
      <c r="DH5" s="837"/>
      <c r="DI5" s="837"/>
      <c r="DJ5" s="837"/>
      <c r="DK5" s="838"/>
      <c r="DL5" s="839" t="s">
        <v>467</v>
      </c>
      <c r="DM5" s="839"/>
      <c r="DN5" s="839"/>
      <c r="DO5" s="839"/>
      <c r="DP5" s="839"/>
      <c r="DQ5" s="839"/>
      <c r="DR5" s="839"/>
      <c r="DS5" s="839"/>
      <c r="DT5" s="839"/>
      <c r="DU5" s="840" t="s">
        <v>468</v>
      </c>
      <c r="DV5" s="840"/>
      <c r="DW5" s="841" t="s">
        <v>469</v>
      </c>
      <c r="DX5" s="841"/>
      <c r="DY5" s="102"/>
      <c r="DZ5" s="102"/>
      <c r="EA5" s="103"/>
    </row>
    <row r="6" spans="1:131" ht="124.8">
      <c r="E6" s="104" t="s">
        <v>471</v>
      </c>
      <c r="F6" s="104" t="s">
        <v>472</v>
      </c>
      <c r="G6" s="104" t="s">
        <v>473</v>
      </c>
      <c r="H6" s="104" t="s">
        <v>474</v>
      </c>
      <c r="I6" s="105" t="s">
        <v>475</v>
      </c>
      <c r="J6" s="105" t="s">
        <v>80</v>
      </c>
      <c r="K6" s="105" t="s">
        <v>476</v>
      </c>
      <c r="L6" s="105" t="s">
        <v>84</v>
      </c>
      <c r="M6" s="105" t="s">
        <v>86</v>
      </c>
      <c r="N6" s="105" t="s">
        <v>88</v>
      </c>
      <c r="O6" s="105" t="s">
        <v>477</v>
      </c>
      <c r="P6" s="105" t="s">
        <v>93</v>
      </c>
      <c r="Q6" s="105" t="s">
        <v>95</v>
      </c>
      <c r="R6" s="105" t="s">
        <v>97</v>
      </c>
      <c r="S6" s="105" t="s">
        <v>99</v>
      </c>
      <c r="T6" s="105" t="s">
        <v>101</v>
      </c>
      <c r="U6" s="105" t="s">
        <v>478</v>
      </c>
      <c r="V6" s="105" t="s">
        <v>105</v>
      </c>
      <c r="W6" s="105" t="s">
        <v>479</v>
      </c>
      <c r="X6" s="105" t="s">
        <v>480</v>
      </c>
      <c r="Y6" s="105" t="s">
        <v>111</v>
      </c>
      <c r="Z6" s="105" t="s">
        <v>481</v>
      </c>
      <c r="AA6" s="105" t="s">
        <v>115</v>
      </c>
      <c r="AB6" s="105" t="s">
        <v>117</v>
      </c>
      <c r="AC6" s="105" t="s">
        <v>119</v>
      </c>
      <c r="AD6" s="105" t="s">
        <v>121</v>
      </c>
      <c r="AE6" s="105" t="s">
        <v>123</v>
      </c>
      <c r="AF6" s="105" t="s">
        <v>125</v>
      </c>
      <c r="AG6" s="105" t="s">
        <v>482</v>
      </c>
      <c r="AH6" s="105" t="s">
        <v>129</v>
      </c>
      <c r="AI6" s="105" t="s">
        <v>131</v>
      </c>
      <c r="AJ6" s="105" t="s">
        <v>133</v>
      </c>
      <c r="AK6" s="105" t="s">
        <v>135</v>
      </c>
      <c r="AL6" s="105" t="s">
        <v>137</v>
      </c>
      <c r="AM6" s="105" t="s">
        <v>139</v>
      </c>
      <c r="AN6" s="105" t="s">
        <v>141</v>
      </c>
      <c r="AO6" s="105" t="s">
        <v>143</v>
      </c>
      <c r="AP6" s="105" t="s">
        <v>145</v>
      </c>
      <c r="AQ6" s="105" t="s">
        <v>483</v>
      </c>
      <c r="AR6" s="105" t="s">
        <v>150</v>
      </c>
      <c r="AS6" s="105" t="s">
        <v>152</v>
      </c>
      <c r="AT6" s="105" t="s">
        <v>154</v>
      </c>
      <c r="AU6" s="105" t="s">
        <v>156</v>
      </c>
      <c r="AV6" s="105" t="s">
        <v>158</v>
      </c>
      <c r="AW6" s="105" t="s">
        <v>160</v>
      </c>
      <c r="AX6" s="105" t="s">
        <v>162</v>
      </c>
      <c r="AY6" s="105" t="s">
        <v>484</v>
      </c>
      <c r="AZ6" s="105" t="s">
        <v>166</v>
      </c>
      <c r="BA6" s="105" t="s">
        <v>168</v>
      </c>
      <c r="BB6" s="105" t="s">
        <v>170</v>
      </c>
      <c r="BC6" s="105" t="s">
        <v>172</v>
      </c>
      <c r="BD6" s="105" t="s">
        <v>174</v>
      </c>
      <c r="BE6" s="105" t="s">
        <v>176</v>
      </c>
      <c r="BF6" s="105" t="s">
        <v>179</v>
      </c>
      <c r="BG6" s="105" t="s">
        <v>181</v>
      </c>
      <c r="BH6" s="105" t="s">
        <v>183</v>
      </c>
      <c r="BI6" s="105" t="s">
        <v>185</v>
      </c>
      <c r="BJ6" s="105" t="s">
        <v>485</v>
      </c>
      <c r="BK6" s="105" t="s">
        <v>486</v>
      </c>
      <c r="BL6" s="105" t="s">
        <v>487</v>
      </c>
      <c r="BM6" s="105" t="s">
        <v>488</v>
      </c>
      <c r="BN6" s="106" t="s">
        <v>489</v>
      </c>
      <c r="BO6" s="106" t="s">
        <v>195</v>
      </c>
      <c r="BP6" s="106" t="s">
        <v>197</v>
      </c>
      <c r="BQ6" s="106" t="s">
        <v>490</v>
      </c>
      <c r="BR6" s="106" t="s">
        <v>201</v>
      </c>
      <c r="BS6" s="106" t="s">
        <v>491</v>
      </c>
      <c r="BT6" s="106" t="s">
        <v>205</v>
      </c>
      <c r="BU6" s="106" t="s">
        <v>150</v>
      </c>
      <c r="BV6" s="106" t="s">
        <v>152</v>
      </c>
      <c r="BW6" s="106" t="s">
        <v>156</v>
      </c>
      <c r="BX6" s="106" t="s">
        <v>210</v>
      </c>
      <c r="BY6" s="106" t="s">
        <v>160</v>
      </c>
      <c r="BZ6" s="106" t="s">
        <v>492</v>
      </c>
      <c r="CA6" s="106" t="s">
        <v>493</v>
      </c>
      <c r="CB6" s="106" t="s">
        <v>494</v>
      </c>
      <c r="CC6" s="106" t="s">
        <v>495</v>
      </c>
      <c r="CD6" s="107" t="s">
        <v>496</v>
      </c>
      <c r="CE6" s="107" t="s">
        <v>222</v>
      </c>
      <c r="CF6" s="107" t="s">
        <v>497</v>
      </c>
      <c r="CG6" s="107" t="s">
        <v>226</v>
      </c>
      <c r="CH6" s="107" t="s">
        <v>228</v>
      </c>
      <c r="CI6" s="107" t="s">
        <v>498</v>
      </c>
      <c r="CJ6" s="107" t="s">
        <v>499</v>
      </c>
      <c r="CK6" s="107" t="s">
        <v>500</v>
      </c>
      <c r="CL6" s="107" t="s">
        <v>501</v>
      </c>
      <c r="CM6" s="98" t="s">
        <v>235</v>
      </c>
      <c r="CN6" s="98" t="s">
        <v>237</v>
      </c>
      <c r="CO6" s="98" t="s">
        <v>502</v>
      </c>
      <c r="CP6" s="98" t="s">
        <v>241</v>
      </c>
      <c r="CQ6" s="98" t="s">
        <v>243</v>
      </c>
      <c r="CR6" s="98" t="s">
        <v>503</v>
      </c>
      <c r="CS6" s="108" t="s">
        <v>504</v>
      </c>
      <c r="CT6" s="108" t="s">
        <v>505</v>
      </c>
      <c r="CU6" s="108" t="s">
        <v>506</v>
      </c>
      <c r="CV6" s="108" t="s">
        <v>257</v>
      </c>
      <c r="CW6" s="108" t="s">
        <v>258</v>
      </c>
      <c r="CX6" s="108" t="s">
        <v>507</v>
      </c>
      <c r="CY6" s="108" t="s">
        <v>508</v>
      </c>
      <c r="CZ6" s="108" t="s">
        <v>509</v>
      </c>
      <c r="DA6" s="108" t="s">
        <v>510</v>
      </c>
      <c r="DB6" s="108" t="s">
        <v>511</v>
      </c>
      <c r="DC6" s="109" t="s">
        <v>504</v>
      </c>
      <c r="DD6" s="109" t="s">
        <v>505</v>
      </c>
      <c r="DE6" s="109" t="s">
        <v>506</v>
      </c>
      <c r="DF6" s="109" t="s">
        <v>257</v>
      </c>
      <c r="DG6" s="109" t="s">
        <v>258</v>
      </c>
      <c r="DH6" s="109" t="s">
        <v>512</v>
      </c>
      <c r="DI6" s="109" t="s">
        <v>509</v>
      </c>
      <c r="DJ6" s="109" t="s">
        <v>510</v>
      </c>
      <c r="DK6" s="109" t="s">
        <v>511</v>
      </c>
      <c r="DL6" s="99" t="s">
        <v>265</v>
      </c>
      <c r="DM6" s="99" t="s">
        <v>267</v>
      </c>
      <c r="DN6" s="99" t="s">
        <v>513</v>
      </c>
      <c r="DO6" s="99" t="s">
        <v>514</v>
      </c>
      <c r="DP6" s="99" t="s">
        <v>270</v>
      </c>
      <c r="DQ6" s="99" t="s">
        <v>272</v>
      </c>
      <c r="DR6" s="99" t="s">
        <v>515</v>
      </c>
      <c r="DS6" s="99" t="s">
        <v>516</v>
      </c>
      <c r="DT6" s="99" t="s">
        <v>517</v>
      </c>
      <c r="DU6" s="110" t="s">
        <v>265</v>
      </c>
      <c r="DV6" s="110" t="s">
        <v>267</v>
      </c>
      <c r="DW6" s="111" t="s">
        <v>270</v>
      </c>
      <c r="DX6" s="111" t="s">
        <v>272</v>
      </c>
      <c r="DY6" s="112" t="s">
        <v>518</v>
      </c>
      <c r="DZ6" s="112" t="s">
        <v>519</v>
      </c>
      <c r="EA6" s="113" t="s">
        <v>520</v>
      </c>
    </row>
    <row r="7" spans="1:131" ht="46.8">
      <c r="A7" s="781" t="s">
        <v>1293</v>
      </c>
      <c r="B7" s="781" t="s">
        <v>1162</v>
      </c>
      <c r="C7" s="781" t="s">
        <v>315</v>
      </c>
      <c r="D7" s="781" t="s">
        <v>526</v>
      </c>
      <c r="E7" s="119"/>
      <c r="F7" s="119"/>
      <c r="G7" s="119"/>
      <c r="H7" s="119"/>
      <c r="I7" s="120" t="s">
        <v>77</v>
      </c>
      <c r="J7" s="120" t="s">
        <v>79</v>
      </c>
      <c r="K7" s="120" t="s">
        <v>81</v>
      </c>
      <c r="L7" s="120" t="s">
        <v>83</v>
      </c>
      <c r="M7" s="120" t="s">
        <v>85</v>
      </c>
      <c r="N7" s="120" t="s">
        <v>87</v>
      </c>
      <c r="O7" s="120" t="s">
        <v>89</v>
      </c>
      <c r="P7" s="120" t="s">
        <v>92</v>
      </c>
      <c r="Q7" s="120" t="s">
        <v>94</v>
      </c>
      <c r="R7" s="120" t="s">
        <v>96</v>
      </c>
      <c r="S7" s="120" t="s">
        <v>98</v>
      </c>
      <c r="T7" s="120" t="s">
        <v>100</v>
      </c>
      <c r="U7" s="120" t="s">
        <v>102</v>
      </c>
      <c r="V7" s="120" t="s">
        <v>104</v>
      </c>
      <c r="W7" s="120" t="s">
        <v>106</v>
      </c>
      <c r="X7" s="121" t="s">
        <v>480</v>
      </c>
      <c r="Y7" s="120" t="s">
        <v>110</v>
      </c>
      <c r="Z7" s="120" t="s">
        <v>112</v>
      </c>
      <c r="AA7" s="120" t="s">
        <v>114</v>
      </c>
      <c r="AB7" s="120" t="s">
        <v>116</v>
      </c>
      <c r="AC7" s="120" t="s">
        <v>118</v>
      </c>
      <c r="AD7" s="120" t="s">
        <v>120</v>
      </c>
      <c r="AE7" s="120" t="s">
        <v>122</v>
      </c>
      <c r="AF7" s="120" t="s">
        <v>124</v>
      </c>
      <c r="AG7" s="120" t="s">
        <v>126</v>
      </c>
      <c r="AH7" s="120" t="s">
        <v>128</v>
      </c>
      <c r="AI7" s="120" t="s">
        <v>130</v>
      </c>
      <c r="AJ7" s="120" t="s">
        <v>132</v>
      </c>
      <c r="AK7" s="120" t="s">
        <v>134</v>
      </c>
      <c r="AL7" s="120" t="s">
        <v>136</v>
      </c>
      <c r="AM7" s="120" t="s">
        <v>138</v>
      </c>
      <c r="AN7" s="120" t="s">
        <v>140</v>
      </c>
      <c r="AO7" s="120" t="s">
        <v>142</v>
      </c>
      <c r="AP7" s="120" t="s">
        <v>144</v>
      </c>
      <c r="AQ7" s="120" t="s">
        <v>146</v>
      </c>
      <c r="AR7" s="120" t="s">
        <v>149</v>
      </c>
      <c r="AS7" s="120" t="s">
        <v>151</v>
      </c>
      <c r="AT7" s="120" t="s">
        <v>153</v>
      </c>
      <c r="AU7" s="120" t="s">
        <v>155</v>
      </c>
      <c r="AV7" s="120" t="s">
        <v>157</v>
      </c>
      <c r="AW7" s="120" t="s">
        <v>159</v>
      </c>
      <c r="AX7" s="120" t="s">
        <v>161</v>
      </c>
      <c r="AY7" s="120" t="s">
        <v>163</v>
      </c>
      <c r="AZ7" s="120" t="s">
        <v>165</v>
      </c>
      <c r="BA7" s="120" t="s">
        <v>167</v>
      </c>
      <c r="BB7" s="120" t="s">
        <v>169</v>
      </c>
      <c r="BC7" s="120" t="s">
        <v>171</v>
      </c>
      <c r="BD7" s="120" t="s">
        <v>173</v>
      </c>
      <c r="BE7" s="120" t="s">
        <v>175</v>
      </c>
      <c r="BF7" s="120" t="s">
        <v>178</v>
      </c>
      <c r="BG7" s="120" t="s">
        <v>180</v>
      </c>
      <c r="BH7" s="120" t="s">
        <v>182</v>
      </c>
      <c r="BI7" s="120" t="s">
        <v>184</v>
      </c>
      <c r="BJ7" s="120" t="s">
        <v>485</v>
      </c>
      <c r="BK7" s="120" t="s">
        <v>486</v>
      </c>
      <c r="BL7" s="120" t="s">
        <v>487</v>
      </c>
      <c r="BM7" s="120" t="s">
        <v>488</v>
      </c>
      <c r="BN7" s="122" t="s">
        <v>192</v>
      </c>
      <c r="BO7" s="122" t="s">
        <v>194</v>
      </c>
      <c r="BP7" s="122" t="s">
        <v>196</v>
      </c>
      <c r="BQ7" s="122" t="s">
        <v>490</v>
      </c>
      <c r="BR7" s="122" t="s">
        <v>200</v>
      </c>
      <c r="BS7" s="122" t="s">
        <v>202</v>
      </c>
      <c r="BT7" s="122" t="s">
        <v>204</v>
      </c>
      <c r="BU7" s="122" t="s">
        <v>206</v>
      </c>
      <c r="BV7" s="122" t="s">
        <v>207</v>
      </c>
      <c r="BW7" s="122" t="s">
        <v>208</v>
      </c>
      <c r="BX7" s="122" t="s">
        <v>209</v>
      </c>
      <c r="BY7" s="122" t="s">
        <v>212</v>
      </c>
      <c r="BZ7" s="122" t="s">
        <v>492</v>
      </c>
      <c r="CA7" s="122" t="s">
        <v>493</v>
      </c>
      <c r="CB7" s="122" t="s">
        <v>494</v>
      </c>
      <c r="CC7" s="122" t="s">
        <v>495</v>
      </c>
      <c r="CD7" s="123" t="s">
        <v>219</v>
      </c>
      <c r="CE7" s="123" t="s">
        <v>221</v>
      </c>
      <c r="CF7" s="123" t="s">
        <v>497</v>
      </c>
      <c r="CG7" s="123" t="s">
        <v>225</v>
      </c>
      <c r="CH7" s="123" t="s">
        <v>227</v>
      </c>
      <c r="CI7" s="123" t="s">
        <v>498</v>
      </c>
      <c r="CJ7" s="123" t="s">
        <v>499</v>
      </c>
      <c r="CK7" s="123" t="s">
        <v>500</v>
      </c>
      <c r="CL7" s="123" t="s">
        <v>501</v>
      </c>
      <c r="CM7" s="124" t="s">
        <v>234</v>
      </c>
      <c r="CN7" s="124" t="s">
        <v>236</v>
      </c>
      <c r="CO7" s="124" t="s">
        <v>238</v>
      </c>
      <c r="CP7" s="124" t="s">
        <v>240</v>
      </c>
      <c r="CQ7" s="124" t="s">
        <v>242</v>
      </c>
      <c r="CR7" s="124"/>
      <c r="CS7" s="125"/>
      <c r="CT7" s="125"/>
      <c r="CU7" s="125"/>
      <c r="CV7" s="125"/>
      <c r="CW7" s="125"/>
      <c r="CX7" s="125"/>
      <c r="CY7" s="125"/>
      <c r="CZ7" s="125"/>
      <c r="DA7" s="125"/>
      <c r="DB7" s="125"/>
      <c r="DC7" s="126"/>
      <c r="DD7" s="126"/>
      <c r="DE7" s="126"/>
      <c r="DF7" s="126"/>
      <c r="DG7" s="126"/>
      <c r="DH7" s="126"/>
      <c r="DI7" s="126"/>
      <c r="DJ7" s="126"/>
      <c r="DK7" s="126"/>
      <c r="DL7" s="127"/>
      <c r="DM7" s="127"/>
      <c r="DN7" s="127"/>
      <c r="DO7" s="127"/>
      <c r="DP7" s="127"/>
      <c r="DQ7" s="127"/>
      <c r="DR7" s="127"/>
      <c r="DS7" s="127"/>
      <c r="DT7" s="127"/>
      <c r="DU7" s="100"/>
      <c r="DV7" s="100"/>
      <c r="DW7" s="101"/>
      <c r="DX7" s="101"/>
      <c r="DY7" s="128"/>
      <c r="DZ7" s="128"/>
      <c r="EA7" s="129"/>
    </row>
    <row r="8" spans="1:131" ht="15.6">
      <c r="A8" s="782" t="s">
        <v>1294</v>
      </c>
      <c r="B8" s="782" t="s">
        <v>532</v>
      </c>
      <c r="C8" s="783">
        <v>1027</v>
      </c>
      <c r="D8" s="784" t="s">
        <v>533</v>
      </c>
      <c r="E8" s="785" t="s">
        <v>521</v>
      </c>
      <c r="F8" s="786">
        <v>46094</v>
      </c>
      <c r="G8" s="785" t="s">
        <v>5</v>
      </c>
      <c r="H8" s="785" t="str">
        <f>B8</f>
        <v>AX001</v>
      </c>
      <c r="I8" s="787">
        <v>0</v>
      </c>
      <c r="J8" s="787">
        <v>0</v>
      </c>
      <c r="K8" s="787">
        <v>0</v>
      </c>
      <c r="L8" s="787">
        <v>0</v>
      </c>
      <c r="M8" s="787">
        <v>0</v>
      </c>
      <c r="N8" s="787">
        <v>0</v>
      </c>
      <c r="O8" s="787">
        <v>0</v>
      </c>
      <c r="P8" s="787">
        <v>48824</v>
      </c>
      <c r="Q8" s="787">
        <v>81378.44</v>
      </c>
      <c r="R8" s="787">
        <v>1652</v>
      </c>
      <c r="S8" s="787">
        <v>0</v>
      </c>
      <c r="T8" s="787">
        <v>0</v>
      </c>
      <c r="U8" s="787">
        <v>1361</v>
      </c>
      <c r="V8" s="787">
        <v>40101.1</v>
      </c>
      <c r="W8" s="787">
        <v>0</v>
      </c>
      <c r="X8" s="787">
        <f>SUM(I8:W8)</f>
        <v>173316.54</v>
      </c>
      <c r="Y8" s="787">
        <v>226168.78</v>
      </c>
      <c r="Z8" s="787">
        <v>0</v>
      </c>
      <c r="AA8" s="787">
        <v>355984.91</v>
      </c>
      <c r="AB8" s="787">
        <v>0</v>
      </c>
      <c r="AC8" s="787">
        <v>27242.27</v>
      </c>
      <c r="AD8" s="787">
        <v>0</v>
      </c>
      <c r="AE8" s="787">
        <v>0</v>
      </c>
      <c r="AF8" s="787">
        <v>38285.08</v>
      </c>
      <c r="AG8" s="787">
        <v>1560.9</v>
      </c>
      <c r="AH8" s="787">
        <v>0</v>
      </c>
      <c r="AI8" s="787">
        <v>0</v>
      </c>
      <c r="AJ8" s="787">
        <v>7304.69</v>
      </c>
      <c r="AK8" s="787">
        <v>0</v>
      </c>
      <c r="AL8" s="787">
        <v>31778.73</v>
      </c>
      <c r="AM8" s="787">
        <v>2743.31</v>
      </c>
      <c r="AN8" s="787">
        <v>17727.41</v>
      </c>
      <c r="AO8" s="787">
        <v>0</v>
      </c>
      <c r="AP8" s="787">
        <v>9067.19</v>
      </c>
      <c r="AQ8" s="787">
        <v>16457.53</v>
      </c>
      <c r="AR8" s="787">
        <v>1430.74</v>
      </c>
      <c r="AS8" s="787">
        <v>0</v>
      </c>
      <c r="AT8" s="787">
        <v>0</v>
      </c>
      <c r="AU8" s="787">
        <v>0</v>
      </c>
      <c r="AV8" s="787">
        <v>0</v>
      </c>
      <c r="AW8" s="787">
        <v>0</v>
      </c>
      <c r="AX8" s="787">
        <v>0</v>
      </c>
      <c r="AY8" s="787">
        <v>0</v>
      </c>
      <c r="AZ8" s="787">
        <v>13108.51</v>
      </c>
      <c r="BA8" s="787">
        <v>0</v>
      </c>
      <c r="BB8" s="787">
        <v>0</v>
      </c>
      <c r="BC8" s="787">
        <v>7876.45</v>
      </c>
      <c r="BD8" s="787">
        <v>25588.84</v>
      </c>
      <c r="BE8" s="787">
        <v>0</v>
      </c>
      <c r="BF8" s="787">
        <v>63080.41</v>
      </c>
      <c r="BG8" s="787">
        <v>0</v>
      </c>
      <c r="BH8" s="787">
        <v>0</v>
      </c>
      <c r="BI8" s="787">
        <v>0</v>
      </c>
      <c r="BJ8" s="787">
        <f>SUM(Y8:BI8)</f>
        <v>845405.74999999988</v>
      </c>
      <c r="BK8" s="787"/>
      <c r="BL8" s="787"/>
      <c r="BM8" s="787"/>
      <c r="BN8" s="787">
        <v>0</v>
      </c>
      <c r="BO8" s="787">
        <v>0</v>
      </c>
      <c r="BP8" s="787">
        <v>0</v>
      </c>
      <c r="BQ8" s="787">
        <f>SUM(BN8:BP8)</f>
        <v>0</v>
      </c>
      <c r="BR8" s="787">
        <v>0</v>
      </c>
      <c r="BS8" s="787">
        <v>0</v>
      </c>
      <c r="BT8" s="787">
        <v>0</v>
      </c>
      <c r="BU8" s="787">
        <v>0</v>
      </c>
      <c r="BV8" s="787">
        <v>0</v>
      </c>
      <c r="BW8" s="787">
        <v>0</v>
      </c>
      <c r="BX8" s="787">
        <v>0</v>
      </c>
      <c r="BY8" s="787">
        <v>0</v>
      </c>
      <c r="BZ8" s="787">
        <f>SUM(BR8:BY8)</f>
        <v>0</v>
      </c>
      <c r="CA8" s="787"/>
      <c r="CB8" s="787"/>
      <c r="CC8" s="787"/>
      <c r="CD8" s="787">
        <v>0</v>
      </c>
      <c r="CE8" s="787">
        <v>0</v>
      </c>
      <c r="CF8" s="787">
        <f>SUM(CD8:CE8)</f>
        <v>0</v>
      </c>
      <c r="CG8" s="787">
        <v>0</v>
      </c>
      <c r="CH8" s="787">
        <v>0</v>
      </c>
      <c r="CI8" s="787">
        <f>SUM(CG8:CH8)</f>
        <v>0</v>
      </c>
      <c r="CJ8" s="787"/>
      <c r="CK8" s="787"/>
      <c r="CL8" s="787"/>
      <c r="CM8" s="787"/>
      <c r="CN8" s="787"/>
      <c r="CO8" s="787"/>
      <c r="CP8" s="787"/>
      <c r="CQ8" s="787"/>
      <c r="CR8" s="787"/>
      <c r="CS8" s="787">
        <v>444983.78</v>
      </c>
      <c r="CT8" s="787">
        <v>10536.36</v>
      </c>
      <c r="CU8" s="787">
        <v>0</v>
      </c>
      <c r="CV8" s="787">
        <v>434447.42000000004</v>
      </c>
      <c r="CW8" s="787">
        <v>0</v>
      </c>
      <c r="CX8" s="787">
        <v>2865.4</v>
      </c>
      <c r="CY8" s="787">
        <v>1278.19</v>
      </c>
      <c r="CZ8" s="787">
        <v>113.77</v>
      </c>
      <c r="DA8" s="787">
        <v>0</v>
      </c>
      <c r="DB8" s="787">
        <v>438704.78000000009</v>
      </c>
      <c r="DC8" s="787">
        <v>0</v>
      </c>
      <c r="DD8" s="787">
        <v>0</v>
      </c>
      <c r="DE8" s="787">
        <v>0</v>
      </c>
      <c r="DF8" s="787">
        <v>0</v>
      </c>
      <c r="DG8" s="787"/>
      <c r="DH8" s="787"/>
      <c r="DI8" s="787"/>
      <c r="DJ8" s="787">
        <v>0</v>
      </c>
      <c r="DK8" s="787">
        <v>0</v>
      </c>
      <c r="DL8" s="787">
        <v>0</v>
      </c>
      <c r="DM8" s="787">
        <v>0</v>
      </c>
      <c r="DN8" s="787">
        <v>0</v>
      </c>
      <c r="DO8" s="787">
        <v>0</v>
      </c>
      <c r="DP8" s="787">
        <v>0</v>
      </c>
      <c r="DQ8" s="787">
        <v>0</v>
      </c>
      <c r="DR8" s="787">
        <v>0</v>
      </c>
      <c r="DS8" s="787">
        <v>0</v>
      </c>
      <c r="DT8" s="787">
        <v>0</v>
      </c>
      <c r="DU8" s="787">
        <v>0</v>
      </c>
      <c r="DV8" s="787">
        <v>0</v>
      </c>
      <c r="DW8" s="787">
        <v>0</v>
      </c>
      <c r="DX8" s="787">
        <v>0</v>
      </c>
      <c r="DY8" s="787">
        <v>0</v>
      </c>
      <c r="DZ8" s="787">
        <v>-48742.52</v>
      </c>
      <c r="EA8" s="787">
        <v>0.48531347181415185</v>
      </c>
    </row>
    <row r="9" spans="1:131" ht="15.6">
      <c r="A9" s="782" t="s">
        <v>1295</v>
      </c>
      <c r="B9" s="782" t="s">
        <v>536</v>
      </c>
      <c r="C9" s="783">
        <v>2010</v>
      </c>
      <c r="D9" s="784" t="s">
        <v>537</v>
      </c>
      <c r="E9" s="785" t="s">
        <v>521</v>
      </c>
      <c r="F9" s="786">
        <v>46094</v>
      </c>
      <c r="G9" s="785" t="s">
        <v>5</v>
      </c>
      <c r="H9" s="785" t="str">
        <f t="shared" ref="H9:H72" si="0">B9</f>
        <v>AX085</v>
      </c>
      <c r="I9" s="787">
        <v>0</v>
      </c>
      <c r="J9" s="787">
        <v>0</v>
      </c>
      <c r="K9" s="787">
        <v>0</v>
      </c>
      <c r="L9" s="787">
        <v>0</v>
      </c>
      <c r="M9" s="787">
        <v>0</v>
      </c>
      <c r="N9" s="787">
        <v>0</v>
      </c>
      <c r="O9" s="787">
        <v>0</v>
      </c>
      <c r="P9" s="787">
        <v>0</v>
      </c>
      <c r="Q9" s="787">
        <v>876.59</v>
      </c>
      <c r="R9" s="787">
        <v>21052.36</v>
      </c>
      <c r="S9" s="787">
        <v>0</v>
      </c>
      <c r="T9" s="787">
        <v>0</v>
      </c>
      <c r="U9" s="787">
        <v>13445.529999999999</v>
      </c>
      <c r="V9" s="787">
        <v>35995.81</v>
      </c>
      <c r="W9" s="787">
        <v>0</v>
      </c>
      <c r="X9" s="787">
        <f t="shared" ref="X9:X72" si="1">SUM(I9:W9)</f>
        <v>71370.289999999994</v>
      </c>
      <c r="Y9" s="787">
        <v>1219158.4099999999</v>
      </c>
      <c r="Z9" s="787">
        <v>0</v>
      </c>
      <c r="AA9" s="787">
        <v>367585.31</v>
      </c>
      <c r="AB9" s="787">
        <v>153725.29</v>
      </c>
      <c r="AC9" s="787">
        <v>144141.68</v>
      </c>
      <c r="AD9" s="787">
        <v>84641.98</v>
      </c>
      <c r="AE9" s="787">
        <v>49034.96</v>
      </c>
      <c r="AF9" s="787">
        <v>2339.79</v>
      </c>
      <c r="AG9" s="787">
        <v>1797.93</v>
      </c>
      <c r="AH9" s="787">
        <v>0</v>
      </c>
      <c r="AI9" s="787">
        <v>0</v>
      </c>
      <c r="AJ9" s="787">
        <v>25890.39</v>
      </c>
      <c r="AK9" s="787">
        <v>1383.34</v>
      </c>
      <c r="AL9" s="787">
        <v>3305.21</v>
      </c>
      <c r="AM9" s="787">
        <v>9479.8499999999985</v>
      </c>
      <c r="AN9" s="787">
        <v>54090.92</v>
      </c>
      <c r="AO9" s="787">
        <v>0</v>
      </c>
      <c r="AP9" s="787">
        <v>24864.06</v>
      </c>
      <c r="AQ9" s="787">
        <v>126434.48999999999</v>
      </c>
      <c r="AR9" s="787">
        <v>0</v>
      </c>
      <c r="AS9" s="787">
        <v>0</v>
      </c>
      <c r="AT9" s="787">
        <v>604.02</v>
      </c>
      <c r="AU9" s="787">
        <v>0</v>
      </c>
      <c r="AV9" s="787">
        <v>1240.04</v>
      </c>
      <c r="AW9" s="787">
        <v>27747</v>
      </c>
      <c r="AX9" s="787">
        <v>20467.2</v>
      </c>
      <c r="AY9" s="787">
        <v>0</v>
      </c>
      <c r="AZ9" s="787">
        <v>36068.39</v>
      </c>
      <c r="BA9" s="787">
        <v>1930.67</v>
      </c>
      <c r="BB9" s="787">
        <v>5682.5</v>
      </c>
      <c r="BC9" s="787">
        <v>42252.02</v>
      </c>
      <c r="BD9" s="787">
        <v>192287.98</v>
      </c>
      <c r="BE9" s="787">
        <v>12955.9</v>
      </c>
      <c r="BF9" s="787">
        <v>185561.94</v>
      </c>
      <c r="BG9" s="787">
        <v>0</v>
      </c>
      <c r="BH9" s="787">
        <v>0</v>
      </c>
      <c r="BI9" s="787">
        <v>0</v>
      </c>
      <c r="BJ9" s="787">
        <f t="shared" ref="BJ9:BJ72" si="2">SUM(Y9:BI9)</f>
        <v>2794671.2700000005</v>
      </c>
      <c r="BK9" s="787"/>
      <c r="BL9" s="787"/>
      <c r="BM9" s="787"/>
      <c r="BN9" s="787">
        <v>0</v>
      </c>
      <c r="BO9" s="787">
        <v>0</v>
      </c>
      <c r="BP9" s="787">
        <v>0</v>
      </c>
      <c r="BQ9" s="787">
        <f t="shared" ref="BQ9:BQ72" si="3">SUM(BN9:BP9)</f>
        <v>0</v>
      </c>
      <c r="BR9" s="787">
        <v>0</v>
      </c>
      <c r="BS9" s="787">
        <v>0</v>
      </c>
      <c r="BT9" s="787">
        <v>7821.99</v>
      </c>
      <c r="BU9" s="787">
        <v>0</v>
      </c>
      <c r="BV9" s="787">
        <v>0</v>
      </c>
      <c r="BW9" s="787">
        <v>0</v>
      </c>
      <c r="BX9" s="787">
        <v>0</v>
      </c>
      <c r="BY9" s="787">
        <v>0</v>
      </c>
      <c r="BZ9" s="787">
        <f t="shared" ref="BZ9:BZ72" si="4">SUM(BR9:BY9)</f>
        <v>7821.99</v>
      </c>
      <c r="CA9" s="787"/>
      <c r="CB9" s="787"/>
      <c r="CC9" s="787"/>
      <c r="CD9" s="787">
        <v>0</v>
      </c>
      <c r="CE9" s="787">
        <v>0</v>
      </c>
      <c r="CF9" s="787">
        <f t="shared" ref="CF9:CF72" si="5">SUM(CD9:CE9)</f>
        <v>0</v>
      </c>
      <c r="CG9" s="787">
        <v>0</v>
      </c>
      <c r="CH9" s="787">
        <v>0</v>
      </c>
      <c r="CI9" s="787">
        <f t="shared" ref="CI9:CI72" si="6">SUM(CG9:CH9)</f>
        <v>0</v>
      </c>
      <c r="CJ9" s="787"/>
      <c r="CK9" s="787"/>
      <c r="CL9" s="787"/>
      <c r="CM9" s="787"/>
      <c r="CN9" s="787"/>
      <c r="CO9" s="787"/>
      <c r="CP9" s="787"/>
      <c r="CQ9" s="787"/>
      <c r="CR9" s="787"/>
      <c r="CS9" s="787">
        <v>1025468.62</v>
      </c>
      <c r="CT9" s="787">
        <v>104678.87</v>
      </c>
      <c r="CU9" s="787">
        <v>10646.7</v>
      </c>
      <c r="CV9" s="787">
        <v>931436.45</v>
      </c>
      <c r="CW9" s="787">
        <v>0</v>
      </c>
      <c r="CX9" s="787">
        <v>15285.79</v>
      </c>
      <c r="CY9" s="787">
        <v>13440.86</v>
      </c>
      <c r="CZ9" s="787">
        <v>2213.7399999999998</v>
      </c>
      <c r="DA9" s="787">
        <v>1</v>
      </c>
      <c r="DB9" s="787">
        <v>962377.84</v>
      </c>
      <c r="DC9" s="787">
        <v>300776.46000000002</v>
      </c>
      <c r="DD9" s="787">
        <v>0</v>
      </c>
      <c r="DE9" s="787">
        <v>0</v>
      </c>
      <c r="DF9" s="787">
        <v>300776.46000000002</v>
      </c>
      <c r="DG9" s="787"/>
      <c r="DH9" s="787"/>
      <c r="DI9" s="787"/>
      <c r="DJ9" s="787">
        <v>0</v>
      </c>
      <c r="DK9" s="787">
        <v>300776.46000000002</v>
      </c>
      <c r="DL9" s="787">
        <v>619.22</v>
      </c>
      <c r="DM9" s="787">
        <v>0</v>
      </c>
      <c r="DN9" s="787">
        <v>0</v>
      </c>
      <c r="DO9" s="787">
        <v>0</v>
      </c>
      <c r="DP9" s="787">
        <v>-46384.85</v>
      </c>
      <c r="DQ9" s="787">
        <v>-1496</v>
      </c>
      <c r="DR9" s="787">
        <v>0</v>
      </c>
      <c r="DS9" s="787">
        <v>0</v>
      </c>
      <c r="DT9" s="787">
        <v>-47261.63</v>
      </c>
      <c r="DU9" s="787">
        <v>0</v>
      </c>
      <c r="DV9" s="787">
        <v>0</v>
      </c>
      <c r="DW9" s="787">
        <v>0</v>
      </c>
      <c r="DX9" s="787">
        <v>0</v>
      </c>
      <c r="DY9" s="787">
        <v>0</v>
      </c>
      <c r="DZ9" s="787">
        <v>-154622.44</v>
      </c>
      <c r="EA9" s="787">
        <v>-0.18385907355695963</v>
      </c>
    </row>
    <row r="10" spans="1:131" ht="15.6">
      <c r="A10" s="782" t="s">
        <v>1296</v>
      </c>
      <c r="B10" s="782" t="s">
        <v>539</v>
      </c>
      <c r="C10" s="783">
        <v>5949</v>
      </c>
      <c r="D10" s="784" t="s">
        <v>540</v>
      </c>
      <c r="E10" s="785" t="s">
        <v>521</v>
      </c>
      <c r="F10" s="786">
        <v>46093</v>
      </c>
      <c r="G10" s="785" t="s">
        <v>5</v>
      </c>
      <c r="H10" s="785" t="str">
        <f t="shared" si="0"/>
        <v>AX002</v>
      </c>
      <c r="I10" s="787">
        <v>0</v>
      </c>
      <c r="J10" s="787">
        <v>0</v>
      </c>
      <c r="K10" s="787">
        <v>0</v>
      </c>
      <c r="L10" s="787">
        <v>0</v>
      </c>
      <c r="M10" s="787">
        <v>0</v>
      </c>
      <c r="N10" s="787">
        <v>0</v>
      </c>
      <c r="O10" s="787">
        <v>0</v>
      </c>
      <c r="P10" s="787">
        <v>0</v>
      </c>
      <c r="Q10" s="787">
        <v>0</v>
      </c>
      <c r="R10" s="787">
        <v>0</v>
      </c>
      <c r="S10" s="787">
        <v>0</v>
      </c>
      <c r="T10" s="787">
        <v>0</v>
      </c>
      <c r="U10" s="787">
        <v>151650.29999999999</v>
      </c>
      <c r="V10" s="787">
        <v>0</v>
      </c>
      <c r="W10" s="787">
        <v>0</v>
      </c>
      <c r="X10" s="787">
        <f t="shared" si="1"/>
        <v>151650.29999999999</v>
      </c>
      <c r="Y10" s="787">
        <v>2185905.4700000002</v>
      </c>
      <c r="Z10" s="787">
        <v>56859</v>
      </c>
      <c r="AA10" s="787">
        <v>487878.42</v>
      </c>
      <c r="AB10" s="787">
        <v>36700.269999999997</v>
      </c>
      <c r="AC10" s="787">
        <v>183120.78</v>
      </c>
      <c r="AD10" s="787">
        <v>0</v>
      </c>
      <c r="AE10" s="787">
        <v>150681.69</v>
      </c>
      <c r="AF10" s="787">
        <v>3863</v>
      </c>
      <c r="AG10" s="787">
        <v>6425</v>
      </c>
      <c r="AH10" s="787">
        <v>0</v>
      </c>
      <c r="AI10" s="787">
        <v>0</v>
      </c>
      <c r="AJ10" s="787">
        <v>77840</v>
      </c>
      <c r="AK10" s="787">
        <v>200</v>
      </c>
      <c r="AL10" s="787">
        <v>63234</v>
      </c>
      <c r="AM10" s="787">
        <v>2003</v>
      </c>
      <c r="AN10" s="787">
        <v>69388.319999999992</v>
      </c>
      <c r="AO10" s="787">
        <v>0</v>
      </c>
      <c r="AP10" s="787">
        <v>66460</v>
      </c>
      <c r="AQ10" s="787">
        <v>207914.6</v>
      </c>
      <c r="AR10" s="787">
        <v>0</v>
      </c>
      <c r="AS10" s="787">
        <v>0</v>
      </c>
      <c r="AT10" s="787">
        <v>25437</v>
      </c>
      <c r="AU10" s="787">
        <v>0</v>
      </c>
      <c r="AV10" s="787">
        <v>0</v>
      </c>
      <c r="AW10" s="787">
        <v>3528</v>
      </c>
      <c r="AX10" s="787">
        <v>98</v>
      </c>
      <c r="AY10" s="787">
        <v>0</v>
      </c>
      <c r="AZ10" s="787">
        <v>26383</v>
      </c>
      <c r="BA10" s="787">
        <v>0</v>
      </c>
      <c r="BB10" s="787">
        <v>7455</v>
      </c>
      <c r="BC10" s="787">
        <v>174865</v>
      </c>
      <c r="BD10" s="787">
        <v>216496.98</v>
      </c>
      <c r="BE10" s="787">
        <v>750</v>
      </c>
      <c r="BF10" s="787">
        <v>126859</v>
      </c>
      <c r="BG10" s="787">
        <v>0</v>
      </c>
      <c r="BH10" s="787">
        <v>0</v>
      </c>
      <c r="BI10" s="787">
        <v>0</v>
      </c>
      <c r="BJ10" s="787">
        <f t="shared" si="2"/>
        <v>4180345.53</v>
      </c>
      <c r="BK10" s="787"/>
      <c r="BL10" s="787"/>
      <c r="BM10" s="787"/>
      <c r="BN10" s="787">
        <v>0</v>
      </c>
      <c r="BO10" s="787">
        <v>0</v>
      </c>
      <c r="BP10" s="787">
        <v>0</v>
      </c>
      <c r="BQ10" s="787">
        <f t="shared" si="3"/>
        <v>0</v>
      </c>
      <c r="BR10" s="787">
        <v>0</v>
      </c>
      <c r="BS10" s="787">
        <v>0</v>
      </c>
      <c r="BT10" s="787">
        <v>0</v>
      </c>
      <c r="BU10" s="787">
        <v>0</v>
      </c>
      <c r="BV10" s="787">
        <v>0</v>
      </c>
      <c r="BW10" s="787">
        <v>0</v>
      </c>
      <c r="BX10" s="787">
        <v>0</v>
      </c>
      <c r="BY10" s="787">
        <v>0</v>
      </c>
      <c r="BZ10" s="787">
        <f t="shared" si="4"/>
        <v>0</v>
      </c>
      <c r="CA10" s="787"/>
      <c r="CB10" s="787"/>
      <c r="CC10" s="787"/>
      <c r="CD10" s="787">
        <v>0</v>
      </c>
      <c r="CE10" s="787">
        <v>0</v>
      </c>
      <c r="CF10" s="787">
        <f t="shared" si="5"/>
        <v>0</v>
      </c>
      <c r="CG10" s="787">
        <v>0</v>
      </c>
      <c r="CH10" s="787">
        <v>0</v>
      </c>
      <c r="CI10" s="787">
        <f t="shared" si="6"/>
        <v>0</v>
      </c>
      <c r="CJ10" s="787"/>
      <c r="CK10" s="787"/>
      <c r="CL10" s="787"/>
      <c r="CM10" s="787"/>
      <c r="CN10" s="787"/>
      <c r="CO10" s="787"/>
      <c r="CP10" s="787"/>
      <c r="CQ10" s="787"/>
      <c r="CR10" s="787"/>
      <c r="CS10" s="787">
        <v>1734862.55</v>
      </c>
      <c r="CT10" s="787">
        <v>0</v>
      </c>
      <c r="CU10" s="787">
        <v>0</v>
      </c>
      <c r="CV10" s="787">
        <v>1734862.55</v>
      </c>
      <c r="CW10" s="787">
        <v>0</v>
      </c>
      <c r="CX10" s="787">
        <v>10246.969999999999</v>
      </c>
      <c r="CY10" s="787">
        <v>1251.5999999999999</v>
      </c>
      <c r="CZ10" s="787">
        <v>0</v>
      </c>
      <c r="DA10" s="787">
        <v>0</v>
      </c>
      <c r="DB10" s="787">
        <v>1746361.12</v>
      </c>
      <c r="DC10" s="787">
        <v>0</v>
      </c>
      <c r="DD10" s="787">
        <v>0</v>
      </c>
      <c r="DE10" s="787">
        <v>0</v>
      </c>
      <c r="DF10" s="787">
        <v>0</v>
      </c>
      <c r="DG10" s="787"/>
      <c r="DH10" s="787"/>
      <c r="DI10" s="787"/>
      <c r="DJ10" s="787">
        <v>0</v>
      </c>
      <c r="DK10" s="787">
        <v>0</v>
      </c>
      <c r="DL10" s="787">
        <v>9443.2999999999993</v>
      </c>
      <c r="DM10" s="787">
        <v>0</v>
      </c>
      <c r="DN10" s="787">
        <v>0</v>
      </c>
      <c r="DO10" s="787">
        <v>0</v>
      </c>
      <c r="DP10" s="787">
        <v>-399031.53</v>
      </c>
      <c r="DQ10" s="787">
        <v>0</v>
      </c>
      <c r="DR10" s="787">
        <v>0</v>
      </c>
      <c r="DS10" s="787">
        <v>0</v>
      </c>
      <c r="DT10" s="787">
        <v>-389588.23000000004</v>
      </c>
      <c r="DU10" s="787">
        <v>0</v>
      </c>
      <c r="DV10" s="787">
        <v>0</v>
      </c>
      <c r="DW10" s="787">
        <v>0</v>
      </c>
      <c r="DX10" s="787">
        <v>0</v>
      </c>
      <c r="DY10" s="787">
        <v>1138.42</v>
      </c>
      <c r="DZ10" s="787">
        <v>0</v>
      </c>
      <c r="EA10" s="787">
        <v>-0.19809278496541083</v>
      </c>
    </row>
    <row r="11" spans="1:131" ht="15.6">
      <c r="A11" s="782" t="s">
        <v>1297</v>
      </c>
      <c r="B11" s="782" t="s">
        <v>541</v>
      </c>
      <c r="C11" s="783">
        <v>1017</v>
      </c>
      <c r="D11" s="784" t="s">
        <v>542</v>
      </c>
      <c r="E11" s="785" t="s">
        <v>521</v>
      </c>
      <c r="F11" s="786">
        <v>46094</v>
      </c>
      <c r="G11" s="785" t="s">
        <v>5</v>
      </c>
      <c r="H11" s="785" t="str">
        <f t="shared" si="0"/>
        <v>AX087</v>
      </c>
      <c r="I11" s="787">
        <v>0</v>
      </c>
      <c r="J11" s="787">
        <v>0</v>
      </c>
      <c r="K11" s="787">
        <v>48250</v>
      </c>
      <c r="L11" s="787">
        <v>0</v>
      </c>
      <c r="M11" s="787">
        <v>5500</v>
      </c>
      <c r="N11" s="787">
        <v>0</v>
      </c>
      <c r="O11" s="787">
        <v>0</v>
      </c>
      <c r="P11" s="787">
        <v>32500</v>
      </c>
      <c r="Q11" s="787">
        <v>25188.675000000003</v>
      </c>
      <c r="R11" s="787">
        <v>6745</v>
      </c>
      <c r="S11" s="787">
        <v>0</v>
      </c>
      <c r="T11" s="787">
        <v>0</v>
      </c>
      <c r="U11" s="787">
        <v>96682</v>
      </c>
      <c r="V11" s="787">
        <v>13858.739999999991</v>
      </c>
      <c r="W11" s="787">
        <v>0</v>
      </c>
      <c r="X11" s="787">
        <f t="shared" si="1"/>
        <v>228724.41499999998</v>
      </c>
      <c r="Y11" s="787">
        <v>251420</v>
      </c>
      <c r="Z11" s="787">
        <v>0</v>
      </c>
      <c r="AA11" s="787">
        <v>547317</v>
      </c>
      <c r="AB11" s="787">
        <v>0</v>
      </c>
      <c r="AC11" s="787">
        <v>128567</v>
      </c>
      <c r="AD11" s="787">
        <v>0</v>
      </c>
      <c r="AE11" s="787">
        <v>0</v>
      </c>
      <c r="AF11" s="787">
        <v>1159</v>
      </c>
      <c r="AG11" s="787">
        <v>4622.375</v>
      </c>
      <c r="AH11" s="787">
        <v>0</v>
      </c>
      <c r="AI11" s="787">
        <v>51.7</v>
      </c>
      <c r="AJ11" s="787">
        <v>9950.17</v>
      </c>
      <c r="AK11" s="787">
        <v>0</v>
      </c>
      <c r="AL11" s="787">
        <v>0</v>
      </c>
      <c r="AM11" s="787">
        <v>15108.4</v>
      </c>
      <c r="AN11" s="787">
        <v>33218.75</v>
      </c>
      <c r="AO11" s="787">
        <v>0</v>
      </c>
      <c r="AP11" s="787">
        <v>1483</v>
      </c>
      <c r="AQ11" s="787">
        <v>26350</v>
      </c>
      <c r="AR11" s="787">
        <v>12877.875</v>
      </c>
      <c r="AS11" s="787">
        <v>0</v>
      </c>
      <c r="AT11" s="787">
        <v>504</v>
      </c>
      <c r="AU11" s="787">
        <v>12328</v>
      </c>
      <c r="AV11" s="787">
        <v>0</v>
      </c>
      <c r="AW11" s="787">
        <v>250</v>
      </c>
      <c r="AX11" s="787">
        <v>6351</v>
      </c>
      <c r="AY11" s="787">
        <v>0</v>
      </c>
      <c r="AZ11" s="787">
        <v>6048</v>
      </c>
      <c r="BA11" s="787">
        <v>0</v>
      </c>
      <c r="BB11" s="787">
        <v>0</v>
      </c>
      <c r="BC11" s="787">
        <v>20628</v>
      </c>
      <c r="BD11" s="787">
        <v>30682</v>
      </c>
      <c r="BE11" s="787">
        <v>185044</v>
      </c>
      <c r="BF11" s="787">
        <v>23775.875</v>
      </c>
      <c r="BG11" s="787">
        <v>100370</v>
      </c>
      <c r="BH11" s="787">
        <v>0</v>
      </c>
      <c r="BI11" s="787">
        <v>0</v>
      </c>
      <c r="BJ11" s="787">
        <f t="shared" si="2"/>
        <v>1418106.145</v>
      </c>
      <c r="BK11" s="787"/>
      <c r="BL11" s="787"/>
      <c r="BM11" s="787"/>
      <c r="BN11" s="787">
        <v>0</v>
      </c>
      <c r="BO11" s="787">
        <v>0</v>
      </c>
      <c r="BP11" s="787">
        <v>0</v>
      </c>
      <c r="BQ11" s="787">
        <f t="shared" si="3"/>
        <v>0</v>
      </c>
      <c r="BR11" s="787">
        <v>0</v>
      </c>
      <c r="BS11" s="787">
        <v>0</v>
      </c>
      <c r="BT11" s="787">
        <v>0</v>
      </c>
      <c r="BU11" s="787">
        <v>0</v>
      </c>
      <c r="BV11" s="787">
        <v>0</v>
      </c>
      <c r="BW11" s="787">
        <v>0</v>
      </c>
      <c r="BX11" s="787">
        <v>16273</v>
      </c>
      <c r="BY11" s="787">
        <v>0</v>
      </c>
      <c r="BZ11" s="787">
        <f t="shared" si="4"/>
        <v>16273</v>
      </c>
      <c r="CA11" s="787"/>
      <c r="CB11" s="787"/>
      <c r="CC11" s="787"/>
      <c r="CD11" s="787">
        <v>0</v>
      </c>
      <c r="CE11" s="787">
        <v>0</v>
      </c>
      <c r="CF11" s="787">
        <f t="shared" si="5"/>
        <v>0</v>
      </c>
      <c r="CG11" s="787">
        <v>0</v>
      </c>
      <c r="CH11" s="787">
        <v>0</v>
      </c>
      <c r="CI11" s="787">
        <f t="shared" si="6"/>
        <v>0</v>
      </c>
      <c r="CJ11" s="787"/>
      <c r="CK11" s="787"/>
      <c r="CL11" s="787"/>
      <c r="CM11" s="787"/>
      <c r="CN11" s="787"/>
      <c r="CO11" s="787"/>
      <c r="CP11" s="787"/>
      <c r="CQ11" s="787"/>
      <c r="CR11" s="787"/>
      <c r="CS11" s="787">
        <v>243537</v>
      </c>
      <c r="CT11" s="787">
        <v>123051.69</v>
      </c>
      <c r="CU11" s="787">
        <v>0</v>
      </c>
      <c r="CV11" s="787">
        <v>120485.31</v>
      </c>
      <c r="CW11" s="787">
        <v>0</v>
      </c>
      <c r="CX11" s="787">
        <v>6490.19</v>
      </c>
      <c r="CY11" s="787">
        <v>2079.79</v>
      </c>
      <c r="CZ11" s="787">
        <v>51573.14</v>
      </c>
      <c r="DA11" s="787">
        <v>1851.51</v>
      </c>
      <c r="DB11" s="787">
        <v>182479.94</v>
      </c>
      <c r="DC11" s="787">
        <v>0</v>
      </c>
      <c r="DD11" s="787">
        <v>0</v>
      </c>
      <c r="DE11" s="787">
        <v>0</v>
      </c>
      <c r="DF11" s="787">
        <v>0</v>
      </c>
      <c r="DG11" s="787"/>
      <c r="DH11" s="787"/>
      <c r="DI11" s="787"/>
      <c r="DJ11" s="787">
        <v>0</v>
      </c>
      <c r="DK11" s="787">
        <v>0</v>
      </c>
      <c r="DL11" s="787">
        <v>151331.42000000001</v>
      </c>
      <c r="DM11" s="787">
        <v>0</v>
      </c>
      <c r="DN11" s="787">
        <v>441262.88</v>
      </c>
      <c r="DO11" s="787">
        <v>0</v>
      </c>
      <c r="DP11" s="787">
        <v>-101194</v>
      </c>
      <c r="DQ11" s="787">
        <v>-13935.15</v>
      </c>
      <c r="DR11" s="787">
        <v>-443316</v>
      </c>
      <c r="DS11" s="787">
        <v>0</v>
      </c>
      <c r="DT11" s="787">
        <v>34149.150000000023</v>
      </c>
      <c r="DU11" s="787">
        <v>0</v>
      </c>
      <c r="DV11" s="787">
        <v>44796</v>
      </c>
      <c r="DW11" s="787">
        <v>-1206</v>
      </c>
      <c r="DX11" s="787">
        <v>-278794.62</v>
      </c>
      <c r="DY11" s="787">
        <v>0</v>
      </c>
      <c r="DZ11" s="787">
        <v>-19095</v>
      </c>
      <c r="EA11" s="787">
        <v>8.361150848941179E-2</v>
      </c>
    </row>
    <row r="12" spans="1:131" ht="15.6">
      <c r="A12" s="782" t="s">
        <v>1298</v>
      </c>
      <c r="B12" s="782" t="s">
        <v>543</v>
      </c>
      <c r="C12" s="783">
        <v>2153</v>
      </c>
      <c r="D12" s="784" t="s">
        <v>544</v>
      </c>
      <c r="E12" s="785" t="s">
        <v>521</v>
      </c>
      <c r="F12" s="786">
        <v>46094</v>
      </c>
      <c r="G12" s="785" t="s">
        <v>5</v>
      </c>
      <c r="H12" s="785" t="str">
        <f t="shared" si="0"/>
        <v>AX004</v>
      </c>
      <c r="I12" s="787">
        <v>0</v>
      </c>
      <c r="J12" s="787">
        <v>0</v>
      </c>
      <c r="K12" s="787">
        <v>0</v>
      </c>
      <c r="L12" s="787">
        <v>0</v>
      </c>
      <c r="M12" s="787">
        <v>5400</v>
      </c>
      <c r="N12" s="787">
        <v>0</v>
      </c>
      <c r="O12" s="787">
        <v>0</v>
      </c>
      <c r="P12" s="787">
        <v>0</v>
      </c>
      <c r="Q12" s="787">
        <v>59186.31</v>
      </c>
      <c r="R12" s="787">
        <v>0</v>
      </c>
      <c r="S12" s="787">
        <v>0</v>
      </c>
      <c r="T12" s="787">
        <v>0</v>
      </c>
      <c r="U12" s="787">
        <v>4370.8</v>
      </c>
      <c r="V12" s="787">
        <v>6583.87</v>
      </c>
      <c r="W12" s="787">
        <v>0</v>
      </c>
      <c r="X12" s="787">
        <f t="shared" si="1"/>
        <v>75540.98</v>
      </c>
      <c r="Y12" s="787">
        <v>1485128.5</v>
      </c>
      <c r="Z12" s="787">
        <v>0</v>
      </c>
      <c r="AA12" s="787">
        <v>817354.51</v>
      </c>
      <c r="AB12" s="787">
        <v>0</v>
      </c>
      <c r="AC12" s="787">
        <v>260544.7</v>
      </c>
      <c r="AD12" s="787">
        <v>108236.2</v>
      </c>
      <c r="AE12" s="787">
        <v>197211.28</v>
      </c>
      <c r="AF12" s="787">
        <v>11181.82</v>
      </c>
      <c r="AG12" s="787">
        <v>9970.15</v>
      </c>
      <c r="AH12" s="787">
        <v>0</v>
      </c>
      <c r="AI12" s="787">
        <v>0</v>
      </c>
      <c r="AJ12" s="787">
        <v>22886.420000000002</v>
      </c>
      <c r="AK12" s="787">
        <v>10965</v>
      </c>
      <c r="AL12" s="787">
        <v>47230.44</v>
      </c>
      <c r="AM12" s="787">
        <v>8606.7999999999993</v>
      </c>
      <c r="AN12" s="787">
        <v>46328.84</v>
      </c>
      <c r="AO12" s="787">
        <v>0</v>
      </c>
      <c r="AP12" s="787">
        <v>23844.11</v>
      </c>
      <c r="AQ12" s="787">
        <v>48609.49</v>
      </c>
      <c r="AR12" s="787">
        <v>12471.55</v>
      </c>
      <c r="AS12" s="787">
        <v>0</v>
      </c>
      <c r="AT12" s="787">
        <v>23929.88</v>
      </c>
      <c r="AU12" s="787">
        <v>0</v>
      </c>
      <c r="AV12" s="787">
        <v>9161.7000000000007</v>
      </c>
      <c r="AW12" s="787">
        <v>505.98</v>
      </c>
      <c r="AX12" s="787">
        <v>28697.42</v>
      </c>
      <c r="AY12" s="787">
        <v>0</v>
      </c>
      <c r="AZ12" s="787">
        <v>56328.959999999999</v>
      </c>
      <c r="BA12" s="787">
        <v>1041.4099999999999</v>
      </c>
      <c r="BB12" s="787">
        <v>0</v>
      </c>
      <c r="BC12" s="787">
        <v>69202.959999999992</v>
      </c>
      <c r="BD12" s="787">
        <v>150325.09999999998</v>
      </c>
      <c r="BE12" s="787">
        <v>192287.59</v>
      </c>
      <c r="BF12" s="787">
        <v>96002.939999999988</v>
      </c>
      <c r="BG12" s="787">
        <v>123799.06</v>
      </c>
      <c r="BH12" s="787">
        <v>0</v>
      </c>
      <c r="BI12" s="787">
        <v>0</v>
      </c>
      <c r="BJ12" s="787">
        <f t="shared" si="2"/>
        <v>3861852.8099999991</v>
      </c>
      <c r="BK12" s="787"/>
      <c r="BL12" s="787"/>
      <c r="BM12" s="787"/>
      <c r="BN12" s="787">
        <v>0</v>
      </c>
      <c r="BO12" s="787">
        <v>0</v>
      </c>
      <c r="BP12" s="787">
        <v>0</v>
      </c>
      <c r="BQ12" s="787">
        <f t="shared" si="3"/>
        <v>0</v>
      </c>
      <c r="BR12" s="787">
        <v>0</v>
      </c>
      <c r="BS12" s="787">
        <v>16432</v>
      </c>
      <c r="BT12" s="787">
        <v>0</v>
      </c>
      <c r="BU12" s="787">
        <v>0</v>
      </c>
      <c r="BV12" s="787">
        <v>0</v>
      </c>
      <c r="BW12" s="787">
        <v>0</v>
      </c>
      <c r="BX12" s="787">
        <v>0</v>
      </c>
      <c r="BY12" s="787">
        <v>0</v>
      </c>
      <c r="BZ12" s="787">
        <f t="shared" si="4"/>
        <v>16432</v>
      </c>
      <c r="CA12" s="787"/>
      <c r="CB12" s="787"/>
      <c r="CC12" s="787"/>
      <c r="CD12" s="787">
        <v>0</v>
      </c>
      <c r="CE12" s="787">
        <v>0</v>
      </c>
      <c r="CF12" s="787">
        <f t="shared" si="5"/>
        <v>0</v>
      </c>
      <c r="CG12" s="787">
        <v>0</v>
      </c>
      <c r="CH12" s="787">
        <v>0</v>
      </c>
      <c r="CI12" s="787">
        <f t="shared" si="6"/>
        <v>0</v>
      </c>
      <c r="CJ12" s="787"/>
      <c r="CK12" s="787"/>
      <c r="CL12" s="787"/>
      <c r="CM12" s="787"/>
      <c r="CN12" s="787"/>
      <c r="CO12" s="787"/>
      <c r="CP12" s="787"/>
      <c r="CQ12" s="787"/>
      <c r="CR12" s="787"/>
      <c r="CS12" s="787"/>
      <c r="CT12" s="787"/>
      <c r="CU12" s="787"/>
      <c r="CV12" s="787"/>
      <c r="CW12" s="787"/>
      <c r="CX12" s="787"/>
      <c r="CY12" s="787"/>
      <c r="CZ12" s="787"/>
      <c r="DA12" s="787"/>
      <c r="DB12" s="787"/>
      <c r="DC12" s="787"/>
      <c r="DD12" s="787"/>
      <c r="DE12" s="787"/>
      <c r="DF12" s="787"/>
      <c r="DG12" s="787"/>
      <c r="DH12" s="787"/>
      <c r="DI12" s="787"/>
      <c r="DJ12" s="787"/>
      <c r="DK12" s="787"/>
      <c r="DL12" s="787"/>
      <c r="DM12" s="787"/>
      <c r="DN12" s="787"/>
      <c r="DO12" s="787"/>
      <c r="DP12" s="787"/>
      <c r="DQ12" s="787"/>
      <c r="DR12" s="787"/>
      <c r="DS12" s="787"/>
      <c r="DT12" s="787"/>
      <c r="DU12" s="787"/>
      <c r="DV12" s="787"/>
      <c r="DW12" s="787"/>
      <c r="DX12" s="787"/>
      <c r="DY12" s="787"/>
      <c r="DZ12" s="787"/>
      <c r="EA12" s="787"/>
    </row>
    <row r="13" spans="1:131" ht="15.6">
      <c r="A13" s="782" t="s">
        <v>1299</v>
      </c>
      <c r="B13" s="782" t="s">
        <v>545</v>
      </c>
      <c r="C13" s="783">
        <v>2062</v>
      </c>
      <c r="D13" s="784" t="s">
        <v>546</v>
      </c>
      <c r="E13" s="785" t="s">
        <v>521</v>
      </c>
      <c r="F13" s="786">
        <v>46094</v>
      </c>
      <c r="G13" s="785" t="s">
        <v>5</v>
      </c>
      <c r="H13" s="785" t="str">
        <f t="shared" si="0"/>
        <v>AX006</v>
      </c>
      <c r="I13" s="787">
        <v>0</v>
      </c>
      <c r="J13" s="787">
        <v>0</v>
      </c>
      <c r="K13" s="787">
        <v>0</v>
      </c>
      <c r="L13" s="787">
        <v>0</v>
      </c>
      <c r="M13" s="787">
        <v>4600</v>
      </c>
      <c r="N13" s="787">
        <v>0</v>
      </c>
      <c r="O13" s="787">
        <v>0</v>
      </c>
      <c r="P13" s="787">
        <v>0</v>
      </c>
      <c r="Q13" s="787">
        <v>0</v>
      </c>
      <c r="R13" s="787">
        <v>15137.56</v>
      </c>
      <c r="S13" s="787">
        <v>0</v>
      </c>
      <c r="T13" s="787">
        <v>0</v>
      </c>
      <c r="U13" s="787">
        <v>6746.54</v>
      </c>
      <c r="V13" s="787">
        <v>38432.92</v>
      </c>
      <c r="W13" s="787">
        <v>0</v>
      </c>
      <c r="X13" s="787">
        <f t="shared" si="1"/>
        <v>64917.02</v>
      </c>
      <c r="Y13" s="787">
        <v>1356103.16</v>
      </c>
      <c r="Z13" s="787">
        <v>0</v>
      </c>
      <c r="AA13" s="787">
        <v>571259.38</v>
      </c>
      <c r="AB13" s="787">
        <v>122439.4</v>
      </c>
      <c r="AC13" s="787">
        <v>194597.38</v>
      </c>
      <c r="AD13" s="787">
        <v>0</v>
      </c>
      <c r="AE13" s="787">
        <v>76758.33</v>
      </c>
      <c r="AF13" s="787">
        <v>10181.56</v>
      </c>
      <c r="AG13" s="787">
        <v>6591.6</v>
      </c>
      <c r="AH13" s="787">
        <v>0</v>
      </c>
      <c r="AI13" s="787">
        <v>0</v>
      </c>
      <c r="AJ13" s="787">
        <v>104331.44</v>
      </c>
      <c r="AK13" s="787">
        <v>2468.84</v>
      </c>
      <c r="AL13" s="787">
        <v>5418.46</v>
      </c>
      <c r="AM13" s="787">
        <v>9894.48</v>
      </c>
      <c r="AN13" s="787">
        <v>106055.58</v>
      </c>
      <c r="AO13" s="787">
        <v>0</v>
      </c>
      <c r="AP13" s="787">
        <v>47566.78</v>
      </c>
      <c r="AQ13" s="787">
        <v>101507.22</v>
      </c>
      <c r="AR13" s="787">
        <v>0</v>
      </c>
      <c r="AS13" s="787">
        <v>0</v>
      </c>
      <c r="AT13" s="787">
        <v>361.54</v>
      </c>
      <c r="AU13" s="787">
        <v>6449.91</v>
      </c>
      <c r="AV13" s="787">
        <v>19150.46</v>
      </c>
      <c r="AW13" s="787">
        <v>1106.8399999999999</v>
      </c>
      <c r="AX13" s="787">
        <v>50333.35</v>
      </c>
      <c r="AY13" s="787">
        <v>0</v>
      </c>
      <c r="AZ13" s="787">
        <v>7830.1200000000008</v>
      </c>
      <c r="BA13" s="787">
        <v>1473.3999999999996</v>
      </c>
      <c r="BB13" s="787">
        <v>3240</v>
      </c>
      <c r="BC13" s="787">
        <v>185545.18</v>
      </c>
      <c r="BD13" s="787">
        <v>191370.02</v>
      </c>
      <c r="BE13" s="787">
        <v>88590.05</v>
      </c>
      <c r="BF13" s="787">
        <v>136205.06</v>
      </c>
      <c r="BG13" s="787">
        <v>0</v>
      </c>
      <c r="BH13" s="787">
        <v>0</v>
      </c>
      <c r="BI13" s="787">
        <v>0</v>
      </c>
      <c r="BJ13" s="787">
        <f t="shared" si="2"/>
        <v>3406829.54</v>
      </c>
      <c r="BK13" s="787"/>
      <c r="BL13" s="787"/>
      <c r="BM13" s="787"/>
      <c r="BN13" s="787">
        <v>0</v>
      </c>
      <c r="BO13" s="787">
        <v>0</v>
      </c>
      <c r="BP13" s="787">
        <v>0</v>
      </c>
      <c r="BQ13" s="787">
        <f t="shared" si="3"/>
        <v>0</v>
      </c>
      <c r="BR13" s="787">
        <v>0</v>
      </c>
      <c r="BS13" s="787">
        <v>0</v>
      </c>
      <c r="BT13" s="787">
        <v>0</v>
      </c>
      <c r="BU13" s="787">
        <v>0</v>
      </c>
      <c r="BV13" s="787">
        <v>0</v>
      </c>
      <c r="BW13" s="787">
        <v>0</v>
      </c>
      <c r="BX13" s="787">
        <v>0</v>
      </c>
      <c r="BY13" s="787">
        <v>0</v>
      </c>
      <c r="BZ13" s="787">
        <f t="shared" si="4"/>
        <v>0</v>
      </c>
      <c r="CA13" s="787"/>
      <c r="CB13" s="787"/>
      <c r="CC13" s="787"/>
      <c r="CD13" s="787">
        <v>0</v>
      </c>
      <c r="CE13" s="787">
        <v>0</v>
      </c>
      <c r="CF13" s="787">
        <f t="shared" si="5"/>
        <v>0</v>
      </c>
      <c r="CG13" s="787">
        <v>0</v>
      </c>
      <c r="CH13" s="787">
        <v>0</v>
      </c>
      <c r="CI13" s="787">
        <f t="shared" si="6"/>
        <v>0</v>
      </c>
      <c r="CJ13" s="787"/>
      <c r="CK13" s="787"/>
      <c r="CL13" s="787"/>
      <c r="CM13" s="787"/>
      <c r="CN13" s="787"/>
      <c r="CO13" s="787"/>
      <c r="CP13" s="787"/>
      <c r="CQ13" s="787"/>
      <c r="CR13" s="787"/>
      <c r="CS13" s="787"/>
      <c r="CT13" s="787"/>
      <c r="CU13" s="787"/>
      <c r="CV13" s="787"/>
      <c r="CW13" s="787"/>
      <c r="CX13" s="787"/>
      <c r="CY13" s="787"/>
      <c r="CZ13" s="787"/>
      <c r="DA13" s="787"/>
      <c r="DB13" s="787"/>
      <c r="DC13" s="787"/>
      <c r="DD13" s="787"/>
      <c r="DE13" s="787"/>
      <c r="DF13" s="787"/>
      <c r="DG13" s="787"/>
      <c r="DH13" s="787"/>
      <c r="DI13" s="787"/>
      <c r="DJ13" s="787"/>
      <c r="DK13" s="787"/>
      <c r="DL13" s="787"/>
      <c r="DM13" s="787"/>
      <c r="DN13" s="787"/>
      <c r="DO13" s="787"/>
      <c r="DP13" s="787"/>
      <c r="DQ13" s="787"/>
      <c r="DR13" s="787"/>
      <c r="DS13" s="787"/>
      <c r="DT13" s="787"/>
      <c r="DU13" s="787"/>
      <c r="DV13" s="787"/>
      <c r="DW13" s="787"/>
      <c r="DX13" s="787"/>
      <c r="DY13" s="787"/>
      <c r="DZ13" s="787"/>
      <c r="EA13" s="787"/>
    </row>
    <row r="14" spans="1:131" ht="15.6">
      <c r="A14" s="782" t="s">
        <v>1300</v>
      </c>
      <c r="B14" s="782" t="s">
        <v>547</v>
      </c>
      <c r="C14" s="783">
        <v>2479</v>
      </c>
      <c r="D14" s="784" t="s">
        <v>548</v>
      </c>
      <c r="E14" s="785" t="s">
        <v>521</v>
      </c>
      <c r="F14" s="786">
        <v>46094</v>
      </c>
      <c r="G14" s="785" t="s">
        <v>5</v>
      </c>
      <c r="H14" s="785" t="str">
        <f t="shared" si="0"/>
        <v>AX007</v>
      </c>
      <c r="I14" s="787">
        <v>0</v>
      </c>
      <c r="J14" s="787">
        <v>0</v>
      </c>
      <c r="K14" s="787">
        <v>2000</v>
      </c>
      <c r="L14" s="787">
        <v>0</v>
      </c>
      <c r="M14" s="787">
        <v>6900</v>
      </c>
      <c r="N14" s="787">
        <v>0</v>
      </c>
      <c r="O14" s="787">
        <v>0</v>
      </c>
      <c r="P14" s="787">
        <v>0</v>
      </c>
      <c r="Q14" s="787">
        <v>32514.059999999994</v>
      </c>
      <c r="R14" s="787">
        <v>15254.99</v>
      </c>
      <c r="S14" s="787">
        <v>7597.3200000012293</v>
      </c>
      <c r="T14" s="787">
        <v>0</v>
      </c>
      <c r="U14" s="787">
        <v>13487.74</v>
      </c>
      <c r="V14" s="787">
        <v>0</v>
      </c>
      <c r="W14" s="787">
        <v>2000</v>
      </c>
      <c r="X14" s="787">
        <f t="shared" si="1"/>
        <v>79754.110000001223</v>
      </c>
      <c r="Y14" s="787">
        <v>2148956.5</v>
      </c>
      <c r="Z14" s="787">
        <v>0</v>
      </c>
      <c r="AA14" s="787">
        <v>1127686.8</v>
      </c>
      <c r="AB14" s="787">
        <v>49876.1</v>
      </c>
      <c r="AC14" s="787">
        <v>436730.75</v>
      </c>
      <c r="AD14" s="787">
        <v>0</v>
      </c>
      <c r="AE14" s="787">
        <v>199194.12</v>
      </c>
      <c r="AF14" s="787">
        <v>14284.11</v>
      </c>
      <c r="AG14" s="787">
        <v>10121.6</v>
      </c>
      <c r="AH14" s="787">
        <v>0</v>
      </c>
      <c r="AI14" s="787">
        <v>0</v>
      </c>
      <c r="AJ14" s="787">
        <v>13348.09</v>
      </c>
      <c r="AK14" s="787">
        <v>6070</v>
      </c>
      <c r="AL14" s="787">
        <v>88469.71</v>
      </c>
      <c r="AM14" s="787">
        <v>14155.580000000002</v>
      </c>
      <c r="AN14" s="787">
        <v>47277.469999999994</v>
      </c>
      <c r="AO14" s="787">
        <v>5219.0000000000036</v>
      </c>
      <c r="AP14" s="787">
        <v>113510.59</v>
      </c>
      <c r="AQ14" s="787">
        <v>181161.77000000002</v>
      </c>
      <c r="AR14" s="787">
        <v>7090</v>
      </c>
      <c r="AS14" s="787">
        <v>0</v>
      </c>
      <c r="AT14" s="787">
        <v>25159.35</v>
      </c>
      <c r="AU14" s="787">
        <v>0</v>
      </c>
      <c r="AV14" s="787">
        <v>0</v>
      </c>
      <c r="AW14" s="787">
        <v>4742.37</v>
      </c>
      <c r="AX14" s="787">
        <v>0</v>
      </c>
      <c r="AY14" s="787">
        <v>0</v>
      </c>
      <c r="AZ14" s="787">
        <v>8321.7099999999991</v>
      </c>
      <c r="BA14" s="787">
        <v>3252.2700000000004</v>
      </c>
      <c r="BB14" s="787">
        <v>3750</v>
      </c>
      <c r="BC14" s="787">
        <v>303453.05</v>
      </c>
      <c r="BD14" s="787">
        <v>364199.61</v>
      </c>
      <c r="BE14" s="787">
        <v>2049.9999999999982</v>
      </c>
      <c r="BF14" s="787">
        <v>483850.40000000165</v>
      </c>
      <c r="BG14" s="787">
        <v>0</v>
      </c>
      <c r="BH14" s="787">
        <v>0</v>
      </c>
      <c r="BI14" s="787">
        <v>0</v>
      </c>
      <c r="BJ14" s="787">
        <f t="shared" si="2"/>
        <v>5661930.9500000002</v>
      </c>
      <c r="BK14" s="787"/>
      <c r="BL14" s="787"/>
      <c r="BM14" s="787"/>
      <c r="BN14" s="787">
        <v>0</v>
      </c>
      <c r="BO14" s="787">
        <v>0</v>
      </c>
      <c r="BP14" s="787">
        <v>0</v>
      </c>
      <c r="BQ14" s="787">
        <f t="shared" si="3"/>
        <v>0</v>
      </c>
      <c r="BR14" s="787">
        <v>2791.06</v>
      </c>
      <c r="BS14" s="787">
        <v>0</v>
      </c>
      <c r="BT14" s="787">
        <v>10159.280000000001</v>
      </c>
      <c r="BU14" s="787">
        <v>0</v>
      </c>
      <c r="BV14" s="787">
        <v>0</v>
      </c>
      <c r="BW14" s="787">
        <v>0</v>
      </c>
      <c r="BX14" s="787">
        <v>24284.61</v>
      </c>
      <c r="BY14" s="787">
        <v>0</v>
      </c>
      <c r="BZ14" s="787">
        <f t="shared" si="4"/>
        <v>37234.949999999997</v>
      </c>
      <c r="CA14" s="787"/>
      <c r="CB14" s="787"/>
      <c r="CC14" s="787"/>
      <c r="CD14" s="787">
        <v>0</v>
      </c>
      <c r="CE14" s="787">
        <v>0</v>
      </c>
      <c r="CF14" s="787">
        <f t="shared" si="5"/>
        <v>0</v>
      </c>
      <c r="CG14" s="787">
        <v>0</v>
      </c>
      <c r="CH14" s="787">
        <v>0</v>
      </c>
      <c r="CI14" s="787">
        <f t="shared" si="6"/>
        <v>0</v>
      </c>
      <c r="CJ14" s="787"/>
      <c r="CK14" s="787"/>
      <c r="CL14" s="787"/>
      <c r="CM14" s="787"/>
      <c r="CN14" s="787"/>
      <c r="CO14" s="787"/>
      <c r="CP14" s="787"/>
      <c r="CQ14" s="787"/>
      <c r="CR14" s="787"/>
      <c r="CS14" s="787"/>
      <c r="CT14" s="787"/>
      <c r="CU14" s="787"/>
      <c r="CV14" s="787"/>
      <c r="CW14" s="787"/>
      <c r="CX14" s="787"/>
      <c r="CY14" s="787"/>
      <c r="CZ14" s="787"/>
      <c r="DA14" s="787"/>
      <c r="DB14" s="787"/>
      <c r="DC14" s="787"/>
      <c r="DD14" s="787"/>
      <c r="DE14" s="787"/>
      <c r="DF14" s="787"/>
      <c r="DG14" s="787"/>
      <c r="DH14" s="787"/>
      <c r="DI14" s="787"/>
      <c r="DJ14" s="787"/>
      <c r="DK14" s="787"/>
      <c r="DL14" s="787"/>
      <c r="DM14" s="787"/>
      <c r="DN14" s="787"/>
      <c r="DO14" s="787"/>
      <c r="DP14" s="787"/>
      <c r="DQ14" s="787"/>
      <c r="DR14" s="787"/>
      <c r="DS14" s="787"/>
      <c r="DT14" s="787"/>
      <c r="DU14" s="787"/>
      <c r="DV14" s="787"/>
      <c r="DW14" s="787"/>
      <c r="DX14" s="787"/>
      <c r="DY14" s="787"/>
      <c r="DZ14" s="787"/>
      <c r="EA14" s="787"/>
    </row>
    <row r="15" spans="1:131" ht="15.6">
      <c r="A15" s="782" t="s">
        <v>1301</v>
      </c>
      <c r="B15" s="782" t="s">
        <v>549</v>
      </c>
      <c r="C15" s="783">
        <v>2300</v>
      </c>
      <c r="D15" s="784" t="s">
        <v>550</v>
      </c>
      <c r="E15" s="785" t="s">
        <v>521</v>
      </c>
      <c r="F15" s="786">
        <v>46094</v>
      </c>
      <c r="G15" s="785" t="s">
        <v>5</v>
      </c>
      <c r="H15" s="785" t="str">
        <f t="shared" si="0"/>
        <v>AX008</v>
      </c>
      <c r="I15" s="787">
        <v>0</v>
      </c>
      <c r="J15" s="787">
        <v>0</v>
      </c>
      <c r="K15" s="787">
        <v>0</v>
      </c>
      <c r="L15" s="787">
        <v>0</v>
      </c>
      <c r="M15" s="787">
        <v>0</v>
      </c>
      <c r="N15" s="787">
        <v>0</v>
      </c>
      <c r="O15" s="787">
        <v>11828</v>
      </c>
      <c r="P15" s="787">
        <v>0</v>
      </c>
      <c r="Q15" s="787">
        <v>91096.85</v>
      </c>
      <c r="R15" s="787">
        <v>35874.03</v>
      </c>
      <c r="S15" s="787">
        <v>0</v>
      </c>
      <c r="T15" s="787">
        <v>0</v>
      </c>
      <c r="U15" s="787">
        <v>19725.66</v>
      </c>
      <c r="V15" s="787">
        <v>0</v>
      </c>
      <c r="W15" s="787">
        <v>0</v>
      </c>
      <c r="X15" s="787">
        <f t="shared" si="1"/>
        <v>158524.54</v>
      </c>
      <c r="Y15" s="787">
        <v>2169096.7599999998</v>
      </c>
      <c r="Z15" s="787">
        <v>0</v>
      </c>
      <c r="AA15" s="787">
        <v>981047.09</v>
      </c>
      <c r="AB15" s="787">
        <v>0</v>
      </c>
      <c r="AC15" s="787">
        <v>241716.76</v>
      </c>
      <c r="AD15" s="787">
        <v>175812.91</v>
      </c>
      <c r="AE15" s="787">
        <v>271157.7</v>
      </c>
      <c r="AF15" s="787">
        <v>1100</v>
      </c>
      <c r="AG15" s="787">
        <v>0</v>
      </c>
      <c r="AH15" s="787">
        <v>0</v>
      </c>
      <c r="AI15" s="787">
        <v>0</v>
      </c>
      <c r="AJ15" s="787">
        <v>8187.2</v>
      </c>
      <c r="AK15" s="787">
        <v>0</v>
      </c>
      <c r="AL15" s="787">
        <v>0</v>
      </c>
      <c r="AM15" s="787">
        <v>28659.65</v>
      </c>
      <c r="AN15" s="787">
        <v>79650.399999999994</v>
      </c>
      <c r="AO15" s="787">
        <v>0</v>
      </c>
      <c r="AP15" s="787">
        <v>29879.5</v>
      </c>
      <c r="AQ15" s="787">
        <v>88932.38</v>
      </c>
      <c r="AR15" s="787">
        <v>0</v>
      </c>
      <c r="AS15" s="787">
        <v>0</v>
      </c>
      <c r="AT15" s="787">
        <v>0</v>
      </c>
      <c r="AU15" s="787">
        <v>0</v>
      </c>
      <c r="AV15" s="787">
        <v>0</v>
      </c>
      <c r="AW15" s="787">
        <v>0</v>
      </c>
      <c r="AX15" s="787">
        <v>0</v>
      </c>
      <c r="AY15" s="787">
        <v>0</v>
      </c>
      <c r="AZ15" s="787">
        <v>85122.11</v>
      </c>
      <c r="BA15" s="787">
        <v>1476.9799999999996</v>
      </c>
      <c r="BB15" s="787">
        <v>0</v>
      </c>
      <c r="BC15" s="787">
        <v>138613.71000000002</v>
      </c>
      <c r="BD15" s="787">
        <v>224981.06</v>
      </c>
      <c r="BE15" s="787">
        <v>259.40000000000146</v>
      </c>
      <c r="BF15" s="787">
        <v>508831.08</v>
      </c>
      <c r="BG15" s="787">
        <v>0</v>
      </c>
      <c r="BH15" s="787">
        <v>12918</v>
      </c>
      <c r="BI15" s="787">
        <v>0</v>
      </c>
      <c r="BJ15" s="787">
        <f t="shared" si="2"/>
        <v>5047442.6899999995</v>
      </c>
      <c r="BK15" s="787"/>
      <c r="BL15" s="787"/>
      <c r="BM15" s="787"/>
      <c r="BN15" s="787">
        <v>0</v>
      </c>
      <c r="BO15" s="787">
        <v>0</v>
      </c>
      <c r="BP15" s="787">
        <v>0</v>
      </c>
      <c r="BQ15" s="787">
        <f t="shared" si="3"/>
        <v>0</v>
      </c>
      <c r="BR15" s="787">
        <v>0</v>
      </c>
      <c r="BS15" s="787">
        <v>0</v>
      </c>
      <c r="BT15" s="787">
        <v>24130</v>
      </c>
      <c r="BU15" s="787">
        <v>0</v>
      </c>
      <c r="BV15" s="787">
        <v>0</v>
      </c>
      <c r="BW15" s="787">
        <v>0</v>
      </c>
      <c r="BX15" s="787">
        <v>0</v>
      </c>
      <c r="BY15" s="787">
        <v>0</v>
      </c>
      <c r="BZ15" s="787">
        <f t="shared" si="4"/>
        <v>24130</v>
      </c>
      <c r="CA15" s="787"/>
      <c r="CB15" s="787"/>
      <c r="CC15" s="787"/>
      <c r="CD15" s="787">
        <v>0</v>
      </c>
      <c r="CE15" s="787">
        <v>0</v>
      </c>
      <c r="CF15" s="787">
        <f t="shared" si="5"/>
        <v>0</v>
      </c>
      <c r="CG15" s="787">
        <v>0</v>
      </c>
      <c r="CH15" s="787">
        <v>0</v>
      </c>
      <c r="CI15" s="787">
        <f t="shared" si="6"/>
        <v>0</v>
      </c>
      <c r="CJ15" s="787"/>
      <c r="CK15" s="787"/>
      <c r="CL15" s="787"/>
      <c r="CM15" s="787"/>
      <c r="CN15" s="787"/>
      <c r="CO15" s="787"/>
      <c r="CP15" s="787"/>
      <c r="CQ15" s="787"/>
      <c r="CR15" s="787"/>
      <c r="CS15" s="787">
        <v>700148.33</v>
      </c>
      <c r="CT15" s="787">
        <v>68887.66</v>
      </c>
      <c r="CU15" s="787">
        <v>0</v>
      </c>
      <c r="CV15" s="787">
        <v>631260.66999999993</v>
      </c>
      <c r="CW15" s="787">
        <v>0</v>
      </c>
      <c r="CX15" s="787">
        <v>9368.23</v>
      </c>
      <c r="CY15" s="787">
        <v>10616.64</v>
      </c>
      <c r="CZ15" s="787">
        <v>0</v>
      </c>
      <c r="DA15" s="787">
        <v>0</v>
      </c>
      <c r="DB15" s="787">
        <v>651245.53999999992</v>
      </c>
      <c r="DC15" s="787">
        <v>103129.98</v>
      </c>
      <c r="DD15" s="787">
        <v>0</v>
      </c>
      <c r="DE15" s="787">
        <v>0</v>
      </c>
      <c r="DF15" s="787">
        <v>103129.98</v>
      </c>
      <c r="DG15" s="787"/>
      <c r="DH15" s="787"/>
      <c r="DI15" s="787"/>
      <c r="DJ15" s="787">
        <v>0</v>
      </c>
      <c r="DK15" s="787">
        <v>103129.98</v>
      </c>
      <c r="DL15" s="787">
        <v>0</v>
      </c>
      <c r="DM15" s="787">
        <v>0</v>
      </c>
      <c r="DN15" s="787">
        <v>15196.38</v>
      </c>
      <c r="DO15" s="787">
        <v>0</v>
      </c>
      <c r="DP15" s="787">
        <v>-374860.82</v>
      </c>
      <c r="DQ15" s="787">
        <v>0</v>
      </c>
      <c r="DR15" s="787">
        <v>0</v>
      </c>
      <c r="DS15" s="787">
        <v>0</v>
      </c>
      <c r="DT15" s="787">
        <v>-359664.44</v>
      </c>
      <c r="DU15" s="787">
        <v>0</v>
      </c>
      <c r="DV15" s="787">
        <v>0</v>
      </c>
      <c r="DW15" s="787">
        <v>0</v>
      </c>
      <c r="DX15" s="787">
        <v>0</v>
      </c>
      <c r="DY15" s="787">
        <v>0</v>
      </c>
      <c r="DZ15" s="787">
        <v>0</v>
      </c>
      <c r="EA15" s="787">
        <v>-0.21036244626156986</v>
      </c>
    </row>
    <row r="16" spans="1:131" ht="15.6">
      <c r="A16" s="782" t="s">
        <v>1302</v>
      </c>
      <c r="B16" s="782" t="s">
        <v>876</v>
      </c>
      <c r="C16" s="783">
        <v>2014</v>
      </c>
      <c r="D16" s="784" t="s">
        <v>877</v>
      </c>
      <c r="E16" s="785" t="s">
        <v>521</v>
      </c>
      <c r="F16" s="786">
        <v>46094</v>
      </c>
      <c r="G16" s="785" t="s">
        <v>5</v>
      </c>
      <c r="H16" s="785" t="str">
        <f t="shared" si="0"/>
        <v>AX00C</v>
      </c>
      <c r="I16" s="787">
        <v>0</v>
      </c>
      <c r="J16" s="787">
        <v>0</v>
      </c>
      <c r="K16" s="787">
        <v>1500</v>
      </c>
      <c r="L16" s="787">
        <v>0</v>
      </c>
      <c r="M16" s="787">
        <v>0</v>
      </c>
      <c r="N16" s="787">
        <v>0</v>
      </c>
      <c r="O16" s="787">
        <v>24966.6</v>
      </c>
      <c r="P16" s="787">
        <v>6940</v>
      </c>
      <c r="Q16" s="787">
        <v>27436.79</v>
      </c>
      <c r="R16" s="787">
        <v>0</v>
      </c>
      <c r="S16" s="787">
        <v>0</v>
      </c>
      <c r="T16" s="787">
        <v>0</v>
      </c>
      <c r="U16" s="787">
        <v>10051.67</v>
      </c>
      <c r="V16" s="787">
        <v>0</v>
      </c>
      <c r="W16" s="787">
        <v>0</v>
      </c>
      <c r="X16" s="787">
        <f t="shared" si="1"/>
        <v>70895.06</v>
      </c>
      <c r="Y16" s="787">
        <v>1109059.0789999999</v>
      </c>
      <c r="Z16" s="787">
        <v>0</v>
      </c>
      <c r="AA16" s="787">
        <v>427346.2</v>
      </c>
      <c r="AB16" s="787">
        <v>82223.42</v>
      </c>
      <c r="AC16" s="787">
        <v>163785.19999999998</v>
      </c>
      <c r="AD16" s="787">
        <v>69186.810000000012</v>
      </c>
      <c r="AE16" s="787">
        <v>143737.09</v>
      </c>
      <c r="AF16" s="787">
        <v>9355.52</v>
      </c>
      <c r="AG16" s="787">
        <v>58592.99</v>
      </c>
      <c r="AH16" s="787">
        <v>0</v>
      </c>
      <c r="AI16" s="787">
        <v>1062</v>
      </c>
      <c r="AJ16" s="787">
        <v>11806.52</v>
      </c>
      <c r="AK16" s="787">
        <v>0</v>
      </c>
      <c r="AL16" s="787">
        <v>7322.39</v>
      </c>
      <c r="AM16" s="787">
        <v>16858.7</v>
      </c>
      <c r="AN16" s="787">
        <v>32909.35</v>
      </c>
      <c r="AO16" s="787">
        <v>0</v>
      </c>
      <c r="AP16" s="787">
        <v>7641.28</v>
      </c>
      <c r="AQ16" s="787">
        <v>145872.81</v>
      </c>
      <c r="AR16" s="787">
        <v>0</v>
      </c>
      <c r="AS16" s="787">
        <v>0</v>
      </c>
      <c r="AT16" s="787">
        <v>1112.32</v>
      </c>
      <c r="AU16" s="787">
        <v>0</v>
      </c>
      <c r="AV16" s="787">
        <v>0</v>
      </c>
      <c r="AW16" s="787">
        <v>31.09</v>
      </c>
      <c r="AX16" s="787">
        <v>0</v>
      </c>
      <c r="AY16" s="787">
        <v>0</v>
      </c>
      <c r="AZ16" s="787">
        <v>79834.97</v>
      </c>
      <c r="BA16" s="787">
        <v>0</v>
      </c>
      <c r="BB16" s="787">
        <v>0</v>
      </c>
      <c r="BC16" s="787">
        <v>245868.44</v>
      </c>
      <c r="BD16" s="787">
        <v>95790.88</v>
      </c>
      <c r="BE16" s="787">
        <v>25414.019999999997</v>
      </c>
      <c r="BF16" s="787">
        <v>123783.03999999999</v>
      </c>
      <c r="BG16" s="787">
        <v>0</v>
      </c>
      <c r="BH16" s="787">
        <v>0</v>
      </c>
      <c r="BI16" s="787">
        <v>0</v>
      </c>
      <c r="BJ16" s="787">
        <f t="shared" si="2"/>
        <v>2858594.1189999995</v>
      </c>
      <c r="BK16" s="787"/>
      <c r="BL16" s="787"/>
      <c r="BM16" s="787"/>
      <c r="BN16" s="787">
        <v>0</v>
      </c>
      <c r="BO16" s="787">
        <v>0</v>
      </c>
      <c r="BP16" s="787">
        <v>0</v>
      </c>
      <c r="BQ16" s="787">
        <f t="shared" si="3"/>
        <v>0</v>
      </c>
      <c r="BR16" s="787">
        <v>0</v>
      </c>
      <c r="BS16" s="787">
        <v>0</v>
      </c>
      <c r="BT16" s="787">
        <v>0</v>
      </c>
      <c r="BU16" s="787">
        <v>0</v>
      </c>
      <c r="BV16" s="787">
        <v>0</v>
      </c>
      <c r="BW16" s="787">
        <v>0</v>
      </c>
      <c r="BX16" s="787">
        <v>0</v>
      </c>
      <c r="BY16" s="787">
        <v>0</v>
      </c>
      <c r="BZ16" s="787">
        <f t="shared" si="4"/>
        <v>0</v>
      </c>
      <c r="CA16" s="787"/>
      <c r="CB16" s="787"/>
      <c r="CC16" s="787"/>
      <c r="CD16" s="787">
        <v>0</v>
      </c>
      <c r="CE16" s="787">
        <v>0</v>
      </c>
      <c r="CF16" s="787">
        <f t="shared" si="5"/>
        <v>0</v>
      </c>
      <c r="CG16" s="787">
        <v>0</v>
      </c>
      <c r="CH16" s="787">
        <v>0</v>
      </c>
      <c r="CI16" s="787">
        <f t="shared" si="6"/>
        <v>0</v>
      </c>
      <c r="CJ16" s="787"/>
      <c r="CK16" s="787"/>
      <c r="CL16" s="787"/>
      <c r="CM16" s="787"/>
      <c r="CN16" s="787"/>
      <c r="CO16" s="787"/>
      <c r="CP16" s="787"/>
      <c r="CQ16" s="787"/>
      <c r="CR16" s="787"/>
      <c r="CS16" s="787"/>
      <c r="CT16" s="787"/>
      <c r="CU16" s="787"/>
      <c r="CV16" s="787"/>
      <c r="CW16" s="787"/>
      <c r="CX16" s="787"/>
      <c r="CY16" s="787"/>
      <c r="CZ16" s="787"/>
      <c r="DA16" s="787"/>
      <c r="DB16" s="787"/>
      <c r="DC16" s="787"/>
      <c r="DD16" s="787"/>
      <c r="DE16" s="787"/>
      <c r="DF16" s="787"/>
      <c r="DG16" s="787"/>
      <c r="DH16" s="787"/>
      <c r="DI16" s="787"/>
      <c r="DJ16" s="787"/>
      <c r="DK16" s="787"/>
      <c r="DL16" s="787"/>
      <c r="DM16" s="787"/>
      <c r="DN16" s="787"/>
      <c r="DO16" s="787"/>
      <c r="DP16" s="787"/>
      <c r="DQ16" s="787"/>
      <c r="DR16" s="787"/>
      <c r="DS16" s="787"/>
      <c r="DT16" s="787"/>
      <c r="DU16" s="787"/>
      <c r="DV16" s="787"/>
      <c r="DW16" s="787"/>
      <c r="DX16" s="787"/>
      <c r="DY16" s="787"/>
      <c r="DZ16" s="787"/>
      <c r="EA16" s="787"/>
    </row>
    <row r="17" spans="1:131" ht="15.6">
      <c r="A17" s="782" t="s">
        <v>1303</v>
      </c>
      <c r="B17" s="782" t="s">
        <v>551</v>
      </c>
      <c r="C17" s="783">
        <v>7016</v>
      </c>
      <c r="D17" s="784" t="s">
        <v>552</v>
      </c>
      <c r="E17" s="785" t="s">
        <v>521</v>
      </c>
      <c r="F17" s="786">
        <v>46094</v>
      </c>
      <c r="G17" s="785" t="s">
        <v>5</v>
      </c>
      <c r="H17" s="785" t="str">
        <f t="shared" si="0"/>
        <v>AX00E</v>
      </c>
      <c r="I17" s="787">
        <v>0</v>
      </c>
      <c r="J17" s="787">
        <v>0</v>
      </c>
      <c r="K17" s="787">
        <v>0</v>
      </c>
      <c r="L17" s="787">
        <v>0</v>
      </c>
      <c r="M17" s="787">
        <v>0</v>
      </c>
      <c r="N17" s="787">
        <v>485469.42</v>
      </c>
      <c r="O17" s="787">
        <v>349831.47</v>
      </c>
      <c r="P17" s="787">
        <v>0</v>
      </c>
      <c r="Q17" s="787">
        <v>0</v>
      </c>
      <c r="R17" s="787">
        <v>0</v>
      </c>
      <c r="S17" s="787">
        <v>0</v>
      </c>
      <c r="T17" s="787">
        <v>0</v>
      </c>
      <c r="U17" s="787">
        <v>0</v>
      </c>
      <c r="V17" s="787">
        <v>267958</v>
      </c>
      <c r="W17" s="787">
        <v>0</v>
      </c>
      <c r="X17" s="787">
        <f t="shared" si="1"/>
        <v>1103258.8899999999</v>
      </c>
      <c r="Y17" s="787">
        <v>2057501.0099999998</v>
      </c>
      <c r="Z17" s="787">
        <v>0</v>
      </c>
      <c r="AA17" s="787">
        <v>1862134.51</v>
      </c>
      <c r="AB17" s="787">
        <v>170123.11</v>
      </c>
      <c r="AC17" s="787">
        <v>322766.05</v>
      </c>
      <c r="AD17" s="787">
        <v>6779.96</v>
      </c>
      <c r="AE17" s="787">
        <v>84584.5</v>
      </c>
      <c r="AF17" s="787">
        <v>10153.549999999999</v>
      </c>
      <c r="AG17" s="787">
        <v>16826.22</v>
      </c>
      <c r="AH17" s="787">
        <v>0</v>
      </c>
      <c r="AI17" s="787">
        <v>711.4</v>
      </c>
      <c r="AJ17" s="787">
        <v>105442.94</v>
      </c>
      <c r="AK17" s="787">
        <v>2124.9900000000002</v>
      </c>
      <c r="AL17" s="787">
        <v>85822.37000000001</v>
      </c>
      <c r="AM17" s="787">
        <v>7914.54</v>
      </c>
      <c r="AN17" s="787">
        <v>84933.33</v>
      </c>
      <c r="AO17" s="787">
        <v>0</v>
      </c>
      <c r="AP17" s="787">
        <v>23883.82</v>
      </c>
      <c r="AQ17" s="787">
        <v>97013.34</v>
      </c>
      <c r="AR17" s="787">
        <v>0</v>
      </c>
      <c r="AS17" s="787">
        <v>0</v>
      </c>
      <c r="AT17" s="787">
        <v>99866.15</v>
      </c>
      <c r="AU17" s="787">
        <v>0</v>
      </c>
      <c r="AV17" s="787">
        <v>0</v>
      </c>
      <c r="AW17" s="787">
        <v>0</v>
      </c>
      <c r="AX17" s="787">
        <v>0</v>
      </c>
      <c r="AY17" s="787">
        <v>0</v>
      </c>
      <c r="AZ17" s="787">
        <v>65923.600000000006</v>
      </c>
      <c r="BA17" s="787">
        <v>388.56999999999971</v>
      </c>
      <c r="BB17" s="787">
        <v>1062</v>
      </c>
      <c r="BC17" s="787">
        <v>78558.899999999994</v>
      </c>
      <c r="BD17" s="787">
        <v>44063.61</v>
      </c>
      <c r="BE17" s="787">
        <v>33597.479999999996</v>
      </c>
      <c r="BF17" s="787">
        <v>1953126.8099999998</v>
      </c>
      <c r="BG17" s="787">
        <v>0</v>
      </c>
      <c r="BH17" s="787">
        <v>0</v>
      </c>
      <c r="BI17" s="787">
        <v>0</v>
      </c>
      <c r="BJ17" s="787">
        <f t="shared" si="2"/>
        <v>7215302.7600000016</v>
      </c>
      <c r="BK17" s="787"/>
      <c r="BL17" s="787"/>
      <c r="BM17" s="787"/>
      <c r="BN17" s="787">
        <v>0</v>
      </c>
      <c r="BO17" s="787">
        <v>0</v>
      </c>
      <c r="BP17" s="787">
        <v>0</v>
      </c>
      <c r="BQ17" s="787">
        <f t="shared" si="3"/>
        <v>0</v>
      </c>
      <c r="BR17" s="787">
        <v>0</v>
      </c>
      <c r="BS17" s="787">
        <v>0</v>
      </c>
      <c r="BT17" s="787">
        <v>3015.42</v>
      </c>
      <c r="BU17" s="787">
        <v>0</v>
      </c>
      <c r="BV17" s="787">
        <v>0</v>
      </c>
      <c r="BW17" s="787">
        <v>0</v>
      </c>
      <c r="BX17" s="787">
        <v>0</v>
      </c>
      <c r="BY17" s="787">
        <v>0</v>
      </c>
      <c r="BZ17" s="787">
        <f t="shared" si="4"/>
        <v>3015.42</v>
      </c>
      <c r="CA17" s="787"/>
      <c r="CB17" s="787"/>
      <c r="CC17" s="787"/>
      <c r="CD17" s="787">
        <v>0</v>
      </c>
      <c r="CE17" s="787">
        <v>0</v>
      </c>
      <c r="CF17" s="787">
        <f t="shared" si="5"/>
        <v>0</v>
      </c>
      <c r="CG17" s="787">
        <v>0</v>
      </c>
      <c r="CH17" s="787">
        <v>0</v>
      </c>
      <c r="CI17" s="787">
        <f t="shared" si="6"/>
        <v>0</v>
      </c>
      <c r="CJ17" s="787"/>
      <c r="CK17" s="787"/>
      <c r="CL17" s="787"/>
      <c r="CM17" s="787"/>
      <c r="CN17" s="787"/>
      <c r="CO17" s="787"/>
      <c r="CP17" s="787"/>
      <c r="CQ17" s="787"/>
      <c r="CR17" s="787"/>
      <c r="CS17" s="787"/>
      <c r="CT17" s="787"/>
      <c r="CU17" s="787"/>
      <c r="CV17" s="787"/>
      <c r="CW17" s="787"/>
      <c r="CX17" s="787"/>
      <c r="CY17" s="787"/>
      <c r="CZ17" s="787"/>
      <c r="DA17" s="787"/>
      <c r="DB17" s="787"/>
      <c r="DC17" s="787"/>
      <c r="DD17" s="787"/>
      <c r="DE17" s="787"/>
      <c r="DF17" s="787"/>
      <c r="DG17" s="787"/>
      <c r="DH17" s="787"/>
      <c r="DI17" s="787"/>
      <c r="DJ17" s="787"/>
      <c r="DK17" s="787"/>
      <c r="DL17" s="787"/>
      <c r="DM17" s="787"/>
      <c r="DN17" s="787"/>
      <c r="DO17" s="787"/>
      <c r="DP17" s="787"/>
      <c r="DQ17" s="787"/>
      <c r="DR17" s="787"/>
      <c r="DS17" s="787"/>
      <c r="DT17" s="787"/>
      <c r="DU17" s="787"/>
      <c r="DV17" s="787"/>
      <c r="DW17" s="787"/>
      <c r="DX17" s="787"/>
      <c r="DY17" s="787"/>
      <c r="DZ17" s="787"/>
      <c r="EA17" s="787"/>
    </row>
    <row r="18" spans="1:131" ht="15.6">
      <c r="A18" s="782" t="s">
        <v>1304</v>
      </c>
      <c r="B18" s="782" t="s">
        <v>878</v>
      </c>
      <c r="C18" s="783">
        <v>7052</v>
      </c>
      <c r="D18" s="784" t="s">
        <v>879</v>
      </c>
      <c r="E18" s="785" t="s">
        <v>521</v>
      </c>
      <c r="F18" s="786" t="s">
        <v>1305</v>
      </c>
      <c r="G18" s="785" t="s">
        <v>5</v>
      </c>
      <c r="H18" s="785" t="str">
        <f t="shared" si="0"/>
        <v>AX00F</v>
      </c>
      <c r="I18" s="787">
        <v>0</v>
      </c>
      <c r="J18" s="787">
        <v>0</v>
      </c>
      <c r="K18" s="787">
        <v>68878.929999999935</v>
      </c>
      <c r="L18" s="787">
        <v>0</v>
      </c>
      <c r="M18" s="787">
        <v>4600</v>
      </c>
      <c r="N18" s="787">
        <v>0</v>
      </c>
      <c r="O18" s="787">
        <v>0</v>
      </c>
      <c r="P18" s="787">
        <v>6602</v>
      </c>
      <c r="Q18" s="787">
        <v>4375</v>
      </c>
      <c r="R18" s="787">
        <v>0</v>
      </c>
      <c r="S18" s="787">
        <v>0</v>
      </c>
      <c r="T18" s="787">
        <v>0</v>
      </c>
      <c r="U18" s="787">
        <v>0</v>
      </c>
      <c r="V18" s="787">
        <v>0</v>
      </c>
      <c r="W18" s="787">
        <v>0</v>
      </c>
      <c r="X18" s="787">
        <f t="shared" si="1"/>
        <v>84455.929999999935</v>
      </c>
      <c r="Y18" s="787">
        <v>697380.11</v>
      </c>
      <c r="Z18" s="787">
        <v>0</v>
      </c>
      <c r="AA18" s="787">
        <v>960183.1100000001</v>
      </c>
      <c r="AB18" s="787">
        <v>28251.22</v>
      </c>
      <c r="AC18" s="787">
        <v>145854.21</v>
      </c>
      <c r="AD18" s="787">
        <v>0</v>
      </c>
      <c r="AE18" s="787">
        <v>99864.25</v>
      </c>
      <c r="AF18" s="787">
        <v>5208.8500000000004</v>
      </c>
      <c r="AG18" s="787">
        <v>8956.4</v>
      </c>
      <c r="AH18" s="787">
        <v>0</v>
      </c>
      <c r="AI18" s="787">
        <v>0</v>
      </c>
      <c r="AJ18" s="787">
        <v>22095.52</v>
      </c>
      <c r="AK18" s="787">
        <v>0</v>
      </c>
      <c r="AL18" s="787">
        <v>82481.78</v>
      </c>
      <c r="AM18" s="787">
        <v>7123.02</v>
      </c>
      <c r="AN18" s="787">
        <v>49791.79</v>
      </c>
      <c r="AO18" s="787">
        <v>0</v>
      </c>
      <c r="AP18" s="787">
        <v>12118.21</v>
      </c>
      <c r="AQ18" s="787">
        <v>71389.66</v>
      </c>
      <c r="AR18" s="787">
        <v>0</v>
      </c>
      <c r="AS18" s="787">
        <v>0</v>
      </c>
      <c r="AT18" s="787">
        <v>2955.79</v>
      </c>
      <c r="AU18" s="787">
        <v>0</v>
      </c>
      <c r="AV18" s="787">
        <v>0</v>
      </c>
      <c r="AW18" s="787">
        <v>0</v>
      </c>
      <c r="AX18" s="787">
        <v>0</v>
      </c>
      <c r="AY18" s="787">
        <v>0</v>
      </c>
      <c r="AZ18" s="787">
        <v>47622.57</v>
      </c>
      <c r="BA18" s="787">
        <v>0</v>
      </c>
      <c r="BB18" s="787">
        <v>2904</v>
      </c>
      <c r="BC18" s="787">
        <v>45181.98</v>
      </c>
      <c r="BD18" s="787">
        <v>662948.25</v>
      </c>
      <c r="BE18" s="787">
        <v>73436.19</v>
      </c>
      <c r="BF18" s="787">
        <v>181903.54</v>
      </c>
      <c r="BG18" s="787">
        <v>0</v>
      </c>
      <c r="BH18" s="787">
        <v>0</v>
      </c>
      <c r="BI18" s="787">
        <v>0</v>
      </c>
      <c r="BJ18" s="787">
        <f t="shared" si="2"/>
        <v>3207650.45</v>
      </c>
      <c r="BK18" s="787"/>
      <c r="BL18" s="787"/>
      <c r="BM18" s="787"/>
      <c r="BN18" s="787">
        <v>0</v>
      </c>
      <c r="BO18" s="787">
        <v>0</v>
      </c>
      <c r="BP18" s="787">
        <v>0</v>
      </c>
      <c r="BQ18" s="787">
        <f t="shared" si="3"/>
        <v>0</v>
      </c>
      <c r="BR18" s="787">
        <v>0</v>
      </c>
      <c r="BS18" s="787">
        <v>17624</v>
      </c>
      <c r="BT18" s="787">
        <v>0</v>
      </c>
      <c r="BU18" s="787">
        <v>0</v>
      </c>
      <c r="BV18" s="787">
        <v>0</v>
      </c>
      <c r="BW18" s="787">
        <v>0</v>
      </c>
      <c r="BX18" s="787">
        <v>0</v>
      </c>
      <c r="BY18" s="787">
        <v>0</v>
      </c>
      <c r="BZ18" s="787">
        <f t="shared" si="4"/>
        <v>17624</v>
      </c>
      <c r="CA18" s="787"/>
      <c r="CB18" s="787"/>
      <c r="CC18" s="787"/>
      <c r="CD18" s="787">
        <v>0</v>
      </c>
      <c r="CE18" s="787">
        <v>0</v>
      </c>
      <c r="CF18" s="787">
        <f t="shared" si="5"/>
        <v>0</v>
      </c>
      <c r="CG18" s="787">
        <v>0</v>
      </c>
      <c r="CH18" s="787">
        <v>0</v>
      </c>
      <c r="CI18" s="787">
        <f t="shared" si="6"/>
        <v>0</v>
      </c>
      <c r="CJ18" s="787"/>
      <c r="CK18" s="787"/>
      <c r="CL18" s="787"/>
      <c r="CM18" s="787"/>
      <c r="CN18" s="787"/>
      <c r="CO18" s="787"/>
      <c r="CP18" s="787"/>
      <c r="CQ18" s="787"/>
      <c r="CR18" s="787"/>
      <c r="CS18" s="787">
        <v>-560382.80000000005</v>
      </c>
      <c r="CT18" s="787">
        <v>0</v>
      </c>
      <c r="CU18" s="787">
        <v>0</v>
      </c>
      <c r="CV18" s="787">
        <v>-560382.80000000005</v>
      </c>
      <c r="CW18" s="787">
        <v>0</v>
      </c>
      <c r="CX18" s="787">
        <v>0</v>
      </c>
      <c r="CY18" s="787">
        <v>8335.18</v>
      </c>
      <c r="CZ18" s="787">
        <v>23903.46</v>
      </c>
      <c r="DA18" s="787">
        <v>0</v>
      </c>
      <c r="DB18" s="787">
        <v>-528144.16</v>
      </c>
      <c r="DC18" s="787">
        <v>0</v>
      </c>
      <c r="DD18" s="787">
        <v>0</v>
      </c>
      <c r="DE18" s="787">
        <v>0</v>
      </c>
      <c r="DF18" s="787">
        <v>0</v>
      </c>
      <c r="DG18" s="787"/>
      <c r="DH18" s="787"/>
      <c r="DI18" s="787"/>
      <c r="DJ18" s="787">
        <v>0</v>
      </c>
      <c r="DK18" s="787">
        <v>0</v>
      </c>
      <c r="DL18" s="787">
        <v>50634.47</v>
      </c>
      <c r="DM18" s="787">
        <v>0</v>
      </c>
      <c r="DN18" s="787">
        <v>0</v>
      </c>
      <c r="DO18" s="787">
        <v>0</v>
      </c>
      <c r="DP18" s="787">
        <v>-283615.71999999997</v>
      </c>
      <c r="DQ18" s="787">
        <v>-11639.94</v>
      </c>
      <c r="DR18" s="787">
        <v>0</v>
      </c>
      <c r="DS18" s="787">
        <v>0</v>
      </c>
      <c r="DT18" s="787">
        <v>-244621.18999999997</v>
      </c>
      <c r="DU18" s="787">
        <v>0</v>
      </c>
      <c r="DV18" s="787">
        <v>0</v>
      </c>
      <c r="DW18" s="787">
        <v>0</v>
      </c>
      <c r="DX18" s="787">
        <v>0</v>
      </c>
      <c r="DY18" s="787">
        <v>0</v>
      </c>
      <c r="DZ18" s="787">
        <v>0</v>
      </c>
      <c r="EA18" s="787">
        <v>0.11724917741958052</v>
      </c>
    </row>
    <row r="19" spans="1:131" ht="15.6">
      <c r="A19" s="782" t="s">
        <v>1306</v>
      </c>
      <c r="B19" s="782" t="s">
        <v>554</v>
      </c>
      <c r="C19" s="783">
        <v>2017</v>
      </c>
      <c r="D19" s="784" t="s">
        <v>555</v>
      </c>
      <c r="E19" s="785" t="s">
        <v>521</v>
      </c>
      <c r="F19" s="786" t="s">
        <v>1307</v>
      </c>
      <c r="G19" s="785" t="s">
        <v>5</v>
      </c>
      <c r="H19" s="785" t="str">
        <f t="shared" si="0"/>
        <v>AX04L</v>
      </c>
      <c r="I19" s="787">
        <v>0</v>
      </c>
      <c r="J19" s="787">
        <v>0</v>
      </c>
      <c r="K19" s="787">
        <v>0</v>
      </c>
      <c r="L19" s="787">
        <v>0</v>
      </c>
      <c r="M19" s="787">
        <v>1700</v>
      </c>
      <c r="N19" s="787">
        <v>0</v>
      </c>
      <c r="O19" s="787">
        <v>0</v>
      </c>
      <c r="P19" s="787">
        <v>0</v>
      </c>
      <c r="Q19" s="787">
        <v>0</v>
      </c>
      <c r="R19" s="787">
        <v>0</v>
      </c>
      <c r="S19" s="787">
        <v>0</v>
      </c>
      <c r="T19" s="787">
        <v>0</v>
      </c>
      <c r="U19" s="787">
        <v>3085</v>
      </c>
      <c r="V19" s="787">
        <v>7910.62</v>
      </c>
      <c r="W19" s="787">
        <v>0</v>
      </c>
      <c r="X19" s="787">
        <f t="shared" si="1"/>
        <v>12695.619999999999</v>
      </c>
      <c r="Y19" s="787">
        <v>992282.5</v>
      </c>
      <c r="Z19" s="787">
        <v>19508.64</v>
      </c>
      <c r="AA19" s="787">
        <v>224026.15000000002</v>
      </c>
      <c r="AB19" s="787">
        <v>0</v>
      </c>
      <c r="AC19" s="787">
        <v>133282.93</v>
      </c>
      <c r="AD19" s="787">
        <v>0</v>
      </c>
      <c r="AE19" s="787">
        <v>43602.66</v>
      </c>
      <c r="AF19" s="787">
        <v>4819.38</v>
      </c>
      <c r="AG19" s="787">
        <v>2757.27</v>
      </c>
      <c r="AH19" s="787">
        <v>0</v>
      </c>
      <c r="AI19" s="787">
        <v>0</v>
      </c>
      <c r="AJ19" s="787">
        <v>55</v>
      </c>
      <c r="AK19" s="787">
        <v>0</v>
      </c>
      <c r="AL19" s="787">
        <v>0</v>
      </c>
      <c r="AM19" s="787">
        <v>4146.7</v>
      </c>
      <c r="AN19" s="787">
        <v>46494.719999999994</v>
      </c>
      <c r="AO19" s="787">
        <v>0</v>
      </c>
      <c r="AP19" s="787">
        <v>2263</v>
      </c>
      <c r="AQ19" s="787">
        <v>29922.91</v>
      </c>
      <c r="AR19" s="787">
        <v>0</v>
      </c>
      <c r="AS19" s="787">
        <v>0</v>
      </c>
      <c r="AT19" s="787">
        <v>4693</v>
      </c>
      <c r="AU19" s="787">
        <v>0</v>
      </c>
      <c r="AV19" s="787">
        <v>0</v>
      </c>
      <c r="AW19" s="787">
        <v>0</v>
      </c>
      <c r="AX19" s="787">
        <v>8270.68</v>
      </c>
      <c r="AY19" s="787">
        <v>0</v>
      </c>
      <c r="AZ19" s="787">
        <v>11281.04</v>
      </c>
      <c r="BA19" s="787">
        <v>0</v>
      </c>
      <c r="BB19" s="787">
        <v>0</v>
      </c>
      <c r="BC19" s="787">
        <v>114812.78</v>
      </c>
      <c r="BD19" s="787">
        <v>207360.96</v>
      </c>
      <c r="BE19" s="787">
        <v>0</v>
      </c>
      <c r="BF19" s="787">
        <v>51100</v>
      </c>
      <c r="BG19" s="787">
        <v>388523.54</v>
      </c>
      <c r="BH19" s="787">
        <v>0</v>
      </c>
      <c r="BI19" s="787">
        <v>0</v>
      </c>
      <c r="BJ19" s="787">
        <f t="shared" si="2"/>
        <v>2289203.8599999994</v>
      </c>
      <c r="BK19" s="787"/>
      <c r="BL19" s="787"/>
      <c r="BM19" s="787"/>
      <c r="BN19" s="787">
        <v>13764</v>
      </c>
      <c r="BO19" s="787">
        <v>0</v>
      </c>
      <c r="BP19" s="787">
        <v>0</v>
      </c>
      <c r="BQ19" s="787">
        <f t="shared" si="3"/>
        <v>13764</v>
      </c>
      <c r="BR19" s="787">
        <v>20443</v>
      </c>
      <c r="BS19" s="787">
        <v>0</v>
      </c>
      <c r="BT19" s="787">
        <v>0</v>
      </c>
      <c r="BU19" s="787">
        <v>0</v>
      </c>
      <c r="BV19" s="787">
        <v>0</v>
      </c>
      <c r="BW19" s="787">
        <v>0</v>
      </c>
      <c r="BX19" s="787">
        <v>497</v>
      </c>
      <c r="BY19" s="787">
        <v>0</v>
      </c>
      <c r="BZ19" s="787">
        <f t="shared" si="4"/>
        <v>20940</v>
      </c>
      <c r="CA19" s="787"/>
      <c r="CB19" s="787"/>
      <c r="CC19" s="787"/>
      <c r="CD19" s="787">
        <v>0</v>
      </c>
      <c r="CE19" s="787">
        <v>0</v>
      </c>
      <c r="CF19" s="787">
        <f t="shared" si="5"/>
        <v>0</v>
      </c>
      <c r="CG19" s="787">
        <v>0</v>
      </c>
      <c r="CH19" s="787">
        <v>0</v>
      </c>
      <c r="CI19" s="787">
        <f t="shared" si="6"/>
        <v>0</v>
      </c>
      <c r="CJ19" s="787"/>
      <c r="CK19" s="787"/>
      <c r="CL19" s="787"/>
      <c r="CM19" s="787"/>
      <c r="CN19" s="787"/>
      <c r="CO19" s="787"/>
      <c r="CP19" s="787"/>
      <c r="CQ19" s="787"/>
      <c r="CR19" s="787"/>
      <c r="CS19" s="787">
        <v>27666.84</v>
      </c>
      <c r="CT19" s="787">
        <v>298.27</v>
      </c>
      <c r="CU19" s="787">
        <v>1100</v>
      </c>
      <c r="CV19" s="787">
        <v>28468.57</v>
      </c>
      <c r="CW19" s="787">
        <v>0</v>
      </c>
      <c r="CX19" s="787">
        <v>10993.11</v>
      </c>
      <c r="CY19" s="787">
        <v>4391.22</v>
      </c>
      <c r="CZ19" s="787">
        <v>0</v>
      </c>
      <c r="DA19" s="787">
        <v>0</v>
      </c>
      <c r="DB19" s="787">
        <v>43852.9</v>
      </c>
      <c r="DC19" s="787">
        <v>0</v>
      </c>
      <c r="DD19" s="787">
        <v>0</v>
      </c>
      <c r="DE19" s="787">
        <v>0</v>
      </c>
      <c r="DF19" s="787">
        <v>0</v>
      </c>
      <c r="DG19" s="787"/>
      <c r="DH19" s="787"/>
      <c r="DI19" s="787"/>
      <c r="DJ19" s="787">
        <v>0</v>
      </c>
      <c r="DK19" s="787">
        <v>0</v>
      </c>
      <c r="DL19" s="787">
        <v>0</v>
      </c>
      <c r="DM19" s="787">
        <v>0</v>
      </c>
      <c r="DN19" s="787">
        <v>0</v>
      </c>
      <c r="DO19" s="787">
        <v>0</v>
      </c>
      <c r="DP19" s="787">
        <v>-154719.20000000001</v>
      </c>
      <c r="DQ19" s="787">
        <v>-20776.580000000002</v>
      </c>
      <c r="DR19" s="787">
        <v>0</v>
      </c>
      <c r="DS19" s="787">
        <v>0</v>
      </c>
      <c r="DT19" s="787">
        <v>-175495.78000000003</v>
      </c>
      <c r="DU19" s="787">
        <v>0</v>
      </c>
      <c r="DV19" s="787">
        <v>0</v>
      </c>
      <c r="DW19" s="787">
        <v>0</v>
      </c>
      <c r="DX19" s="787">
        <v>-2200</v>
      </c>
      <c r="DY19" s="787">
        <v>0</v>
      </c>
      <c r="DZ19" s="787">
        <v>0</v>
      </c>
      <c r="EA19" s="787">
        <v>0.45950515297590755</v>
      </c>
    </row>
    <row r="20" spans="1:131" ht="15.6">
      <c r="A20" s="782" t="s">
        <v>1308</v>
      </c>
      <c r="B20" s="782" t="s">
        <v>556</v>
      </c>
      <c r="C20" s="783">
        <v>2016</v>
      </c>
      <c r="D20" s="784" t="s">
        <v>557</v>
      </c>
      <c r="E20" s="785" t="s">
        <v>521</v>
      </c>
      <c r="F20" s="786">
        <v>0</v>
      </c>
      <c r="G20" s="785" t="s">
        <v>5</v>
      </c>
      <c r="H20" s="785" t="str">
        <f t="shared" si="0"/>
        <v>AX04M</v>
      </c>
      <c r="I20" s="787">
        <v>0</v>
      </c>
      <c r="J20" s="787">
        <v>0</v>
      </c>
      <c r="K20" s="787">
        <v>0</v>
      </c>
      <c r="L20" s="787">
        <v>0</v>
      </c>
      <c r="M20" s="787">
        <v>0</v>
      </c>
      <c r="N20" s="787">
        <v>0</v>
      </c>
      <c r="O20" s="787">
        <v>0</v>
      </c>
      <c r="P20" s="787">
        <v>0</v>
      </c>
      <c r="Q20" s="787">
        <v>44366.849999999991</v>
      </c>
      <c r="R20" s="787">
        <v>0</v>
      </c>
      <c r="S20" s="787">
        <v>0</v>
      </c>
      <c r="T20" s="787">
        <v>0</v>
      </c>
      <c r="U20" s="787">
        <v>32010</v>
      </c>
      <c r="V20" s="787">
        <v>119577</v>
      </c>
      <c r="W20" s="787">
        <v>0</v>
      </c>
      <c r="X20" s="787">
        <f t="shared" si="1"/>
        <v>195953.84999999998</v>
      </c>
      <c r="Y20" s="787">
        <v>1247545.6099999999</v>
      </c>
      <c r="Z20" s="787">
        <v>0</v>
      </c>
      <c r="AA20" s="787">
        <v>353726.25000000006</v>
      </c>
      <c r="AB20" s="787">
        <v>0</v>
      </c>
      <c r="AC20" s="787">
        <v>204648.18999999997</v>
      </c>
      <c r="AD20" s="787">
        <v>0</v>
      </c>
      <c r="AE20" s="787">
        <v>79297.12000000001</v>
      </c>
      <c r="AF20" s="787">
        <v>9420.2000000000007</v>
      </c>
      <c r="AG20" s="787">
        <v>2920.07</v>
      </c>
      <c r="AH20" s="787">
        <v>0</v>
      </c>
      <c r="AI20" s="787">
        <v>0</v>
      </c>
      <c r="AJ20" s="787">
        <v>547.6</v>
      </c>
      <c r="AK20" s="787">
        <v>0</v>
      </c>
      <c r="AL20" s="787">
        <v>0</v>
      </c>
      <c r="AM20" s="787">
        <v>9920.49</v>
      </c>
      <c r="AN20" s="787">
        <v>81521.899999999994</v>
      </c>
      <c r="AO20" s="787">
        <v>0</v>
      </c>
      <c r="AP20" s="787">
        <v>7153</v>
      </c>
      <c r="AQ20" s="787">
        <v>150688.95000000001</v>
      </c>
      <c r="AR20" s="787">
        <v>0</v>
      </c>
      <c r="AS20" s="787">
        <v>0</v>
      </c>
      <c r="AT20" s="787">
        <v>3522.32</v>
      </c>
      <c r="AU20" s="787">
        <v>3382</v>
      </c>
      <c r="AV20" s="787">
        <v>0</v>
      </c>
      <c r="AW20" s="787">
        <v>0</v>
      </c>
      <c r="AX20" s="787">
        <v>0</v>
      </c>
      <c r="AY20" s="787">
        <v>0</v>
      </c>
      <c r="AZ20" s="787">
        <v>19734.52</v>
      </c>
      <c r="BA20" s="787">
        <v>863.05999999999949</v>
      </c>
      <c r="BB20" s="787">
        <v>8712</v>
      </c>
      <c r="BC20" s="787">
        <v>64624.17</v>
      </c>
      <c r="BD20" s="787">
        <v>70480.350000000006</v>
      </c>
      <c r="BE20" s="787">
        <v>3569.41</v>
      </c>
      <c r="BF20" s="787">
        <v>58881.47</v>
      </c>
      <c r="BG20" s="787">
        <v>413909.79</v>
      </c>
      <c r="BH20" s="787">
        <v>0</v>
      </c>
      <c r="BI20" s="787">
        <v>0</v>
      </c>
      <c r="BJ20" s="787">
        <f t="shared" si="2"/>
        <v>2795068.47</v>
      </c>
      <c r="BK20" s="787"/>
      <c r="BL20" s="787"/>
      <c r="BM20" s="787"/>
      <c r="BN20" s="787">
        <v>0</v>
      </c>
      <c r="BO20" s="787">
        <v>0</v>
      </c>
      <c r="BP20" s="787">
        <v>0</v>
      </c>
      <c r="BQ20" s="787">
        <f t="shared" si="3"/>
        <v>0</v>
      </c>
      <c r="BR20" s="787">
        <v>0</v>
      </c>
      <c r="BS20" s="787">
        <v>0</v>
      </c>
      <c r="BT20" s="787">
        <v>0</v>
      </c>
      <c r="BU20" s="787">
        <v>0</v>
      </c>
      <c r="BV20" s="787">
        <v>0</v>
      </c>
      <c r="BW20" s="787">
        <v>0</v>
      </c>
      <c r="BX20" s="787">
        <v>2150</v>
      </c>
      <c r="BY20" s="787">
        <v>0</v>
      </c>
      <c r="BZ20" s="787">
        <f t="shared" si="4"/>
        <v>2150</v>
      </c>
      <c r="CA20" s="787"/>
      <c r="CB20" s="787"/>
      <c r="CC20" s="787"/>
      <c r="CD20" s="787">
        <v>0</v>
      </c>
      <c r="CE20" s="787">
        <v>0</v>
      </c>
      <c r="CF20" s="787">
        <f t="shared" si="5"/>
        <v>0</v>
      </c>
      <c r="CG20" s="787">
        <v>0</v>
      </c>
      <c r="CH20" s="787">
        <v>0</v>
      </c>
      <c r="CI20" s="787">
        <f t="shared" si="6"/>
        <v>0</v>
      </c>
      <c r="CJ20" s="787"/>
      <c r="CK20" s="787"/>
      <c r="CL20" s="787"/>
      <c r="CM20" s="787"/>
      <c r="CN20" s="787"/>
      <c r="CO20" s="787"/>
      <c r="CP20" s="787"/>
      <c r="CQ20" s="787"/>
      <c r="CR20" s="787"/>
      <c r="CS20" s="787">
        <v>666697.42000000004</v>
      </c>
      <c r="CT20" s="787">
        <v>91467</v>
      </c>
      <c r="CU20" s="787">
        <v>0</v>
      </c>
      <c r="CV20" s="787">
        <v>575230.42000000004</v>
      </c>
      <c r="CW20" s="787">
        <v>0</v>
      </c>
      <c r="CX20" s="787">
        <v>8846.48</v>
      </c>
      <c r="CY20" s="787">
        <v>534.20000000000005</v>
      </c>
      <c r="CZ20" s="787">
        <v>7197.33</v>
      </c>
      <c r="DA20" s="787">
        <v>0</v>
      </c>
      <c r="DB20" s="787">
        <v>591808.42999999993</v>
      </c>
      <c r="DC20" s="787">
        <v>0</v>
      </c>
      <c r="DD20" s="787">
        <v>0</v>
      </c>
      <c r="DE20" s="787">
        <v>0</v>
      </c>
      <c r="DF20" s="787">
        <v>0</v>
      </c>
      <c r="DG20" s="787"/>
      <c r="DH20" s="787"/>
      <c r="DI20" s="787"/>
      <c r="DJ20" s="787">
        <v>0</v>
      </c>
      <c r="DK20" s="787">
        <v>0</v>
      </c>
      <c r="DL20" s="787">
        <v>0</v>
      </c>
      <c r="DM20" s="787">
        <v>0</v>
      </c>
      <c r="DN20" s="787">
        <v>0</v>
      </c>
      <c r="DO20" s="787">
        <v>0</v>
      </c>
      <c r="DP20" s="787">
        <v>-217681.35</v>
      </c>
      <c r="DQ20" s="787">
        <v>-9211.9599999999991</v>
      </c>
      <c r="DR20" s="787">
        <v>0</v>
      </c>
      <c r="DS20" s="787">
        <v>0</v>
      </c>
      <c r="DT20" s="787">
        <v>-226893.31</v>
      </c>
      <c r="DU20" s="787">
        <v>0</v>
      </c>
      <c r="DV20" s="787">
        <v>0</v>
      </c>
      <c r="DW20" s="787">
        <v>0</v>
      </c>
      <c r="DX20" s="787">
        <v>-4898.46</v>
      </c>
      <c r="DY20" s="787">
        <v>0</v>
      </c>
      <c r="DZ20" s="787">
        <v>-73645.759999999995</v>
      </c>
      <c r="EA20" s="787">
        <v>5.8167958748526871E-2</v>
      </c>
    </row>
    <row r="21" spans="1:131" ht="15.6">
      <c r="A21" s="782" t="s">
        <v>1309</v>
      </c>
      <c r="B21" s="782" t="s">
        <v>558</v>
      </c>
      <c r="C21" s="783">
        <v>2239</v>
      </c>
      <c r="D21" s="784" t="s">
        <v>559</v>
      </c>
      <c r="E21" s="785" t="s">
        <v>521</v>
      </c>
      <c r="F21" s="786" t="s">
        <v>1310</v>
      </c>
      <c r="G21" s="785" t="s">
        <v>5</v>
      </c>
      <c r="H21" s="785" t="str">
        <f t="shared" si="0"/>
        <v>AX00G</v>
      </c>
      <c r="I21" s="787">
        <v>186407.30000000005</v>
      </c>
      <c r="J21" s="787">
        <v>0</v>
      </c>
      <c r="K21" s="787">
        <v>0</v>
      </c>
      <c r="L21" s="787">
        <v>0</v>
      </c>
      <c r="M21" s="787">
        <v>1700</v>
      </c>
      <c r="N21" s="787">
        <v>0</v>
      </c>
      <c r="O21" s="787">
        <v>0</v>
      </c>
      <c r="P21" s="787">
        <v>2880</v>
      </c>
      <c r="Q21" s="787">
        <v>46449</v>
      </c>
      <c r="R21" s="787">
        <v>0</v>
      </c>
      <c r="S21" s="787">
        <v>0</v>
      </c>
      <c r="T21" s="787">
        <v>0</v>
      </c>
      <c r="U21" s="787">
        <v>580.29</v>
      </c>
      <c r="V21" s="787">
        <v>0</v>
      </c>
      <c r="W21" s="787">
        <v>0</v>
      </c>
      <c r="X21" s="787">
        <f t="shared" si="1"/>
        <v>238016.59000000005</v>
      </c>
      <c r="Y21" s="787">
        <v>748635.95</v>
      </c>
      <c r="Z21" s="787">
        <v>0</v>
      </c>
      <c r="AA21" s="787">
        <v>457585.57999999996</v>
      </c>
      <c r="AB21" s="787">
        <v>13803.169999999998</v>
      </c>
      <c r="AC21" s="787">
        <v>171468.57</v>
      </c>
      <c r="AD21" s="787">
        <v>0</v>
      </c>
      <c r="AE21" s="787">
        <v>188084.87</v>
      </c>
      <c r="AF21" s="787">
        <v>98081.37</v>
      </c>
      <c r="AG21" s="787">
        <v>7204.35</v>
      </c>
      <c r="AH21" s="787">
        <v>0</v>
      </c>
      <c r="AI21" s="787">
        <v>22197.73</v>
      </c>
      <c r="AJ21" s="787">
        <v>39131.14</v>
      </c>
      <c r="AK21" s="787">
        <v>2117.7600000000002</v>
      </c>
      <c r="AL21" s="787">
        <v>46429.69</v>
      </c>
      <c r="AM21" s="787">
        <v>3170.54</v>
      </c>
      <c r="AN21" s="787">
        <v>29533.65</v>
      </c>
      <c r="AO21" s="787">
        <v>0</v>
      </c>
      <c r="AP21" s="787">
        <v>6630.58</v>
      </c>
      <c r="AQ21" s="787">
        <v>38788.9</v>
      </c>
      <c r="AR21" s="787">
        <v>0</v>
      </c>
      <c r="AS21" s="787">
        <v>0</v>
      </c>
      <c r="AT21" s="787">
        <v>592.73</v>
      </c>
      <c r="AU21" s="787">
        <v>6580</v>
      </c>
      <c r="AV21" s="787">
        <v>0</v>
      </c>
      <c r="AW21" s="787">
        <v>0</v>
      </c>
      <c r="AX21" s="787">
        <v>0</v>
      </c>
      <c r="AY21" s="787">
        <v>0</v>
      </c>
      <c r="AZ21" s="787">
        <v>28054.31</v>
      </c>
      <c r="BA21" s="787">
        <v>0</v>
      </c>
      <c r="BB21" s="787">
        <v>0</v>
      </c>
      <c r="BC21" s="787">
        <v>80996.58</v>
      </c>
      <c r="BD21" s="787">
        <v>18280.52</v>
      </c>
      <c r="BE21" s="787">
        <v>650.00000000000045</v>
      </c>
      <c r="BF21" s="787">
        <v>72163.509999999995</v>
      </c>
      <c r="BG21" s="787">
        <v>0</v>
      </c>
      <c r="BH21" s="787">
        <v>0</v>
      </c>
      <c r="BI21" s="787">
        <v>0</v>
      </c>
      <c r="BJ21" s="787">
        <f t="shared" si="2"/>
        <v>2080181.4999999998</v>
      </c>
      <c r="BK21" s="787"/>
      <c r="BL21" s="787"/>
      <c r="BM21" s="787"/>
      <c r="BN21" s="787">
        <v>0</v>
      </c>
      <c r="BO21" s="787">
        <v>0</v>
      </c>
      <c r="BP21" s="787">
        <v>0</v>
      </c>
      <c r="BQ21" s="787">
        <f t="shared" si="3"/>
        <v>0</v>
      </c>
      <c r="BR21" s="787">
        <v>0</v>
      </c>
      <c r="BS21" s="787">
        <v>15063</v>
      </c>
      <c r="BT21" s="787">
        <v>0</v>
      </c>
      <c r="BU21" s="787">
        <v>0</v>
      </c>
      <c r="BV21" s="787">
        <v>0</v>
      </c>
      <c r="BW21" s="787">
        <v>0</v>
      </c>
      <c r="BX21" s="787">
        <v>0</v>
      </c>
      <c r="BY21" s="787">
        <v>0</v>
      </c>
      <c r="BZ21" s="787">
        <f t="shared" si="4"/>
        <v>15063</v>
      </c>
      <c r="CA21" s="787"/>
      <c r="CB21" s="787"/>
      <c r="CC21" s="787"/>
      <c r="CD21" s="787">
        <v>0</v>
      </c>
      <c r="CE21" s="787">
        <v>0</v>
      </c>
      <c r="CF21" s="787">
        <f t="shared" si="5"/>
        <v>0</v>
      </c>
      <c r="CG21" s="787">
        <v>0</v>
      </c>
      <c r="CH21" s="787">
        <v>0</v>
      </c>
      <c r="CI21" s="787">
        <f t="shared" si="6"/>
        <v>0</v>
      </c>
      <c r="CJ21" s="787"/>
      <c r="CK21" s="787"/>
      <c r="CL21" s="787"/>
      <c r="CM21" s="787"/>
      <c r="CN21" s="787"/>
      <c r="CO21" s="787"/>
      <c r="CP21" s="787"/>
      <c r="CQ21" s="787"/>
      <c r="CR21" s="787"/>
      <c r="CS21" s="787">
        <v>-206543.78</v>
      </c>
      <c r="CT21" s="787">
        <v>0</v>
      </c>
      <c r="CU21" s="787">
        <v>0</v>
      </c>
      <c r="CV21" s="787">
        <v>-206543.78</v>
      </c>
      <c r="CW21" s="787">
        <v>0</v>
      </c>
      <c r="CX21" s="787">
        <v>6751.85</v>
      </c>
      <c r="CY21" s="787">
        <v>2231.7399999999998</v>
      </c>
      <c r="CZ21" s="787">
        <v>0</v>
      </c>
      <c r="DA21" s="787">
        <v>0</v>
      </c>
      <c r="DB21" s="787">
        <v>-197560.19</v>
      </c>
      <c r="DC21" s="787">
        <v>0</v>
      </c>
      <c r="DD21" s="787">
        <v>0</v>
      </c>
      <c r="DE21" s="787">
        <v>0</v>
      </c>
      <c r="DF21" s="787">
        <v>0</v>
      </c>
      <c r="DG21" s="787"/>
      <c r="DH21" s="787"/>
      <c r="DI21" s="787"/>
      <c r="DJ21" s="787">
        <v>0</v>
      </c>
      <c r="DK21" s="787">
        <v>0</v>
      </c>
      <c r="DL21" s="787">
        <v>0</v>
      </c>
      <c r="DM21" s="787">
        <v>0</v>
      </c>
      <c r="DN21" s="787">
        <v>0</v>
      </c>
      <c r="DO21" s="787">
        <v>0</v>
      </c>
      <c r="DP21" s="787">
        <v>-160736.62</v>
      </c>
      <c r="DQ21" s="787">
        <v>0</v>
      </c>
      <c r="DR21" s="787">
        <v>0</v>
      </c>
      <c r="DS21" s="787">
        <v>0</v>
      </c>
      <c r="DT21" s="787">
        <v>-160736.62</v>
      </c>
      <c r="DU21" s="787">
        <v>0</v>
      </c>
      <c r="DV21" s="787">
        <v>0</v>
      </c>
      <c r="DW21" s="787">
        <v>0</v>
      </c>
      <c r="DX21" s="787">
        <v>0</v>
      </c>
      <c r="DY21" s="787">
        <v>0</v>
      </c>
      <c r="DZ21" s="787">
        <v>0</v>
      </c>
      <c r="EA21" s="787">
        <v>-0.10651733039412647</v>
      </c>
    </row>
    <row r="22" spans="1:131" ht="15.6">
      <c r="A22" s="782" t="s">
        <v>1311</v>
      </c>
      <c r="B22" s="782" t="s">
        <v>560</v>
      </c>
      <c r="C22" s="783">
        <v>2241</v>
      </c>
      <c r="D22" s="784" t="s">
        <v>561</v>
      </c>
      <c r="E22" s="785" t="s">
        <v>521</v>
      </c>
      <c r="F22" s="786">
        <v>46094</v>
      </c>
      <c r="G22" s="785" t="s">
        <v>5</v>
      </c>
      <c r="H22" s="785" t="str">
        <f t="shared" si="0"/>
        <v>AX00H</v>
      </c>
      <c r="I22" s="787">
        <v>-0.26000000000931323</v>
      </c>
      <c r="J22" s="787">
        <v>0</v>
      </c>
      <c r="K22" s="787">
        <v>-0.44000000000232831</v>
      </c>
      <c r="L22" s="787">
        <v>0</v>
      </c>
      <c r="M22" s="787">
        <v>2300</v>
      </c>
      <c r="N22" s="787">
        <v>0</v>
      </c>
      <c r="O22" s="787">
        <v>0</v>
      </c>
      <c r="P22" s="787">
        <v>2627.95</v>
      </c>
      <c r="Q22" s="787">
        <v>181133.53</v>
      </c>
      <c r="R22" s="787">
        <v>0</v>
      </c>
      <c r="S22" s="787">
        <v>0</v>
      </c>
      <c r="T22" s="787">
        <v>0</v>
      </c>
      <c r="U22" s="787">
        <v>5698.1900000000005</v>
      </c>
      <c r="V22" s="787">
        <v>0</v>
      </c>
      <c r="W22" s="787">
        <v>0</v>
      </c>
      <c r="X22" s="787">
        <f t="shared" si="1"/>
        <v>191758.97</v>
      </c>
      <c r="Y22" s="787">
        <v>1046651.34</v>
      </c>
      <c r="Z22" s="787">
        <v>0</v>
      </c>
      <c r="AA22" s="787">
        <v>375225.48000000004</v>
      </c>
      <c r="AB22" s="787">
        <v>85392.86</v>
      </c>
      <c r="AC22" s="787">
        <v>243444.38</v>
      </c>
      <c r="AD22" s="787">
        <v>0</v>
      </c>
      <c r="AE22" s="787">
        <v>69461.7</v>
      </c>
      <c r="AF22" s="787">
        <v>17561.95</v>
      </c>
      <c r="AG22" s="787">
        <v>1868.86</v>
      </c>
      <c r="AH22" s="787">
        <v>0</v>
      </c>
      <c r="AI22" s="787">
        <v>0</v>
      </c>
      <c r="AJ22" s="787">
        <v>2654.7599999999984</v>
      </c>
      <c r="AK22" s="787">
        <v>5786.63</v>
      </c>
      <c r="AL22" s="787">
        <v>29674.739999999998</v>
      </c>
      <c r="AM22" s="787">
        <v>9647.4599999999991</v>
      </c>
      <c r="AN22" s="787">
        <v>61337.979999999996</v>
      </c>
      <c r="AO22" s="787">
        <v>0</v>
      </c>
      <c r="AP22" s="787">
        <v>19541.05</v>
      </c>
      <c r="AQ22" s="787">
        <v>88085.25</v>
      </c>
      <c r="AR22" s="787">
        <v>0</v>
      </c>
      <c r="AS22" s="787">
        <v>0</v>
      </c>
      <c r="AT22" s="787">
        <v>0</v>
      </c>
      <c r="AU22" s="787">
        <v>0</v>
      </c>
      <c r="AV22" s="787">
        <v>3338.85</v>
      </c>
      <c r="AW22" s="787">
        <v>0</v>
      </c>
      <c r="AX22" s="787">
        <v>0</v>
      </c>
      <c r="AY22" s="787">
        <v>0</v>
      </c>
      <c r="AZ22" s="787">
        <v>50558.31</v>
      </c>
      <c r="BA22" s="787">
        <v>0</v>
      </c>
      <c r="BB22" s="787">
        <v>5445</v>
      </c>
      <c r="BC22" s="787">
        <v>82023.06</v>
      </c>
      <c r="BD22" s="787">
        <v>6159.8799999999992</v>
      </c>
      <c r="BE22" s="787">
        <v>0</v>
      </c>
      <c r="BF22" s="787">
        <v>116660.41</v>
      </c>
      <c r="BG22" s="787">
        <v>0</v>
      </c>
      <c r="BH22" s="787">
        <v>0</v>
      </c>
      <c r="BI22" s="787">
        <v>0</v>
      </c>
      <c r="BJ22" s="787">
        <f t="shared" si="2"/>
        <v>2320519.9500000002</v>
      </c>
      <c r="BK22" s="787"/>
      <c r="BL22" s="787"/>
      <c r="BM22" s="787"/>
      <c r="BN22" s="787">
        <v>0</v>
      </c>
      <c r="BO22" s="787">
        <v>0</v>
      </c>
      <c r="BP22" s="787">
        <v>0</v>
      </c>
      <c r="BQ22" s="787">
        <f t="shared" si="3"/>
        <v>0</v>
      </c>
      <c r="BR22" s="787">
        <v>0</v>
      </c>
      <c r="BS22" s="787">
        <v>19482</v>
      </c>
      <c r="BT22" s="787">
        <v>0</v>
      </c>
      <c r="BU22" s="787">
        <v>0</v>
      </c>
      <c r="BV22" s="787">
        <v>0</v>
      </c>
      <c r="BW22" s="787">
        <v>0</v>
      </c>
      <c r="BX22" s="787">
        <v>0</v>
      </c>
      <c r="BY22" s="787">
        <v>0</v>
      </c>
      <c r="BZ22" s="787">
        <f t="shared" si="4"/>
        <v>19482</v>
      </c>
      <c r="CA22" s="787"/>
      <c r="CB22" s="787"/>
      <c r="CC22" s="787"/>
      <c r="CD22" s="787">
        <v>0</v>
      </c>
      <c r="CE22" s="787">
        <v>0</v>
      </c>
      <c r="CF22" s="787">
        <f t="shared" si="5"/>
        <v>0</v>
      </c>
      <c r="CG22" s="787">
        <v>0</v>
      </c>
      <c r="CH22" s="787">
        <v>0</v>
      </c>
      <c r="CI22" s="787">
        <f t="shared" si="6"/>
        <v>0</v>
      </c>
      <c r="CJ22" s="787"/>
      <c r="CK22" s="787"/>
      <c r="CL22" s="787"/>
      <c r="CM22" s="787"/>
      <c r="CN22" s="787"/>
      <c r="CO22" s="787"/>
      <c r="CP22" s="787"/>
      <c r="CQ22" s="787"/>
      <c r="CR22" s="787"/>
      <c r="CS22" s="787">
        <v>284677.39</v>
      </c>
      <c r="CT22" s="787">
        <v>0</v>
      </c>
      <c r="CU22" s="787">
        <v>0</v>
      </c>
      <c r="CV22" s="787">
        <v>284677.39</v>
      </c>
      <c r="CW22" s="787">
        <v>0</v>
      </c>
      <c r="CX22" s="787">
        <v>6741.67</v>
      </c>
      <c r="CY22" s="787">
        <v>1378.31</v>
      </c>
      <c r="CZ22" s="787">
        <v>0</v>
      </c>
      <c r="DA22" s="787">
        <v>0</v>
      </c>
      <c r="DB22" s="787">
        <v>292797.37</v>
      </c>
      <c r="DC22" s="787">
        <v>0</v>
      </c>
      <c r="DD22" s="787">
        <v>0</v>
      </c>
      <c r="DE22" s="787">
        <v>0</v>
      </c>
      <c r="DF22" s="787">
        <v>0</v>
      </c>
      <c r="DG22" s="787"/>
      <c r="DH22" s="787"/>
      <c r="DI22" s="787"/>
      <c r="DJ22" s="787">
        <v>-338421.73</v>
      </c>
      <c r="DK22" s="787">
        <v>-338421.73</v>
      </c>
      <c r="DL22" s="787">
        <v>0</v>
      </c>
      <c r="DM22" s="787">
        <v>0</v>
      </c>
      <c r="DN22" s="787">
        <v>0</v>
      </c>
      <c r="DO22" s="787">
        <v>0</v>
      </c>
      <c r="DP22" s="787">
        <v>-201779.77</v>
      </c>
      <c r="DQ22" s="787">
        <v>0</v>
      </c>
      <c r="DR22" s="787">
        <v>0</v>
      </c>
      <c r="DS22" s="787">
        <v>0</v>
      </c>
      <c r="DT22" s="787">
        <v>-201779.77</v>
      </c>
      <c r="DU22" s="787">
        <v>0</v>
      </c>
      <c r="DV22" s="787">
        <v>0</v>
      </c>
      <c r="DW22" s="787">
        <v>0</v>
      </c>
      <c r="DX22" s="787">
        <v>0</v>
      </c>
      <c r="DY22" s="787">
        <v>0</v>
      </c>
      <c r="DZ22" s="787">
        <v>0</v>
      </c>
      <c r="EA22" s="787">
        <v>0.35449154223897494</v>
      </c>
    </row>
    <row r="23" spans="1:131" ht="15.6">
      <c r="A23" s="782" t="s">
        <v>1312</v>
      </c>
      <c r="B23" s="782" t="s">
        <v>880</v>
      </c>
      <c r="C23" s="783">
        <v>2456</v>
      </c>
      <c r="D23" s="784" t="s">
        <v>881</v>
      </c>
      <c r="E23" s="785" t="s">
        <v>521</v>
      </c>
      <c r="F23" s="786">
        <v>46091</v>
      </c>
      <c r="G23" s="785" t="s">
        <v>5</v>
      </c>
      <c r="H23" s="785" t="str">
        <f t="shared" si="0"/>
        <v>AX00J</v>
      </c>
      <c r="I23" s="787">
        <v>0</v>
      </c>
      <c r="J23" s="787">
        <v>0</v>
      </c>
      <c r="K23" s="787">
        <v>0</v>
      </c>
      <c r="L23" s="787">
        <v>0</v>
      </c>
      <c r="M23" s="787">
        <v>0</v>
      </c>
      <c r="N23" s="787">
        <v>0</v>
      </c>
      <c r="O23" s="787">
        <v>0</v>
      </c>
      <c r="P23" s="787">
        <v>0</v>
      </c>
      <c r="Q23" s="787">
        <v>10425.68</v>
      </c>
      <c r="R23" s="787">
        <v>0</v>
      </c>
      <c r="S23" s="787">
        <v>0</v>
      </c>
      <c r="T23" s="787">
        <v>0</v>
      </c>
      <c r="U23" s="787">
        <v>29829.200000000001</v>
      </c>
      <c r="V23" s="787">
        <v>19404.79</v>
      </c>
      <c r="W23" s="787">
        <v>0</v>
      </c>
      <c r="X23" s="787">
        <f t="shared" si="1"/>
        <v>59659.670000000006</v>
      </c>
      <c r="Y23" s="787">
        <v>717946.23</v>
      </c>
      <c r="Z23" s="787">
        <v>0</v>
      </c>
      <c r="AA23" s="787">
        <v>248593.44999999998</v>
      </c>
      <c r="AB23" s="787">
        <v>78064.23</v>
      </c>
      <c r="AC23" s="787">
        <v>151730.85999999999</v>
      </c>
      <c r="AD23" s="787">
        <v>44872.119999999995</v>
      </c>
      <c r="AE23" s="787">
        <v>33948.979999999996</v>
      </c>
      <c r="AF23" s="787">
        <v>2436.8000000000002</v>
      </c>
      <c r="AG23" s="787">
        <v>1230.6600000000001</v>
      </c>
      <c r="AH23" s="787">
        <v>0</v>
      </c>
      <c r="AI23" s="787">
        <v>0</v>
      </c>
      <c r="AJ23" s="787">
        <v>4953.88</v>
      </c>
      <c r="AK23" s="787">
        <v>0</v>
      </c>
      <c r="AL23" s="787">
        <v>1996.19</v>
      </c>
      <c r="AM23" s="787">
        <v>4148.5200000000004</v>
      </c>
      <c r="AN23" s="787">
        <v>29342.23</v>
      </c>
      <c r="AO23" s="787">
        <v>0</v>
      </c>
      <c r="AP23" s="787">
        <v>10156.09</v>
      </c>
      <c r="AQ23" s="787">
        <v>77628.679999999993</v>
      </c>
      <c r="AR23" s="787">
        <v>0</v>
      </c>
      <c r="AS23" s="787">
        <v>0</v>
      </c>
      <c r="AT23" s="787">
        <v>2051.87</v>
      </c>
      <c r="AU23" s="787">
        <v>0</v>
      </c>
      <c r="AV23" s="787">
        <v>0</v>
      </c>
      <c r="AW23" s="787">
        <v>62.5</v>
      </c>
      <c r="AX23" s="787">
        <v>0</v>
      </c>
      <c r="AY23" s="787">
        <v>0</v>
      </c>
      <c r="AZ23" s="787">
        <v>35431.479999999996</v>
      </c>
      <c r="BA23" s="787">
        <v>0</v>
      </c>
      <c r="BB23" s="787">
        <v>1150</v>
      </c>
      <c r="BC23" s="787">
        <v>29670.1</v>
      </c>
      <c r="BD23" s="787">
        <v>7290</v>
      </c>
      <c r="BE23" s="787">
        <v>47011.73</v>
      </c>
      <c r="BF23" s="787">
        <v>69808</v>
      </c>
      <c r="BG23" s="787">
        <v>0</v>
      </c>
      <c r="BH23" s="787">
        <v>0</v>
      </c>
      <c r="BI23" s="787">
        <v>0</v>
      </c>
      <c r="BJ23" s="787">
        <f t="shared" si="2"/>
        <v>1599524.6</v>
      </c>
      <c r="BK23" s="787"/>
      <c r="BL23" s="787"/>
      <c r="BM23" s="787"/>
      <c r="BN23" s="787">
        <v>21154.25</v>
      </c>
      <c r="BO23" s="787">
        <v>0</v>
      </c>
      <c r="BP23" s="787">
        <v>0</v>
      </c>
      <c r="BQ23" s="787">
        <f t="shared" si="3"/>
        <v>21154.25</v>
      </c>
      <c r="BR23" s="787">
        <v>8830.2000000000007</v>
      </c>
      <c r="BS23" s="787">
        <v>0</v>
      </c>
      <c r="BT23" s="787">
        <v>0</v>
      </c>
      <c r="BU23" s="787">
        <v>0</v>
      </c>
      <c r="BV23" s="787">
        <v>0</v>
      </c>
      <c r="BW23" s="787">
        <v>0</v>
      </c>
      <c r="BX23" s="787">
        <v>0</v>
      </c>
      <c r="BY23" s="787">
        <v>0</v>
      </c>
      <c r="BZ23" s="787">
        <f t="shared" si="4"/>
        <v>8830.2000000000007</v>
      </c>
      <c r="CA23" s="787"/>
      <c r="CB23" s="787"/>
      <c r="CC23" s="787"/>
      <c r="CD23" s="787">
        <v>0</v>
      </c>
      <c r="CE23" s="787">
        <v>0</v>
      </c>
      <c r="CF23" s="787">
        <f t="shared" si="5"/>
        <v>0</v>
      </c>
      <c r="CG23" s="787">
        <v>0</v>
      </c>
      <c r="CH23" s="787">
        <v>0</v>
      </c>
      <c r="CI23" s="787">
        <f t="shared" si="6"/>
        <v>0</v>
      </c>
      <c r="CJ23" s="787"/>
      <c r="CK23" s="787"/>
      <c r="CL23" s="787"/>
      <c r="CM23" s="787"/>
      <c r="CN23" s="787"/>
      <c r="CO23" s="787"/>
      <c r="CP23" s="787"/>
      <c r="CQ23" s="787"/>
      <c r="CR23" s="787"/>
      <c r="CS23" s="787"/>
      <c r="CT23" s="787"/>
      <c r="CU23" s="787"/>
      <c r="CV23" s="787"/>
      <c r="CW23" s="787"/>
      <c r="CX23" s="787"/>
      <c r="CY23" s="787"/>
      <c r="CZ23" s="787"/>
      <c r="DA23" s="787"/>
      <c r="DB23" s="787"/>
      <c r="DC23" s="787"/>
      <c r="DD23" s="787"/>
      <c r="DE23" s="787"/>
      <c r="DF23" s="787"/>
      <c r="DG23" s="787"/>
      <c r="DH23" s="787"/>
      <c r="DI23" s="787"/>
      <c r="DJ23" s="787"/>
      <c r="DK23" s="787"/>
      <c r="DL23" s="787"/>
      <c r="DM23" s="787"/>
      <c r="DN23" s="787"/>
      <c r="DO23" s="787"/>
      <c r="DP23" s="787"/>
      <c r="DQ23" s="787"/>
      <c r="DR23" s="787"/>
      <c r="DS23" s="787"/>
      <c r="DT23" s="787"/>
      <c r="DU23" s="787"/>
      <c r="DV23" s="787"/>
      <c r="DW23" s="787"/>
      <c r="DX23" s="787"/>
      <c r="DY23" s="787"/>
      <c r="DZ23" s="787"/>
      <c r="EA23" s="787"/>
    </row>
    <row r="24" spans="1:131" ht="15.6">
      <c r="A24" s="782" t="s">
        <v>1313</v>
      </c>
      <c r="B24" s="782" t="s">
        <v>562</v>
      </c>
      <c r="C24" s="783">
        <v>5413</v>
      </c>
      <c r="D24" s="784" t="s">
        <v>563</v>
      </c>
      <c r="E24" s="785" t="s">
        <v>521</v>
      </c>
      <c r="F24" s="786">
        <v>46092</v>
      </c>
      <c r="G24" s="785" t="s">
        <v>5</v>
      </c>
      <c r="H24" s="785" t="str">
        <f t="shared" si="0"/>
        <v>AX08C</v>
      </c>
      <c r="I24" s="787">
        <v>0</v>
      </c>
      <c r="J24" s="787">
        <v>0</v>
      </c>
      <c r="K24" s="787">
        <v>0</v>
      </c>
      <c r="L24" s="787">
        <v>0</v>
      </c>
      <c r="M24" s="787">
        <v>0</v>
      </c>
      <c r="N24" s="787">
        <v>0</v>
      </c>
      <c r="O24" s="787">
        <v>767</v>
      </c>
      <c r="P24" s="787">
        <v>0</v>
      </c>
      <c r="Q24" s="787">
        <v>3888391</v>
      </c>
      <c r="R24" s="787">
        <v>287905</v>
      </c>
      <c r="S24" s="787">
        <v>0</v>
      </c>
      <c r="T24" s="787">
        <v>0</v>
      </c>
      <c r="U24" s="787">
        <v>163720</v>
      </c>
      <c r="V24" s="787">
        <v>2000</v>
      </c>
      <c r="W24" s="787">
        <v>0</v>
      </c>
      <c r="X24" s="787">
        <f t="shared" si="1"/>
        <v>4342783</v>
      </c>
      <c r="Y24" s="787">
        <v>7255310</v>
      </c>
      <c r="Z24" s="787">
        <v>0</v>
      </c>
      <c r="AA24" s="787">
        <v>747894</v>
      </c>
      <c r="AB24" s="787">
        <v>489772</v>
      </c>
      <c r="AC24" s="787">
        <v>1440454</v>
      </c>
      <c r="AD24" s="787">
        <v>297990</v>
      </c>
      <c r="AE24" s="787">
        <v>46000</v>
      </c>
      <c r="AF24" s="787">
        <v>0</v>
      </c>
      <c r="AG24" s="787">
        <v>14093</v>
      </c>
      <c r="AH24" s="787">
        <v>0</v>
      </c>
      <c r="AI24" s="787">
        <v>0</v>
      </c>
      <c r="AJ24" s="787">
        <v>109831</v>
      </c>
      <c r="AK24" s="787">
        <v>0</v>
      </c>
      <c r="AL24" s="787">
        <v>17704</v>
      </c>
      <c r="AM24" s="787">
        <v>14408</v>
      </c>
      <c r="AN24" s="787">
        <v>201639</v>
      </c>
      <c r="AO24" s="787">
        <v>0</v>
      </c>
      <c r="AP24" s="787">
        <v>42066</v>
      </c>
      <c r="AQ24" s="787">
        <v>2183865</v>
      </c>
      <c r="AR24" s="787">
        <v>0</v>
      </c>
      <c r="AS24" s="787">
        <v>0</v>
      </c>
      <c r="AT24" s="787">
        <v>80097</v>
      </c>
      <c r="AU24" s="787">
        <v>0</v>
      </c>
      <c r="AV24" s="787">
        <v>0</v>
      </c>
      <c r="AW24" s="787">
        <v>0</v>
      </c>
      <c r="AX24" s="787">
        <v>0</v>
      </c>
      <c r="AY24" s="787">
        <v>165583</v>
      </c>
      <c r="AZ24" s="787">
        <v>135024</v>
      </c>
      <c r="BA24" s="787">
        <v>39631</v>
      </c>
      <c r="BB24" s="787">
        <v>0</v>
      </c>
      <c r="BC24" s="787">
        <v>235023</v>
      </c>
      <c r="BD24" s="787">
        <v>134111</v>
      </c>
      <c r="BE24" s="787">
        <v>199142</v>
      </c>
      <c r="BF24" s="787">
        <v>32565</v>
      </c>
      <c r="BG24" s="787">
        <v>0</v>
      </c>
      <c r="BH24" s="787">
        <v>0</v>
      </c>
      <c r="BI24" s="787">
        <v>53857</v>
      </c>
      <c r="BJ24" s="787">
        <f t="shared" si="2"/>
        <v>13936059</v>
      </c>
      <c r="BK24" s="787"/>
      <c r="BL24" s="787"/>
      <c r="BM24" s="787"/>
      <c r="BN24" s="787">
        <v>0</v>
      </c>
      <c r="BO24" s="787">
        <v>0</v>
      </c>
      <c r="BP24" s="787">
        <v>44562</v>
      </c>
      <c r="BQ24" s="787">
        <f t="shared" si="3"/>
        <v>44562</v>
      </c>
      <c r="BR24" s="787">
        <v>0</v>
      </c>
      <c r="BS24" s="787">
        <v>0</v>
      </c>
      <c r="BT24" s="787">
        <v>0</v>
      </c>
      <c r="BU24" s="787">
        <v>0</v>
      </c>
      <c r="BV24" s="787">
        <v>0</v>
      </c>
      <c r="BW24" s="787">
        <v>44562</v>
      </c>
      <c r="BX24" s="787">
        <v>0</v>
      </c>
      <c r="BY24" s="787">
        <v>0</v>
      </c>
      <c r="BZ24" s="787">
        <f t="shared" si="4"/>
        <v>44562</v>
      </c>
      <c r="CA24" s="787"/>
      <c r="CB24" s="787"/>
      <c r="CC24" s="787"/>
      <c r="CD24" s="787">
        <v>329788</v>
      </c>
      <c r="CE24" s="787">
        <v>0</v>
      </c>
      <c r="CF24" s="787">
        <f t="shared" si="5"/>
        <v>329788</v>
      </c>
      <c r="CG24" s="787">
        <v>0</v>
      </c>
      <c r="CH24" s="787">
        <v>319401</v>
      </c>
      <c r="CI24" s="787">
        <f t="shared" si="6"/>
        <v>319401</v>
      </c>
      <c r="CJ24" s="787"/>
      <c r="CK24" s="787"/>
      <c r="CL24" s="787"/>
      <c r="CM24" s="787"/>
      <c r="CN24" s="787"/>
      <c r="CO24" s="787"/>
      <c r="CP24" s="787"/>
      <c r="CQ24" s="787"/>
      <c r="CR24" s="787"/>
      <c r="CS24" s="787">
        <v>3250.25</v>
      </c>
      <c r="CT24" s="787">
        <v>51994.79</v>
      </c>
      <c r="CU24" s="787">
        <v>0</v>
      </c>
      <c r="CV24" s="787">
        <v>-48744.54</v>
      </c>
      <c r="CW24" s="787">
        <v>126.37</v>
      </c>
      <c r="CX24" s="787">
        <v>13121.34</v>
      </c>
      <c r="CY24" s="787">
        <v>8122.84</v>
      </c>
      <c r="CZ24" s="787">
        <v>86.43</v>
      </c>
      <c r="DA24" s="787">
        <v>0</v>
      </c>
      <c r="DB24" s="787">
        <v>-27287.56</v>
      </c>
      <c r="DC24" s="787">
        <v>1456403.1099999999</v>
      </c>
      <c r="DD24" s="787">
        <v>0</v>
      </c>
      <c r="DE24" s="787">
        <v>0</v>
      </c>
      <c r="DF24" s="787">
        <v>1456403.1099999999</v>
      </c>
      <c r="DG24" s="787"/>
      <c r="DH24" s="787"/>
      <c r="DI24" s="787"/>
      <c r="DJ24" s="787">
        <v>0</v>
      </c>
      <c r="DK24" s="787">
        <v>1456403.1099999999</v>
      </c>
      <c r="DL24" s="787">
        <v>329788</v>
      </c>
      <c r="DM24" s="787">
        <v>0</v>
      </c>
      <c r="DN24" s="787">
        <v>0</v>
      </c>
      <c r="DO24" s="787">
        <v>0</v>
      </c>
      <c r="DP24" s="787">
        <v>-337195</v>
      </c>
      <c r="DQ24" s="787">
        <v>0</v>
      </c>
      <c r="DR24" s="787">
        <v>-73233</v>
      </c>
      <c r="DS24" s="787">
        <v>0</v>
      </c>
      <c r="DT24" s="787">
        <v>-80640</v>
      </c>
      <c r="DU24" s="787">
        <v>70721.759999999995</v>
      </c>
      <c r="DV24" s="787">
        <v>0</v>
      </c>
      <c r="DW24" s="787">
        <v>0</v>
      </c>
      <c r="DX24" s="787">
        <v>-3491.9900000000002</v>
      </c>
      <c r="DY24" s="787">
        <v>0</v>
      </c>
      <c r="DZ24" s="787">
        <v>-1059484.8400000001</v>
      </c>
      <c r="EA24" s="787">
        <v>-0.17917657765792683</v>
      </c>
    </row>
    <row r="25" spans="1:131" ht="15.6">
      <c r="A25" s="782" t="s">
        <v>1314</v>
      </c>
      <c r="B25" s="782" t="s">
        <v>882</v>
      </c>
      <c r="C25" s="783">
        <v>2254</v>
      </c>
      <c r="D25" s="784" t="s">
        <v>883</v>
      </c>
      <c r="E25" s="785" t="s">
        <v>521</v>
      </c>
      <c r="F25" s="786" t="s">
        <v>1315</v>
      </c>
      <c r="G25" s="785" t="s">
        <v>5</v>
      </c>
      <c r="H25" s="785" t="str">
        <f t="shared" si="0"/>
        <v>AX00Q</v>
      </c>
      <c r="I25" s="787">
        <v>0</v>
      </c>
      <c r="J25" s="787">
        <v>0</v>
      </c>
      <c r="K25" s="787">
        <v>0</v>
      </c>
      <c r="L25" s="787">
        <v>0</v>
      </c>
      <c r="M25" s="787">
        <v>0</v>
      </c>
      <c r="N25" s="787">
        <v>0</v>
      </c>
      <c r="O25" s="787">
        <v>4700</v>
      </c>
      <c r="P25" s="787">
        <v>0</v>
      </c>
      <c r="Q25" s="787">
        <v>107872.72</v>
      </c>
      <c r="R25" s="787">
        <v>0</v>
      </c>
      <c r="S25" s="787">
        <v>0</v>
      </c>
      <c r="T25" s="787">
        <v>0</v>
      </c>
      <c r="U25" s="787">
        <v>5400.6</v>
      </c>
      <c r="V25" s="787">
        <v>0</v>
      </c>
      <c r="W25" s="787">
        <v>0</v>
      </c>
      <c r="X25" s="787">
        <f t="shared" si="1"/>
        <v>117973.32</v>
      </c>
      <c r="Y25" s="787">
        <v>1785430.63</v>
      </c>
      <c r="Z25" s="787">
        <v>0</v>
      </c>
      <c r="AA25" s="787">
        <v>763987.37000000011</v>
      </c>
      <c r="AB25" s="787">
        <v>0</v>
      </c>
      <c r="AC25" s="787">
        <v>190761.04</v>
      </c>
      <c r="AD25" s="787">
        <v>0</v>
      </c>
      <c r="AE25" s="787">
        <v>145038.79</v>
      </c>
      <c r="AF25" s="787">
        <v>16660.68</v>
      </c>
      <c r="AG25" s="787">
        <v>7506.95</v>
      </c>
      <c r="AH25" s="787">
        <v>0</v>
      </c>
      <c r="AI25" s="787">
        <v>0</v>
      </c>
      <c r="AJ25" s="787">
        <v>748.82</v>
      </c>
      <c r="AK25" s="787">
        <v>1560</v>
      </c>
      <c r="AL25" s="787">
        <v>656.99</v>
      </c>
      <c r="AM25" s="787">
        <v>15845.77</v>
      </c>
      <c r="AN25" s="787">
        <v>69117</v>
      </c>
      <c r="AO25" s="787">
        <v>1739.8899999999994</v>
      </c>
      <c r="AP25" s="787">
        <v>21731.78</v>
      </c>
      <c r="AQ25" s="787">
        <v>28564.81</v>
      </c>
      <c r="AR25" s="787">
        <v>26789.66</v>
      </c>
      <c r="AS25" s="787">
        <v>0</v>
      </c>
      <c r="AT25" s="787">
        <v>5542.11</v>
      </c>
      <c r="AU25" s="787">
        <v>19587.63</v>
      </c>
      <c r="AV25" s="787">
        <v>8221.619999999999</v>
      </c>
      <c r="AW25" s="787">
        <v>0</v>
      </c>
      <c r="AX25" s="787">
        <v>0</v>
      </c>
      <c r="AY25" s="787">
        <v>0</v>
      </c>
      <c r="AZ25" s="787">
        <v>8468.2999999999993</v>
      </c>
      <c r="BA25" s="787">
        <v>993.35000000000036</v>
      </c>
      <c r="BB25" s="787">
        <v>0</v>
      </c>
      <c r="BC25" s="787">
        <v>213488.22</v>
      </c>
      <c r="BD25" s="787">
        <v>396150.5</v>
      </c>
      <c r="BE25" s="787">
        <v>12813.65</v>
      </c>
      <c r="BF25" s="787">
        <v>237015.38</v>
      </c>
      <c r="BG25" s="787">
        <v>203861.14</v>
      </c>
      <c r="BH25" s="787">
        <v>0</v>
      </c>
      <c r="BI25" s="787">
        <v>0</v>
      </c>
      <c r="BJ25" s="787">
        <f t="shared" si="2"/>
        <v>4182282.0800000005</v>
      </c>
      <c r="BK25" s="787"/>
      <c r="BL25" s="787"/>
      <c r="BM25" s="787"/>
      <c r="BN25" s="787">
        <v>0</v>
      </c>
      <c r="BO25" s="787">
        <v>0</v>
      </c>
      <c r="BP25" s="787">
        <v>0</v>
      </c>
      <c r="BQ25" s="787">
        <f t="shared" si="3"/>
        <v>0</v>
      </c>
      <c r="BR25" s="787">
        <v>0</v>
      </c>
      <c r="BS25" s="787">
        <v>0</v>
      </c>
      <c r="BT25" s="787">
        <v>0</v>
      </c>
      <c r="BU25" s="787">
        <v>0</v>
      </c>
      <c r="BV25" s="787">
        <v>0</v>
      </c>
      <c r="BW25" s="787">
        <v>0</v>
      </c>
      <c r="BX25" s="787">
        <v>9595.5</v>
      </c>
      <c r="BY25" s="787">
        <v>0</v>
      </c>
      <c r="BZ25" s="787">
        <f t="shared" si="4"/>
        <v>9595.5</v>
      </c>
      <c r="CA25" s="787"/>
      <c r="CB25" s="787"/>
      <c r="CC25" s="787"/>
      <c r="CD25" s="787">
        <v>0</v>
      </c>
      <c r="CE25" s="787">
        <v>0</v>
      </c>
      <c r="CF25" s="787">
        <f t="shared" si="5"/>
        <v>0</v>
      </c>
      <c r="CG25" s="787">
        <v>0</v>
      </c>
      <c r="CH25" s="787">
        <v>0</v>
      </c>
      <c r="CI25" s="787">
        <f t="shared" si="6"/>
        <v>0</v>
      </c>
      <c r="CJ25" s="787"/>
      <c r="CK25" s="787"/>
      <c r="CL25" s="787"/>
      <c r="CM25" s="787"/>
      <c r="CN25" s="787"/>
      <c r="CO25" s="787"/>
      <c r="CP25" s="787"/>
      <c r="CQ25" s="787"/>
      <c r="CR25" s="787"/>
      <c r="CS25" s="787"/>
      <c r="CT25" s="787"/>
      <c r="CU25" s="787"/>
      <c r="CV25" s="787"/>
      <c r="CW25" s="787"/>
      <c r="CX25" s="787"/>
      <c r="CY25" s="787"/>
      <c r="CZ25" s="787"/>
      <c r="DA25" s="787"/>
      <c r="DB25" s="787"/>
      <c r="DC25" s="787"/>
      <c r="DD25" s="787"/>
      <c r="DE25" s="787"/>
      <c r="DF25" s="787"/>
      <c r="DG25" s="787"/>
      <c r="DH25" s="787"/>
      <c r="DI25" s="787"/>
      <c r="DJ25" s="787"/>
      <c r="DK25" s="787"/>
      <c r="DL25" s="787"/>
      <c r="DM25" s="787"/>
      <c r="DN25" s="787"/>
      <c r="DO25" s="787"/>
      <c r="DP25" s="787"/>
      <c r="DQ25" s="787"/>
      <c r="DR25" s="787"/>
      <c r="DS25" s="787"/>
      <c r="DT25" s="787"/>
      <c r="DU25" s="787"/>
      <c r="DV25" s="787"/>
      <c r="DW25" s="787"/>
      <c r="DX25" s="787"/>
      <c r="DY25" s="787"/>
      <c r="DZ25" s="787"/>
      <c r="EA25" s="787"/>
    </row>
    <row r="26" spans="1:131" ht="15.6">
      <c r="A26" s="782" t="s">
        <v>1316</v>
      </c>
      <c r="B26" s="782" t="s">
        <v>565</v>
      </c>
      <c r="C26" s="783">
        <v>1025</v>
      </c>
      <c r="D26" s="784" t="s">
        <v>566</v>
      </c>
      <c r="E26" s="785" t="s">
        <v>521</v>
      </c>
      <c r="F26" s="786">
        <v>46094</v>
      </c>
      <c r="G26" s="785" t="s">
        <v>5</v>
      </c>
      <c r="H26" s="785" t="str">
        <f t="shared" si="0"/>
        <v>AX00R</v>
      </c>
      <c r="I26" s="787">
        <v>0</v>
      </c>
      <c r="J26" s="787">
        <v>0</v>
      </c>
      <c r="K26" s="787">
        <v>52999.999999999993</v>
      </c>
      <c r="L26" s="787">
        <v>0</v>
      </c>
      <c r="M26" s="787">
        <v>0</v>
      </c>
      <c r="N26" s="787">
        <v>214201</v>
      </c>
      <c r="O26" s="787">
        <v>0</v>
      </c>
      <c r="P26" s="787">
        <v>13800</v>
      </c>
      <c r="Q26" s="787">
        <v>50785.05</v>
      </c>
      <c r="R26" s="787">
        <v>1775</v>
      </c>
      <c r="S26" s="787">
        <v>0</v>
      </c>
      <c r="T26" s="787">
        <v>0</v>
      </c>
      <c r="U26" s="787">
        <v>14619</v>
      </c>
      <c r="V26" s="787">
        <v>0</v>
      </c>
      <c r="W26" s="787">
        <v>0</v>
      </c>
      <c r="X26" s="787">
        <f t="shared" si="1"/>
        <v>348180.05</v>
      </c>
      <c r="Y26" s="787">
        <v>249559.07</v>
      </c>
      <c r="Z26" s="787">
        <v>0</v>
      </c>
      <c r="AA26" s="787">
        <v>275071.76</v>
      </c>
      <c r="AB26" s="787">
        <v>42112.06</v>
      </c>
      <c r="AC26" s="787">
        <v>99172.97</v>
      </c>
      <c r="AD26" s="787">
        <v>17676.34</v>
      </c>
      <c r="AE26" s="787">
        <v>0</v>
      </c>
      <c r="AF26" s="787">
        <v>3085.78</v>
      </c>
      <c r="AG26" s="787">
        <v>2569</v>
      </c>
      <c r="AH26" s="787">
        <v>0</v>
      </c>
      <c r="AI26" s="787">
        <v>0</v>
      </c>
      <c r="AJ26" s="787">
        <v>75394</v>
      </c>
      <c r="AK26" s="787">
        <v>5233</v>
      </c>
      <c r="AL26" s="787">
        <v>3578</v>
      </c>
      <c r="AM26" s="787">
        <v>2135</v>
      </c>
      <c r="AN26" s="787">
        <v>12995.08</v>
      </c>
      <c r="AO26" s="787">
        <v>0</v>
      </c>
      <c r="AP26" s="787">
        <v>11394</v>
      </c>
      <c r="AQ26" s="787">
        <v>28428</v>
      </c>
      <c r="AR26" s="787">
        <v>5555</v>
      </c>
      <c r="AS26" s="787">
        <v>0</v>
      </c>
      <c r="AT26" s="787">
        <v>7552</v>
      </c>
      <c r="AU26" s="787">
        <v>0</v>
      </c>
      <c r="AV26" s="787">
        <v>100</v>
      </c>
      <c r="AW26" s="787">
        <v>0</v>
      </c>
      <c r="AX26" s="787">
        <v>7575</v>
      </c>
      <c r="AY26" s="787">
        <v>0</v>
      </c>
      <c r="AZ26" s="787">
        <v>3486</v>
      </c>
      <c r="BA26" s="787">
        <v>0</v>
      </c>
      <c r="BB26" s="787">
        <v>0</v>
      </c>
      <c r="BC26" s="787">
        <v>5673</v>
      </c>
      <c r="BD26" s="787">
        <v>0</v>
      </c>
      <c r="BE26" s="787">
        <v>78489</v>
      </c>
      <c r="BF26" s="787">
        <v>448144</v>
      </c>
      <c r="BG26" s="787">
        <v>0</v>
      </c>
      <c r="BH26" s="787">
        <v>500</v>
      </c>
      <c r="BI26" s="787">
        <v>0</v>
      </c>
      <c r="BJ26" s="787">
        <f t="shared" si="2"/>
        <v>1385478.06</v>
      </c>
      <c r="BK26" s="787"/>
      <c r="BL26" s="787"/>
      <c r="BM26" s="787"/>
      <c r="BN26" s="787">
        <v>0</v>
      </c>
      <c r="BO26" s="787">
        <v>0</v>
      </c>
      <c r="BP26" s="787">
        <v>0</v>
      </c>
      <c r="BQ26" s="787">
        <f t="shared" si="3"/>
        <v>0</v>
      </c>
      <c r="BR26" s="787">
        <v>0</v>
      </c>
      <c r="BS26" s="787">
        <v>0</v>
      </c>
      <c r="BT26" s="787">
        <v>3219.57</v>
      </c>
      <c r="BU26" s="787">
        <v>0</v>
      </c>
      <c r="BV26" s="787">
        <v>0</v>
      </c>
      <c r="BW26" s="787">
        <v>0</v>
      </c>
      <c r="BX26" s="787">
        <v>0</v>
      </c>
      <c r="BY26" s="787">
        <v>0</v>
      </c>
      <c r="BZ26" s="787">
        <f t="shared" si="4"/>
        <v>3219.57</v>
      </c>
      <c r="CA26" s="787"/>
      <c r="CB26" s="787"/>
      <c r="CC26" s="787"/>
      <c r="CD26" s="787">
        <v>0</v>
      </c>
      <c r="CE26" s="787">
        <v>0</v>
      </c>
      <c r="CF26" s="787">
        <f t="shared" si="5"/>
        <v>0</v>
      </c>
      <c r="CG26" s="787">
        <v>0</v>
      </c>
      <c r="CH26" s="787">
        <v>0</v>
      </c>
      <c r="CI26" s="787">
        <f t="shared" si="6"/>
        <v>0</v>
      </c>
      <c r="CJ26" s="787"/>
      <c r="CK26" s="787"/>
      <c r="CL26" s="787"/>
      <c r="CM26" s="787"/>
      <c r="CN26" s="787"/>
      <c r="CO26" s="787"/>
      <c r="CP26" s="787"/>
      <c r="CQ26" s="787"/>
      <c r="CR26" s="787"/>
      <c r="CS26" s="787"/>
      <c r="CT26" s="787"/>
      <c r="CU26" s="787"/>
      <c r="CV26" s="787"/>
      <c r="CW26" s="787"/>
      <c r="CX26" s="787"/>
      <c r="CY26" s="787"/>
      <c r="CZ26" s="787"/>
      <c r="DA26" s="787"/>
      <c r="DB26" s="787"/>
      <c r="DC26" s="787"/>
      <c r="DD26" s="787"/>
      <c r="DE26" s="787"/>
      <c r="DF26" s="787"/>
      <c r="DG26" s="787"/>
      <c r="DH26" s="787"/>
      <c r="DI26" s="787"/>
      <c r="DJ26" s="787"/>
      <c r="DK26" s="787"/>
      <c r="DL26" s="787"/>
      <c r="DM26" s="787"/>
      <c r="DN26" s="787"/>
      <c r="DO26" s="787"/>
      <c r="DP26" s="787"/>
      <c r="DQ26" s="787"/>
      <c r="DR26" s="787"/>
      <c r="DS26" s="787"/>
      <c r="DT26" s="787"/>
      <c r="DU26" s="787"/>
      <c r="DV26" s="787"/>
      <c r="DW26" s="787"/>
      <c r="DX26" s="787"/>
      <c r="DY26" s="787"/>
      <c r="DZ26" s="787"/>
      <c r="EA26" s="787"/>
    </row>
    <row r="27" spans="1:131" ht="15.6">
      <c r="A27" s="782" t="s">
        <v>1317</v>
      </c>
      <c r="B27" s="782" t="s">
        <v>567</v>
      </c>
      <c r="C27" s="783">
        <v>2402</v>
      </c>
      <c r="D27" s="784" t="s">
        <v>568</v>
      </c>
      <c r="E27" s="785" t="s">
        <v>521</v>
      </c>
      <c r="F27" s="786">
        <v>46094</v>
      </c>
      <c r="G27" s="785" t="s">
        <v>5</v>
      </c>
      <c r="H27" s="785" t="str">
        <f t="shared" si="0"/>
        <v>AX08G</v>
      </c>
      <c r="I27" s="787">
        <v>-31637.550000000047</v>
      </c>
      <c r="J27" s="787">
        <v>0</v>
      </c>
      <c r="K27" s="787">
        <v>0</v>
      </c>
      <c r="L27" s="787">
        <v>0</v>
      </c>
      <c r="M27" s="787">
        <v>2900</v>
      </c>
      <c r="N27" s="787">
        <v>0</v>
      </c>
      <c r="O27" s="787">
        <v>0</v>
      </c>
      <c r="P27" s="787">
        <v>1205</v>
      </c>
      <c r="Q27" s="787">
        <v>95382</v>
      </c>
      <c r="R27" s="787">
        <v>1193.67</v>
      </c>
      <c r="S27" s="787">
        <v>0</v>
      </c>
      <c r="T27" s="787">
        <v>0</v>
      </c>
      <c r="U27" s="787">
        <v>4471.95</v>
      </c>
      <c r="V27" s="787">
        <v>0</v>
      </c>
      <c r="W27" s="787">
        <v>0</v>
      </c>
      <c r="X27" s="787">
        <f t="shared" si="1"/>
        <v>73515.069999999949</v>
      </c>
      <c r="Y27" s="787">
        <v>1226620.98</v>
      </c>
      <c r="Z27" s="787">
        <v>0</v>
      </c>
      <c r="AA27" s="787">
        <v>643010.13</v>
      </c>
      <c r="AB27" s="787">
        <v>23583.78</v>
      </c>
      <c r="AC27" s="787">
        <v>87854.03</v>
      </c>
      <c r="AD27" s="787">
        <v>0</v>
      </c>
      <c r="AE27" s="787">
        <v>54547.1</v>
      </c>
      <c r="AF27" s="787">
        <v>15925.62</v>
      </c>
      <c r="AG27" s="787">
        <v>5789.94</v>
      </c>
      <c r="AH27" s="787">
        <v>0</v>
      </c>
      <c r="AI27" s="787">
        <v>0</v>
      </c>
      <c r="AJ27" s="787">
        <v>24195.279999999999</v>
      </c>
      <c r="AK27" s="787">
        <v>125</v>
      </c>
      <c r="AL27" s="787">
        <v>30682.23</v>
      </c>
      <c r="AM27" s="787">
        <v>9339.76</v>
      </c>
      <c r="AN27" s="787">
        <v>30264.11</v>
      </c>
      <c r="AO27" s="787">
        <v>0</v>
      </c>
      <c r="AP27" s="787">
        <v>5078.34</v>
      </c>
      <c r="AQ27" s="787">
        <v>23440.18</v>
      </c>
      <c r="AR27" s="787">
        <v>0</v>
      </c>
      <c r="AS27" s="787">
        <v>0</v>
      </c>
      <c r="AT27" s="787">
        <v>1005</v>
      </c>
      <c r="AU27" s="787">
        <v>0</v>
      </c>
      <c r="AV27" s="787">
        <v>0</v>
      </c>
      <c r="AW27" s="787">
        <v>0</v>
      </c>
      <c r="AX27" s="787">
        <v>0</v>
      </c>
      <c r="AY27" s="787">
        <v>0</v>
      </c>
      <c r="AZ27" s="787">
        <v>41293.089999999997</v>
      </c>
      <c r="BA27" s="787">
        <v>0</v>
      </c>
      <c r="BB27" s="787">
        <v>0</v>
      </c>
      <c r="BC27" s="787">
        <v>122922.73</v>
      </c>
      <c r="BD27" s="787">
        <v>154800.15</v>
      </c>
      <c r="BE27" s="787">
        <v>0</v>
      </c>
      <c r="BF27" s="787">
        <v>120222.39</v>
      </c>
      <c r="BG27" s="787">
        <v>0</v>
      </c>
      <c r="BH27" s="787">
        <v>0</v>
      </c>
      <c r="BI27" s="787">
        <v>0</v>
      </c>
      <c r="BJ27" s="787">
        <f t="shared" si="2"/>
        <v>2620699.84</v>
      </c>
      <c r="BK27" s="787"/>
      <c r="BL27" s="787"/>
      <c r="BM27" s="787"/>
      <c r="BN27" s="787">
        <v>0</v>
      </c>
      <c r="BO27" s="787">
        <v>0</v>
      </c>
      <c r="BP27" s="787">
        <v>0</v>
      </c>
      <c r="BQ27" s="787">
        <f t="shared" si="3"/>
        <v>0</v>
      </c>
      <c r="BR27" s="787">
        <v>0</v>
      </c>
      <c r="BS27" s="787">
        <v>0</v>
      </c>
      <c r="BT27" s="787">
        <v>0</v>
      </c>
      <c r="BU27" s="787">
        <v>0</v>
      </c>
      <c r="BV27" s="787">
        <v>0</v>
      </c>
      <c r="BW27" s="787">
        <v>0</v>
      </c>
      <c r="BX27" s="787">
        <v>0</v>
      </c>
      <c r="BY27" s="787">
        <v>0</v>
      </c>
      <c r="BZ27" s="787">
        <f t="shared" si="4"/>
        <v>0</v>
      </c>
      <c r="CA27" s="787"/>
      <c r="CB27" s="787"/>
      <c r="CC27" s="787"/>
      <c r="CD27" s="787">
        <v>0</v>
      </c>
      <c r="CE27" s="787">
        <v>0</v>
      </c>
      <c r="CF27" s="787">
        <f t="shared" si="5"/>
        <v>0</v>
      </c>
      <c r="CG27" s="787">
        <v>0</v>
      </c>
      <c r="CH27" s="787">
        <v>0</v>
      </c>
      <c r="CI27" s="787">
        <f t="shared" si="6"/>
        <v>0</v>
      </c>
      <c r="CJ27" s="787"/>
      <c r="CK27" s="787"/>
      <c r="CL27" s="787"/>
      <c r="CM27" s="787"/>
      <c r="CN27" s="787"/>
      <c r="CO27" s="787"/>
      <c r="CP27" s="787"/>
      <c r="CQ27" s="787"/>
      <c r="CR27" s="787"/>
      <c r="CS27" s="787"/>
      <c r="CT27" s="787"/>
      <c r="CU27" s="787"/>
      <c r="CV27" s="787"/>
      <c r="CW27" s="787"/>
      <c r="CX27" s="787"/>
      <c r="CY27" s="787"/>
      <c r="CZ27" s="787"/>
      <c r="DA27" s="787"/>
      <c r="DB27" s="787"/>
      <c r="DC27" s="787"/>
      <c r="DD27" s="787"/>
      <c r="DE27" s="787"/>
      <c r="DF27" s="787"/>
      <c r="DG27" s="787"/>
      <c r="DH27" s="787"/>
      <c r="DI27" s="787"/>
      <c r="DJ27" s="787"/>
      <c r="DK27" s="787"/>
      <c r="DL27" s="787"/>
      <c r="DM27" s="787"/>
      <c r="DN27" s="787"/>
      <c r="DO27" s="787"/>
      <c r="DP27" s="787"/>
      <c r="DQ27" s="787"/>
      <c r="DR27" s="787"/>
      <c r="DS27" s="787"/>
      <c r="DT27" s="787"/>
      <c r="DU27" s="787"/>
      <c r="DV27" s="787"/>
      <c r="DW27" s="787"/>
      <c r="DX27" s="787"/>
      <c r="DY27" s="787"/>
      <c r="DZ27" s="787"/>
      <c r="EA27" s="787"/>
    </row>
    <row r="28" spans="1:131" ht="15.6">
      <c r="A28" s="782" t="s">
        <v>1318</v>
      </c>
      <c r="B28" s="782" t="s">
        <v>569</v>
      </c>
      <c r="C28" s="783">
        <v>2401</v>
      </c>
      <c r="D28" s="784" t="s">
        <v>570</v>
      </c>
      <c r="E28" s="785" t="s">
        <v>521</v>
      </c>
      <c r="F28" s="786">
        <v>46094</v>
      </c>
      <c r="G28" s="785" t="s">
        <v>5</v>
      </c>
      <c r="H28" s="785" t="str">
        <f t="shared" si="0"/>
        <v>AX00T</v>
      </c>
      <c r="I28" s="787">
        <v>0</v>
      </c>
      <c r="J28" s="787">
        <v>0</v>
      </c>
      <c r="K28" s="787">
        <v>0</v>
      </c>
      <c r="L28" s="787">
        <v>0</v>
      </c>
      <c r="M28" s="787">
        <v>1700</v>
      </c>
      <c r="N28" s="787">
        <v>1000</v>
      </c>
      <c r="O28" s="787">
        <v>0</v>
      </c>
      <c r="P28" s="787">
        <v>8490</v>
      </c>
      <c r="Q28" s="787">
        <v>325789.53000000003</v>
      </c>
      <c r="R28" s="787">
        <v>0</v>
      </c>
      <c r="S28" s="787">
        <v>0</v>
      </c>
      <c r="T28" s="787">
        <v>0</v>
      </c>
      <c r="U28" s="787">
        <v>66532.38</v>
      </c>
      <c r="V28" s="787">
        <v>0</v>
      </c>
      <c r="W28" s="787">
        <v>0</v>
      </c>
      <c r="X28" s="787">
        <f t="shared" si="1"/>
        <v>403511.91000000003</v>
      </c>
      <c r="Y28" s="787">
        <v>1340073.8500000001</v>
      </c>
      <c r="Z28" s="787">
        <v>0</v>
      </c>
      <c r="AA28" s="787">
        <v>607746.79</v>
      </c>
      <c r="AB28" s="787">
        <v>23584.68</v>
      </c>
      <c r="AC28" s="787">
        <v>114151.14</v>
      </c>
      <c r="AD28" s="787">
        <v>0</v>
      </c>
      <c r="AE28" s="787">
        <v>41363.56</v>
      </c>
      <c r="AF28" s="787">
        <v>9054.4</v>
      </c>
      <c r="AG28" s="787">
        <v>5472.84</v>
      </c>
      <c r="AH28" s="787">
        <v>0</v>
      </c>
      <c r="AI28" s="787">
        <v>0</v>
      </c>
      <c r="AJ28" s="787">
        <v>21460.01</v>
      </c>
      <c r="AK28" s="787">
        <v>2117.5</v>
      </c>
      <c r="AL28" s="787">
        <v>49380.4</v>
      </c>
      <c r="AM28" s="787">
        <v>16503.830000000002</v>
      </c>
      <c r="AN28" s="787">
        <v>60071.979999999996</v>
      </c>
      <c r="AO28" s="787">
        <v>0</v>
      </c>
      <c r="AP28" s="787">
        <v>14872.75</v>
      </c>
      <c r="AQ28" s="787">
        <v>141141.14000000001</v>
      </c>
      <c r="AR28" s="787">
        <v>0</v>
      </c>
      <c r="AS28" s="787">
        <v>0</v>
      </c>
      <c r="AT28" s="787">
        <v>7114.55</v>
      </c>
      <c r="AU28" s="787">
        <v>0</v>
      </c>
      <c r="AV28" s="787">
        <v>0</v>
      </c>
      <c r="AW28" s="787">
        <v>0</v>
      </c>
      <c r="AX28" s="787">
        <v>0</v>
      </c>
      <c r="AY28" s="787">
        <v>0</v>
      </c>
      <c r="AZ28" s="787">
        <v>6593.5</v>
      </c>
      <c r="BA28" s="787">
        <v>0</v>
      </c>
      <c r="BB28" s="787">
        <v>0</v>
      </c>
      <c r="BC28" s="787">
        <v>19266.22</v>
      </c>
      <c r="BD28" s="787">
        <v>75457.16</v>
      </c>
      <c r="BE28" s="787">
        <v>0</v>
      </c>
      <c r="BF28" s="787">
        <v>127634.51</v>
      </c>
      <c r="BG28" s="787">
        <v>0</v>
      </c>
      <c r="BH28" s="787">
        <v>0</v>
      </c>
      <c r="BI28" s="787">
        <v>0</v>
      </c>
      <c r="BJ28" s="787">
        <f t="shared" si="2"/>
        <v>2683060.8099999996</v>
      </c>
      <c r="BK28" s="787"/>
      <c r="BL28" s="787"/>
      <c r="BM28" s="787"/>
      <c r="BN28" s="787">
        <v>0</v>
      </c>
      <c r="BO28" s="787">
        <v>0</v>
      </c>
      <c r="BP28" s="787">
        <v>0</v>
      </c>
      <c r="BQ28" s="787">
        <f t="shared" si="3"/>
        <v>0</v>
      </c>
      <c r="BR28" s="787">
        <v>0</v>
      </c>
      <c r="BS28" s="787">
        <v>0</v>
      </c>
      <c r="BT28" s="787">
        <v>0</v>
      </c>
      <c r="BU28" s="787">
        <v>0</v>
      </c>
      <c r="BV28" s="787">
        <v>0</v>
      </c>
      <c r="BW28" s="787">
        <v>0</v>
      </c>
      <c r="BX28" s="787">
        <v>0</v>
      </c>
      <c r="BY28" s="787">
        <v>0</v>
      </c>
      <c r="BZ28" s="787">
        <f t="shared" si="4"/>
        <v>0</v>
      </c>
      <c r="CA28" s="787"/>
      <c r="CB28" s="787"/>
      <c r="CC28" s="787"/>
      <c r="CD28" s="787">
        <v>0</v>
      </c>
      <c r="CE28" s="787">
        <v>0</v>
      </c>
      <c r="CF28" s="787">
        <f t="shared" si="5"/>
        <v>0</v>
      </c>
      <c r="CG28" s="787">
        <v>0</v>
      </c>
      <c r="CH28" s="787">
        <v>0</v>
      </c>
      <c r="CI28" s="787">
        <f t="shared" si="6"/>
        <v>0</v>
      </c>
      <c r="CJ28" s="787"/>
      <c r="CK28" s="787"/>
      <c r="CL28" s="787"/>
      <c r="CM28" s="787"/>
      <c r="CN28" s="787"/>
      <c r="CO28" s="787"/>
      <c r="CP28" s="787"/>
      <c r="CQ28" s="787"/>
      <c r="CR28" s="787"/>
      <c r="CS28" s="787">
        <v>238431.9</v>
      </c>
      <c r="CT28" s="787">
        <v>74</v>
      </c>
      <c r="CU28" s="787">
        <v>0</v>
      </c>
      <c r="CV28" s="787">
        <v>238357.9</v>
      </c>
      <c r="CW28" s="787">
        <v>0</v>
      </c>
      <c r="CX28" s="787">
        <v>8973.5</v>
      </c>
      <c r="CY28" s="787">
        <v>5683.63</v>
      </c>
      <c r="CZ28" s="787">
        <v>28238</v>
      </c>
      <c r="DA28" s="787">
        <v>8071.83</v>
      </c>
      <c r="DB28" s="787">
        <v>289324.86000000004</v>
      </c>
      <c r="DC28" s="787">
        <v>0</v>
      </c>
      <c r="DD28" s="787">
        <v>0</v>
      </c>
      <c r="DE28" s="787">
        <v>0</v>
      </c>
      <c r="DF28" s="787">
        <v>0</v>
      </c>
      <c r="DG28" s="787"/>
      <c r="DH28" s="787"/>
      <c r="DI28" s="787"/>
      <c r="DJ28" s="787">
        <v>-62100</v>
      </c>
      <c r="DK28" s="787">
        <v>-62100</v>
      </c>
      <c r="DL28" s="787">
        <v>0</v>
      </c>
      <c r="DM28" s="787">
        <v>0</v>
      </c>
      <c r="DN28" s="787">
        <v>0</v>
      </c>
      <c r="DO28" s="787">
        <v>0</v>
      </c>
      <c r="DP28" s="787">
        <v>-200386.37</v>
      </c>
      <c r="DQ28" s="787">
        <v>0</v>
      </c>
      <c r="DR28" s="787">
        <v>0</v>
      </c>
      <c r="DS28" s="787">
        <v>0</v>
      </c>
      <c r="DT28" s="787">
        <v>-200386.37</v>
      </c>
      <c r="DU28" s="787">
        <v>675</v>
      </c>
      <c r="DV28" s="787">
        <v>37.24</v>
      </c>
      <c r="DW28" s="787">
        <v>0</v>
      </c>
      <c r="DX28" s="787">
        <v>0</v>
      </c>
      <c r="DY28" s="787">
        <v>0</v>
      </c>
      <c r="DZ28" s="787">
        <v>-36426.25</v>
      </c>
      <c r="EA28" s="787">
        <v>0.39000000042142347</v>
      </c>
    </row>
    <row r="29" spans="1:131" ht="15.6">
      <c r="A29" s="782" t="s">
        <v>1319</v>
      </c>
      <c r="B29" s="782" t="s">
        <v>862</v>
      </c>
      <c r="C29" s="783">
        <v>1001</v>
      </c>
      <c r="D29" s="784" t="s">
        <v>863</v>
      </c>
      <c r="E29" s="785" t="s">
        <v>521</v>
      </c>
      <c r="F29" s="786">
        <v>46094</v>
      </c>
      <c r="G29" s="785" t="s">
        <v>5</v>
      </c>
      <c r="H29" s="785" t="str">
        <f t="shared" si="0"/>
        <v>AX00U</v>
      </c>
      <c r="I29" s="787">
        <v>0</v>
      </c>
      <c r="J29" s="787">
        <v>0</v>
      </c>
      <c r="K29" s="787">
        <v>0</v>
      </c>
      <c r="L29" s="787">
        <v>0</v>
      </c>
      <c r="M29" s="787">
        <v>0</v>
      </c>
      <c r="N29" s="787">
        <v>0</v>
      </c>
      <c r="O29" s="787">
        <v>0</v>
      </c>
      <c r="P29" s="787">
        <v>0</v>
      </c>
      <c r="Q29" s="787">
        <v>59189.990000000005</v>
      </c>
      <c r="R29" s="787">
        <v>0</v>
      </c>
      <c r="S29" s="787">
        <v>0</v>
      </c>
      <c r="T29" s="787">
        <v>0</v>
      </c>
      <c r="U29" s="787">
        <v>0</v>
      </c>
      <c r="V29" s="787">
        <v>0</v>
      </c>
      <c r="W29" s="787">
        <v>0</v>
      </c>
      <c r="X29" s="787">
        <f t="shared" si="1"/>
        <v>59189.990000000005</v>
      </c>
      <c r="Y29" s="787">
        <v>187681.04</v>
      </c>
      <c r="Z29" s="787">
        <v>0</v>
      </c>
      <c r="AA29" s="787">
        <v>209775.49000000002</v>
      </c>
      <c r="AB29" s="787">
        <v>0</v>
      </c>
      <c r="AC29" s="787">
        <v>49662.1</v>
      </c>
      <c r="AD29" s="787">
        <v>1013.35</v>
      </c>
      <c r="AE29" s="787">
        <v>12941.29</v>
      </c>
      <c r="AF29" s="787">
        <v>1398.82</v>
      </c>
      <c r="AG29" s="787">
        <v>2394</v>
      </c>
      <c r="AH29" s="787">
        <v>0</v>
      </c>
      <c r="AI29" s="787">
        <v>0</v>
      </c>
      <c r="AJ29" s="787">
        <v>12030.34</v>
      </c>
      <c r="AK29" s="787">
        <v>0</v>
      </c>
      <c r="AL29" s="787">
        <v>18824.330000000002</v>
      </c>
      <c r="AM29" s="787">
        <v>2540.64</v>
      </c>
      <c r="AN29" s="787">
        <v>7182.2999999999993</v>
      </c>
      <c r="AO29" s="787">
        <v>0</v>
      </c>
      <c r="AP29" s="787">
        <v>3640.29</v>
      </c>
      <c r="AQ29" s="787">
        <v>5071.1899999999996</v>
      </c>
      <c r="AR29" s="787">
        <v>0</v>
      </c>
      <c r="AS29" s="787">
        <v>0</v>
      </c>
      <c r="AT29" s="787">
        <v>0</v>
      </c>
      <c r="AU29" s="787">
        <v>14207.199999999999</v>
      </c>
      <c r="AV29" s="787">
        <v>0</v>
      </c>
      <c r="AW29" s="787">
        <v>0</v>
      </c>
      <c r="AX29" s="787">
        <v>0</v>
      </c>
      <c r="AY29" s="787">
        <v>0</v>
      </c>
      <c r="AZ29" s="787">
        <v>11016.919999999998</v>
      </c>
      <c r="BA29" s="787">
        <v>3291.75</v>
      </c>
      <c r="BB29" s="787">
        <v>0</v>
      </c>
      <c r="BC29" s="787">
        <v>663.24</v>
      </c>
      <c r="BD29" s="787">
        <v>54957.58</v>
      </c>
      <c r="BE29" s="787">
        <v>0</v>
      </c>
      <c r="BF29" s="787">
        <v>9260.36</v>
      </c>
      <c r="BG29" s="787">
        <v>0</v>
      </c>
      <c r="BH29" s="787">
        <v>0</v>
      </c>
      <c r="BI29" s="787">
        <v>0</v>
      </c>
      <c r="BJ29" s="787">
        <f t="shared" si="2"/>
        <v>607552.23</v>
      </c>
      <c r="BK29" s="787"/>
      <c r="BL29" s="787"/>
      <c r="BM29" s="787"/>
      <c r="BN29" s="787">
        <v>0</v>
      </c>
      <c r="BO29" s="787">
        <v>0</v>
      </c>
      <c r="BP29" s="787">
        <v>0</v>
      </c>
      <c r="BQ29" s="787">
        <f t="shared" si="3"/>
        <v>0</v>
      </c>
      <c r="BR29" s="787">
        <v>0</v>
      </c>
      <c r="BS29" s="787">
        <v>0</v>
      </c>
      <c r="BT29" s="787">
        <v>0</v>
      </c>
      <c r="BU29" s="787">
        <v>0</v>
      </c>
      <c r="BV29" s="787">
        <v>0</v>
      </c>
      <c r="BW29" s="787">
        <v>0</v>
      </c>
      <c r="BX29" s="787">
        <v>0</v>
      </c>
      <c r="BY29" s="787">
        <v>0</v>
      </c>
      <c r="BZ29" s="787">
        <f t="shared" si="4"/>
        <v>0</v>
      </c>
      <c r="CA29" s="787"/>
      <c r="CB29" s="787"/>
      <c r="CC29" s="787"/>
      <c r="CD29" s="787">
        <v>0</v>
      </c>
      <c r="CE29" s="787">
        <v>0</v>
      </c>
      <c r="CF29" s="787">
        <f t="shared" si="5"/>
        <v>0</v>
      </c>
      <c r="CG29" s="787">
        <v>0</v>
      </c>
      <c r="CH29" s="787">
        <v>0</v>
      </c>
      <c r="CI29" s="787">
        <f t="shared" si="6"/>
        <v>0</v>
      </c>
      <c r="CJ29" s="787"/>
      <c r="CK29" s="787"/>
      <c r="CL29" s="787"/>
      <c r="CM29" s="787"/>
      <c r="CN29" s="787"/>
      <c r="CO29" s="787"/>
      <c r="CP29" s="787"/>
      <c r="CQ29" s="787"/>
      <c r="CR29" s="787"/>
      <c r="CS29" s="787">
        <v>-134812.56</v>
      </c>
      <c r="CT29" s="787">
        <v>0</v>
      </c>
      <c r="CU29" s="787">
        <v>0</v>
      </c>
      <c r="CV29" s="787">
        <v>-134812.56</v>
      </c>
      <c r="CW29" s="787">
        <v>0</v>
      </c>
      <c r="CX29" s="787">
        <v>3911.64</v>
      </c>
      <c r="CY29" s="787">
        <v>0</v>
      </c>
      <c r="CZ29" s="787">
        <v>0</v>
      </c>
      <c r="DA29" s="787">
        <v>0</v>
      </c>
      <c r="DB29" s="787">
        <v>-130900.92</v>
      </c>
      <c r="DC29" s="787">
        <v>0</v>
      </c>
      <c r="DD29" s="787">
        <v>0</v>
      </c>
      <c r="DE29" s="787">
        <v>0</v>
      </c>
      <c r="DF29" s="787">
        <v>0</v>
      </c>
      <c r="DG29" s="787"/>
      <c r="DH29" s="787"/>
      <c r="DI29" s="787"/>
      <c r="DJ29" s="787">
        <v>0</v>
      </c>
      <c r="DK29" s="787">
        <v>0</v>
      </c>
      <c r="DL29" s="787">
        <v>0</v>
      </c>
      <c r="DM29" s="787">
        <v>0</v>
      </c>
      <c r="DN29" s="787">
        <v>0</v>
      </c>
      <c r="DO29" s="787">
        <v>0</v>
      </c>
      <c r="DP29" s="787">
        <v>-22590.69</v>
      </c>
      <c r="DQ29" s="787">
        <v>-38252.120000000003</v>
      </c>
      <c r="DR29" s="787">
        <v>0</v>
      </c>
      <c r="DS29" s="787">
        <v>0</v>
      </c>
      <c r="DT29" s="787">
        <v>-60842.81</v>
      </c>
      <c r="DU29" s="787">
        <v>0</v>
      </c>
      <c r="DV29" s="787">
        <v>0</v>
      </c>
      <c r="DW29" s="787">
        <v>0</v>
      </c>
      <c r="DX29" s="787">
        <v>0</v>
      </c>
      <c r="DY29" s="787">
        <v>0</v>
      </c>
      <c r="DZ29" s="787">
        <v>0</v>
      </c>
      <c r="EA29" s="787">
        <v>-0.18245275598019361</v>
      </c>
    </row>
    <row r="30" spans="1:131" ht="15.6">
      <c r="A30" s="782" t="s">
        <v>1320</v>
      </c>
      <c r="B30" s="782" t="s">
        <v>571</v>
      </c>
      <c r="C30" s="783">
        <v>4115</v>
      </c>
      <c r="D30" s="784" t="s">
        <v>572</v>
      </c>
      <c r="E30" s="785" t="s">
        <v>521</v>
      </c>
      <c r="F30" s="786" t="s">
        <v>1315</v>
      </c>
      <c r="G30" s="785" t="s">
        <v>5</v>
      </c>
      <c r="H30" s="785" t="str">
        <f t="shared" si="0"/>
        <v>AX08J</v>
      </c>
      <c r="I30" s="787">
        <v>0</v>
      </c>
      <c r="J30" s="787">
        <v>0</v>
      </c>
      <c r="K30" s="787">
        <v>0</v>
      </c>
      <c r="L30" s="787">
        <v>0</v>
      </c>
      <c r="M30" s="787">
        <v>0</v>
      </c>
      <c r="N30" s="787">
        <v>0</v>
      </c>
      <c r="O30" s="787">
        <v>2695.1</v>
      </c>
      <c r="P30" s="787">
        <v>21922.82</v>
      </c>
      <c r="Q30" s="787">
        <v>135199.34</v>
      </c>
      <c r="R30" s="787">
        <v>86029.440000000002</v>
      </c>
      <c r="S30" s="787">
        <v>0</v>
      </c>
      <c r="T30" s="787">
        <v>0</v>
      </c>
      <c r="U30" s="787">
        <v>24837.65</v>
      </c>
      <c r="V30" s="787">
        <v>0</v>
      </c>
      <c r="W30" s="787">
        <v>0</v>
      </c>
      <c r="X30" s="787">
        <f t="shared" si="1"/>
        <v>270684.35000000003</v>
      </c>
      <c r="Y30" s="787">
        <v>4633630.2700000005</v>
      </c>
      <c r="Z30" s="787">
        <v>0</v>
      </c>
      <c r="AA30" s="787">
        <v>1138937.6099999999</v>
      </c>
      <c r="AB30" s="787">
        <v>115060.59</v>
      </c>
      <c r="AC30" s="787">
        <v>713194.4</v>
      </c>
      <c r="AD30" s="787">
        <v>0</v>
      </c>
      <c r="AE30" s="787">
        <v>102845.92</v>
      </c>
      <c r="AF30" s="787">
        <v>56431.09</v>
      </c>
      <c r="AG30" s="787">
        <v>16797.440000000002</v>
      </c>
      <c r="AH30" s="787">
        <v>0</v>
      </c>
      <c r="AI30" s="787">
        <v>0</v>
      </c>
      <c r="AJ30" s="787">
        <v>168043.03</v>
      </c>
      <c r="AK30" s="787">
        <v>6500</v>
      </c>
      <c r="AL30" s="787">
        <v>185658.23</v>
      </c>
      <c r="AM30" s="787">
        <v>15160.84</v>
      </c>
      <c r="AN30" s="787">
        <v>203651.22</v>
      </c>
      <c r="AO30" s="787">
        <v>343.11999999999534</v>
      </c>
      <c r="AP30" s="787">
        <v>31058.799999999999</v>
      </c>
      <c r="AQ30" s="787">
        <v>208996.21</v>
      </c>
      <c r="AR30" s="787">
        <v>0</v>
      </c>
      <c r="AS30" s="787">
        <v>649.98</v>
      </c>
      <c r="AT30" s="787">
        <v>80902.080000000002</v>
      </c>
      <c r="AU30" s="787">
        <v>34251.279999999999</v>
      </c>
      <c r="AV30" s="787">
        <v>0</v>
      </c>
      <c r="AW30" s="787">
        <v>18540.22</v>
      </c>
      <c r="AX30" s="787">
        <v>0</v>
      </c>
      <c r="AY30" s="787">
        <v>163260.99</v>
      </c>
      <c r="AZ30" s="787">
        <v>151026.53</v>
      </c>
      <c r="BA30" s="787">
        <v>649.65000000000146</v>
      </c>
      <c r="BB30" s="787">
        <v>0</v>
      </c>
      <c r="BC30" s="787">
        <v>313579.98</v>
      </c>
      <c r="BD30" s="787">
        <v>280295.93</v>
      </c>
      <c r="BE30" s="787">
        <v>84244.02</v>
      </c>
      <c r="BF30" s="787">
        <v>213674.31</v>
      </c>
      <c r="BG30" s="787">
        <v>0</v>
      </c>
      <c r="BH30" s="787">
        <v>0</v>
      </c>
      <c r="BI30" s="787">
        <v>447772.44</v>
      </c>
      <c r="BJ30" s="787">
        <f t="shared" si="2"/>
        <v>9385156.1800000016</v>
      </c>
      <c r="BK30" s="787"/>
      <c r="BL30" s="787"/>
      <c r="BM30" s="787"/>
      <c r="BN30" s="787">
        <v>0</v>
      </c>
      <c r="BO30" s="787">
        <v>0</v>
      </c>
      <c r="BP30" s="787">
        <v>447772.44</v>
      </c>
      <c r="BQ30" s="787">
        <f t="shared" si="3"/>
        <v>447772.44</v>
      </c>
      <c r="BR30" s="787">
        <v>0</v>
      </c>
      <c r="BS30" s="787">
        <v>278712.08</v>
      </c>
      <c r="BT30" s="787">
        <v>8920</v>
      </c>
      <c r="BU30" s="787">
        <v>0</v>
      </c>
      <c r="BV30" s="787">
        <v>2279.98</v>
      </c>
      <c r="BW30" s="787">
        <v>0</v>
      </c>
      <c r="BX30" s="787">
        <v>61566.19</v>
      </c>
      <c r="BY30" s="787">
        <v>118420.48</v>
      </c>
      <c r="BZ30" s="787">
        <f t="shared" si="4"/>
        <v>469898.73</v>
      </c>
      <c r="CA30" s="787"/>
      <c r="CB30" s="787"/>
      <c r="CC30" s="787"/>
      <c r="CD30" s="787">
        <v>0</v>
      </c>
      <c r="CE30" s="787">
        <v>0</v>
      </c>
      <c r="CF30" s="787">
        <f t="shared" si="5"/>
        <v>0</v>
      </c>
      <c r="CG30" s="787">
        <v>0</v>
      </c>
      <c r="CH30" s="787">
        <v>0</v>
      </c>
      <c r="CI30" s="787">
        <f t="shared" si="6"/>
        <v>0</v>
      </c>
      <c r="CJ30" s="787"/>
      <c r="CK30" s="787"/>
      <c r="CL30" s="787"/>
      <c r="CM30" s="787"/>
      <c r="CN30" s="787"/>
      <c r="CO30" s="787"/>
      <c r="CP30" s="787"/>
      <c r="CQ30" s="787"/>
      <c r="CR30" s="787"/>
      <c r="CS30" s="787">
        <v>899175.67</v>
      </c>
      <c r="CT30" s="787">
        <v>162900.57</v>
      </c>
      <c r="CU30" s="787">
        <v>3183.59</v>
      </c>
      <c r="CV30" s="787">
        <v>739458.69000000006</v>
      </c>
      <c r="CW30" s="787">
        <v>100</v>
      </c>
      <c r="CX30" s="787">
        <v>36689.17</v>
      </c>
      <c r="CY30" s="787">
        <v>8718.06</v>
      </c>
      <c r="CZ30" s="787">
        <v>0</v>
      </c>
      <c r="DA30" s="787">
        <v>0</v>
      </c>
      <c r="DB30" s="787">
        <v>784965.92000000016</v>
      </c>
      <c r="DC30" s="787">
        <v>1548424.75</v>
      </c>
      <c r="DD30" s="787">
        <v>0</v>
      </c>
      <c r="DE30" s="787">
        <v>0</v>
      </c>
      <c r="DF30" s="787">
        <v>1548424.75</v>
      </c>
      <c r="DG30" s="787"/>
      <c r="DH30" s="787"/>
      <c r="DI30" s="787"/>
      <c r="DJ30" s="787">
        <v>0</v>
      </c>
      <c r="DK30" s="787">
        <v>1548424.75</v>
      </c>
      <c r="DL30" s="787">
        <v>0</v>
      </c>
      <c r="DM30" s="787">
        <v>0</v>
      </c>
      <c r="DN30" s="787">
        <v>141397.87</v>
      </c>
      <c r="DO30" s="787">
        <v>0</v>
      </c>
      <c r="DP30" s="787">
        <v>-738877.18</v>
      </c>
      <c r="DQ30" s="787">
        <v>-8199.52</v>
      </c>
      <c r="DR30" s="787">
        <v>-29449.37</v>
      </c>
      <c r="DS30" s="787">
        <v>0</v>
      </c>
      <c r="DT30" s="787">
        <v>-635128.20000000007</v>
      </c>
      <c r="DU30" s="787">
        <v>2710.69</v>
      </c>
      <c r="DV30" s="787">
        <v>0</v>
      </c>
      <c r="DW30" s="787">
        <v>-568.22</v>
      </c>
      <c r="DX30" s="787">
        <v>0</v>
      </c>
      <c r="DY30" s="787">
        <v>0</v>
      </c>
      <c r="DZ30" s="787">
        <v>0</v>
      </c>
      <c r="EA30" s="787">
        <v>0.40724942134693265</v>
      </c>
    </row>
    <row r="31" spans="1:131" ht="15.6">
      <c r="A31" s="782" t="s">
        <v>1321</v>
      </c>
      <c r="B31" s="782" t="s">
        <v>573</v>
      </c>
      <c r="C31" s="783">
        <v>2030</v>
      </c>
      <c r="D31" s="784" t="s">
        <v>574</v>
      </c>
      <c r="E31" s="785" t="s">
        <v>521</v>
      </c>
      <c r="F31" s="786" t="s">
        <v>1322</v>
      </c>
      <c r="G31" s="785" t="s">
        <v>5</v>
      </c>
      <c r="H31" s="785" t="str">
        <f t="shared" si="0"/>
        <v>AX08H</v>
      </c>
      <c r="I31" s="787">
        <v>19394.399999999907</v>
      </c>
      <c r="J31" s="787">
        <v>0</v>
      </c>
      <c r="K31" s="787">
        <v>0</v>
      </c>
      <c r="L31" s="787">
        <v>0</v>
      </c>
      <c r="M31" s="787">
        <v>0</v>
      </c>
      <c r="N31" s="787">
        <v>4888</v>
      </c>
      <c r="O31" s="787">
        <v>0</v>
      </c>
      <c r="P31" s="787">
        <v>0</v>
      </c>
      <c r="Q31" s="787">
        <v>89.54</v>
      </c>
      <c r="R31" s="787">
        <v>23572.61</v>
      </c>
      <c r="S31" s="787">
        <v>0</v>
      </c>
      <c r="T31" s="787">
        <v>0</v>
      </c>
      <c r="U31" s="787">
        <v>18018.439999999999</v>
      </c>
      <c r="V31" s="787">
        <v>5630.81</v>
      </c>
      <c r="W31" s="787">
        <v>0</v>
      </c>
      <c r="X31" s="787">
        <f t="shared" si="1"/>
        <v>71593.799999999901</v>
      </c>
      <c r="Y31" s="787">
        <v>2158395.0299999998</v>
      </c>
      <c r="Z31" s="787">
        <v>0</v>
      </c>
      <c r="AA31" s="787">
        <v>1089104.8899999999</v>
      </c>
      <c r="AB31" s="787">
        <v>136083</v>
      </c>
      <c r="AC31" s="787">
        <v>177222.45</v>
      </c>
      <c r="AD31" s="787">
        <v>121126.16</v>
      </c>
      <c r="AE31" s="787">
        <v>98639.27</v>
      </c>
      <c r="AF31" s="787">
        <v>19358.5</v>
      </c>
      <c r="AG31" s="787">
        <v>7931.54</v>
      </c>
      <c r="AH31" s="787">
        <v>0</v>
      </c>
      <c r="AI31" s="787">
        <v>0</v>
      </c>
      <c r="AJ31" s="787">
        <v>33026.28</v>
      </c>
      <c r="AK31" s="787">
        <v>0</v>
      </c>
      <c r="AL31" s="787">
        <v>6786.47</v>
      </c>
      <c r="AM31" s="787">
        <v>7651.42</v>
      </c>
      <c r="AN31" s="787">
        <v>72894.320000000007</v>
      </c>
      <c r="AO31" s="787">
        <v>0</v>
      </c>
      <c r="AP31" s="787">
        <v>13104.52</v>
      </c>
      <c r="AQ31" s="787">
        <v>63257.17</v>
      </c>
      <c r="AR31" s="787">
        <v>18410.55</v>
      </c>
      <c r="AS31" s="787">
        <v>0</v>
      </c>
      <c r="AT31" s="787">
        <v>8571.2999999999993</v>
      </c>
      <c r="AU31" s="787">
        <v>10666.12</v>
      </c>
      <c r="AV31" s="787">
        <v>26346.04</v>
      </c>
      <c r="AW31" s="787">
        <v>0</v>
      </c>
      <c r="AX31" s="787">
        <v>22165.75</v>
      </c>
      <c r="AY31" s="787">
        <v>0</v>
      </c>
      <c r="AZ31" s="787">
        <v>25350.99</v>
      </c>
      <c r="BA31" s="787">
        <v>0</v>
      </c>
      <c r="BB31" s="787">
        <v>1750</v>
      </c>
      <c r="BC31" s="787">
        <v>59257.24</v>
      </c>
      <c r="BD31" s="787">
        <v>202380.72</v>
      </c>
      <c r="BE31" s="787">
        <v>31157.270000000004</v>
      </c>
      <c r="BF31" s="787">
        <v>92603.45</v>
      </c>
      <c r="BG31" s="787">
        <v>0</v>
      </c>
      <c r="BH31" s="787">
        <v>0</v>
      </c>
      <c r="BI31" s="787">
        <v>0</v>
      </c>
      <c r="BJ31" s="787">
        <f t="shared" si="2"/>
        <v>4503240.45</v>
      </c>
      <c r="BK31" s="787"/>
      <c r="BL31" s="787"/>
      <c r="BM31" s="787"/>
      <c r="BN31" s="787">
        <v>0</v>
      </c>
      <c r="BO31" s="787">
        <v>0</v>
      </c>
      <c r="BP31" s="787">
        <v>0</v>
      </c>
      <c r="BQ31" s="787">
        <f t="shared" si="3"/>
        <v>0</v>
      </c>
      <c r="BR31" s="787">
        <v>0</v>
      </c>
      <c r="BS31" s="787">
        <v>10107</v>
      </c>
      <c r="BT31" s="787">
        <v>0</v>
      </c>
      <c r="BU31" s="787">
        <v>0</v>
      </c>
      <c r="BV31" s="787">
        <v>0</v>
      </c>
      <c r="BW31" s="787">
        <v>0</v>
      </c>
      <c r="BX31" s="787">
        <v>22149</v>
      </c>
      <c r="BY31" s="787">
        <v>0</v>
      </c>
      <c r="BZ31" s="787">
        <f t="shared" si="4"/>
        <v>32256</v>
      </c>
      <c r="CA31" s="787"/>
      <c r="CB31" s="787"/>
      <c r="CC31" s="787"/>
      <c r="CD31" s="787">
        <v>0</v>
      </c>
      <c r="CE31" s="787">
        <v>0</v>
      </c>
      <c r="CF31" s="787">
        <f t="shared" si="5"/>
        <v>0</v>
      </c>
      <c r="CG31" s="787">
        <v>0</v>
      </c>
      <c r="CH31" s="787">
        <v>0</v>
      </c>
      <c r="CI31" s="787">
        <f t="shared" si="6"/>
        <v>0</v>
      </c>
      <c r="CJ31" s="787"/>
      <c r="CK31" s="787"/>
      <c r="CL31" s="787"/>
      <c r="CM31" s="787"/>
      <c r="CN31" s="787"/>
      <c r="CO31" s="787"/>
      <c r="CP31" s="787"/>
      <c r="CQ31" s="787"/>
      <c r="CR31" s="787"/>
      <c r="CS31" s="787">
        <v>1096738.7</v>
      </c>
      <c r="CT31" s="787">
        <v>295243.53999999998</v>
      </c>
      <c r="CU31" s="787">
        <v>526.35</v>
      </c>
      <c r="CV31" s="787">
        <v>802021.50999999989</v>
      </c>
      <c r="CW31" s="787">
        <v>0</v>
      </c>
      <c r="CX31" s="787">
        <v>4973.26</v>
      </c>
      <c r="CY31" s="787">
        <v>9155.85</v>
      </c>
      <c r="CZ31" s="787">
        <v>0</v>
      </c>
      <c r="DA31" s="787">
        <v>0</v>
      </c>
      <c r="DB31" s="787">
        <v>816150.61999999988</v>
      </c>
      <c r="DC31" s="787">
        <v>695.02</v>
      </c>
      <c r="DD31" s="787">
        <v>0</v>
      </c>
      <c r="DE31" s="787">
        <v>0</v>
      </c>
      <c r="DF31" s="787">
        <v>695.02</v>
      </c>
      <c r="DG31" s="787"/>
      <c r="DH31" s="787"/>
      <c r="DI31" s="787"/>
      <c r="DJ31" s="787">
        <v>0</v>
      </c>
      <c r="DK31" s="787">
        <v>695.02</v>
      </c>
      <c r="DL31" s="787">
        <v>0</v>
      </c>
      <c r="DM31" s="787">
        <v>0</v>
      </c>
      <c r="DN31" s="787">
        <v>0</v>
      </c>
      <c r="DO31" s="787">
        <v>0</v>
      </c>
      <c r="DP31" s="787">
        <v>-156736.9</v>
      </c>
      <c r="DQ31" s="787">
        <v>0</v>
      </c>
      <c r="DR31" s="787">
        <v>0</v>
      </c>
      <c r="DS31" s="787">
        <v>0</v>
      </c>
      <c r="DT31" s="787">
        <v>-156736.9</v>
      </c>
      <c r="DU31" s="787">
        <v>0</v>
      </c>
      <c r="DV31" s="787">
        <v>0</v>
      </c>
      <c r="DW31" s="787">
        <v>0</v>
      </c>
      <c r="DX31" s="787">
        <v>0</v>
      </c>
      <c r="DY31" s="787">
        <v>0</v>
      </c>
      <c r="DZ31" s="787">
        <v>0</v>
      </c>
      <c r="EA31" s="787">
        <v>1.4207940781489015E-2</v>
      </c>
    </row>
    <row r="32" spans="1:131" ht="15.6">
      <c r="A32" s="782" t="s">
        <v>1323</v>
      </c>
      <c r="B32" s="782" t="s">
        <v>575</v>
      </c>
      <c r="C32" s="783">
        <v>3353</v>
      </c>
      <c r="D32" s="784" t="s">
        <v>576</v>
      </c>
      <c r="E32" s="785" t="s">
        <v>521</v>
      </c>
      <c r="F32" s="786">
        <v>46091</v>
      </c>
      <c r="G32" s="785" t="s">
        <v>5</v>
      </c>
      <c r="H32" s="785" t="str">
        <f t="shared" si="0"/>
        <v>AX00X</v>
      </c>
      <c r="I32" s="787">
        <v>0</v>
      </c>
      <c r="J32" s="787">
        <v>0</v>
      </c>
      <c r="K32" s="787">
        <v>0</v>
      </c>
      <c r="L32" s="787">
        <v>0</v>
      </c>
      <c r="M32" s="787">
        <v>0</v>
      </c>
      <c r="N32" s="787">
        <v>0</v>
      </c>
      <c r="O32" s="787">
        <v>0</v>
      </c>
      <c r="P32" s="787">
        <v>19560</v>
      </c>
      <c r="Q32" s="787">
        <v>79826.45</v>
      </c>
      <c r="R32" s="787">
        <v>0</v>
      </c>
      <c r="S32" s="787">
        <v>0</v>
      </c>
      <c r="T32" s="787">
        <v>0</v>
      </c>
      <c r="U32" s="787">
        <v>25948.85</v>
      </c>
      <c r="V32" s="787">
        <v>139894.1</v>
      </c>
      <c r="W32" s="787">
        <v>0</v>
      </c>
      <c r="X32" s="787">
        <f t="shared" si="1"/>
        <v>265229.40000000002</v>
      </c>
      <c r="Y32" s="787">
        <v>1783070.54</v>
      </c>
      <c r="Z32" s="787">
        <v>0</v>
      </c>
      <c r="AA32" s="787">
        <v>837606.01</v>
      </c>
      <c r="AB32" s="787">
        <v>47702.59</v>
      </c>
      <c r="AC32" s="787">
        <v>265995.15000000002</v>
      </c>
      <c r="AD32" s="787">
        <v>0</v>
      </c>
      <c r="AE32" s="787">
        <v>52917.91</v>
      </c>
      <c r="AF32" s="787">
        <v>294.67</v>
      </c>
      <c r="AG32" s="787">
        <v>12893</v>
      </c>
      <c r="AH32" s="787">
        <v>0</v>
      </c>
      <c r="AI32" s="787">
        <v>0</v>
      </c>
      <c r="AJ32" s="787">
        <v>30722.84</v>
      </c>
      <c r="AK32" s="787">
        <v>6087.95</v>
      </c>
      <c r="AL32" s="787">
        <v>71337.960000000006</v>
      </c>
      <c r="AM32" s="787">
        <v>11809.7</v>
      </c>
      <c r="AN32" s="787">
        <v>55672.13</v>
      </c>
      <c r="AO32" s="787">
        <v>0</v>
      </c>
      <c r="AP32" s="787">
        <v>27366.02</v>
      </c>
      <c r="AQ32" s="787">
        <v>85217.46</v>
      </c>
      <c r="AR32" s="787">
        <v>1306.7</v>
      </c>
      <c r="AS32" s="787">
        <v>0</v>
      </c>
      <c r="AT32" s="787">
        <v>9682.59</v>
      </c>
      <c r="AU32" s="787">
        <v>3781.7</v>
      </c>
      <c r="AV32" s="787">
        <v>0</v>
      </c>
      <c r="AW32" s="787">
        <v>0</v>
      </c>
      <c r="AX32" s="787">
        <v>0</v>
      </c>
      <c r="AY32" s="787">
        <v>0</v>
      </c>
      <c r="AZ32" s="787">
        <v>284613.63</v>
      </c>
      <c r="BA32" s="787">
        <v>0</v>
      </c>
      <c r="BB32" s="787">
        <v>4248</v>
      </c>
      <c r="BC32" s="787">
        <v>0</v>
      </c>
      <c r="BD32" s="787">
        <v>371603.11000000004</v>
      </c>
      <c r="BE32" s="787">
        <v>2140</v>
      </c>
      <c r="BF32" s="787">
        <v>183618.57</v>
      </c>
      <c r="BG32" s="787">
        <v>0</v>
      </c>
      <c r="BH32" s="787">
        <v>0</v>
      </c>
      <c r="BI32" s="787">
        <v>0</v>
      </c>
      <c r="BJ32" s="787">
        <f t="shared" si="2"/>
        <v>4149688.2299999995</v>
      </c>
      <c r="BK32" s="787"/>
      <c r="BL32" s="787"/>
      <c r="BM32" s="787"/>
      <c r="BN32" s="787">
        <v>0</v>
      </c>
      <c r="BO32" s="787">
        <v>0</v>
      </c>
      <c r="BP32" s="787">
        <v>0</v>
      </c>
      <c r="BQ32" s="787">
        <f t="shared" si="3"/>
        <v>0</v>
      </c>
      <c r="BR32" s="787">
        <v>0</v>
      </c>
      <c r="BS32" s="787">
        <v>0</v>
      </c>
      <c r="BT32" s="787">
        <v>0</v>
      </c>
      <c r="BU32" s="787">
        <v>0</v>
      </c>
      <c r="BV32" s="787">
        <v>0</v>
      </c>
      <c r="BW32" s="787">
        <v>0</v>
      </c>
      <c r="BX32" s="787">
        <v>0</v>
      </c>
      <c r="BY32" s="787">
        <v>0</v>
      </c>
      <c r="BZ32" s="787">
        <f t="shared" si="4"/>
        <v>0</v>
      </c>
      <c r="CA32" s="787"/>
      <c r="CB32" s="787"/>
      <c r="CC32" s="787"/>
      <c r="CD32" s="787">
        <v>0</v>
      </c>
      <c r="CE32" s="787">
        <v>0</v>
      </c>
      <c r="CF32" s="787">
        <f t="shared" si="5"/>
        <v>0</v>
      </c>
      <c r="CG32" s="787">
        <v>0</v>
      </c>
      <c r="CH32" s="787">
        <v>0</v>
      </c>
      <c r="CI32" s="787">
        <f t="shared" si="6"/>
        <v>0</v>
      </c>
      <c r="CJ32" s="787"/>
      <c r="CK32" s="787"/>
      <c r="CL32" s="787"/>
      <c r="CM32" s="787"/>
      <c r="CN32" s="787"/>
      <c r="CO32" s="787"/>
      <c r="CP32" s="787"/>
      <c r="CQ32" s="787"/>
      <c r="CR32" s="787"/>
      <c r="CS32" s="787">
        <v>353756.13</v>
      </c>
      <c r="CT32" s="787">
        <v>246978.8</v>
      </c>
      <c r="CU32" s="787">
        <v>2083.4699999999998</v>
      </c>
      <c r="CV32" s="787">
        <v>108860.80000000002</v>
      </c>
      <c r="CW32" s="787">
        <v>0</v>
      </c>
      <c r="CX32" s="787">
        <v>12591.16</v>
      </c>
      <c r="CY32" s="787">
        <v>4151.41</v>
      </c>
      <c r="CZ32" s="787">
        <v>0</v>
      </c>
      <c r="DA32" s="787">
        <v>0</v>
      </c>
      <c r="DB32" s="787">
        <v>125603.37000000002</v>
      </c>
      <c r="DC32" s="787">
        <v>0</v>
      </c>
      <c r="DD32" s="787">
        <v>0</v>
      </c>
      <c r="DE32" s="787">
        <v>0</v>
      </c>
      <c r="DF32" s="787">
        <v>0</v>
      </c>
      <c r="DG32" s="787"/>
      <c r="DH32" s="787"/>
      <c r="DI32" s="787"/>
      <c r="DJ32" s="787">
        <v>0</v>
      </c>
      <c r="DK32" s="787">
        <v>0</v>
      </c>
      <c r="DL32" s="787">
        <v>0</v>
      </c>
      <c r="DM32" s="787">
        <v>0</v>
      </c>
      <c r="DN32" s="787">
        <v>0</v>
      </c>
      <c r="DO32" s="787">
        <v>0</v>
      </c>
      <c r="DP32" s="787">
        <v>-76100.44</v>
      </c>
      <c r="DQ32" s="787">
        <v>-4248</v>
      </c>
      <c r="DR32" s="787">
        <v>0</v>
      </c>
      <c r="DS32" s="787">
        <v>0</v>
      </c>
      <c r="DT32" s="787">
        <v>-80348.44</v>
      </c>
      <c r="DU32" s="787">
        <v>3900</v>
      </c>
      <c r="DV32" s="787">
        <v>0</v>
      </c>
      <c r="DW32" s="787">
        <v>0</v>
      </c>
      <c r="DX32" s="787">
        <v>0</v>
      </c>
      <c r="DY32" s="787">
        <v>0</v>
      </c>
      <c r="DZ32" s="787">
        <v>-52967.21</v>
      </c>
      <c r="EA32" s="787">
        <v>-4.7333264301414602E-3</v>
      </c>
    </row>
    <row r="33" spans="1:131" ht="15.6">
      <c r="A33" s="782" t="s">
        <v>1324</v>
      </c>
      <c r="B33" s="782" t="s">
        <v>577</v>
      </c>
      <c r="C33" s="783">
        <v>7030</v>
      </c>
      <c r="D33" s="784" t="s">
        <v>578</v>
      </c>
      <c r="E33" s="785" t="s">
        <v>521</v>
      </c>
      <c r="F33" s="786" t="s">
        <v>1305</v>
      </c>
      <c r="G33" s="785" t="s">
        <v>5</v>
      </c>
      <c r="H33" s="785" t="str">
        <f t="shared" si="0"/>
        <v>AX00Y</v>
      </c>
      <c r="I33" s="787">
        <v>0</v>
      </c>
      <c r="J33" s="787">
        <v>0</v>
      </c>
      <c r="K33" s="787">
        <v>0</v>
      </c>
      <c r="L33" s="787">
        <v>0</v>
      </c>
      <c r="M33" s="787">
        <v>2300</v>
      </c>
      <c r="N33" s="787">
        <v>0</v>
      </c>
      <c r="O33" s="787">
        <v>0</v>
      </c>
      <c r="P33" s="787">
        <v>0</v>
      </c>
      <c r="Q33" s="787">
        <v>770097.38</v>
      </c>
      <c r="R33" s="787">
        <v>0</v>
      </c>
      <c r="S33" s="787">
        <v>0</v>
      </c>
      <c r="T33" s="787">
        <v>0</v>
      </c>
      <c r="U33" s="787">
        <v>0</v>
      </c>
      <c r="V33" s="787">
        <v>48195.91</v>
      </c>
      <c r="W33" s="787">
        <v>0</v>
      </c>
      <c r="X33" s="787">
        <f t="shared" si="1"/>
        <v>820593.29</v>
      </c>
      <c r="Y33" s="787">
        <v>1277606.72</v>
      </c>
      <c r="Z33" s="787">
        <v>0</v>
      </c>
      <c r="AA33" s="787">
        <v>560808.03</v>
      </c>
      <c r="AB33" s="787">
        <v>70621.03</v>
      </c>
      <c r="AC33" s="787">
        <v>227476.01</v>
      </c>
      <c r="AD33" s="787">
        <v>0</v>
      </c>
      <c r="AE33" s="787">
        <v>4151.01</v>
      </c>
      <c r="AF33" s="787">
        <v>4486.32</v>
      </c>
      <c r="AG33" s="787">
        <v>18765.849999999999</v>
      </c>
      <c r="AH33" s="787">
        <v>0</v>
      </c>
      <c r="AI33" s="787">
        <v>0</v>
      </c>
      <c r="AJ33" s="787">
        <v>27117.79</v>
      </c>
      <c r="AK33" s="787">
        <v>4606</v>
      </c>
      <c r="AL33" s="787">
        <v>26928.48</v>
      </c>
      <c r="AM33" s="787">
        <v>2052.06</v>
      </c>
      <c r="AN33" s="787">
        <v>8031.39</v>
      </c>
      <c r="AO33" s="787">
        <v>0</v>
      </c>
      <c r="AP33" s="787">
        <v>4845.16</v>
      </c>
      <c r="AQ33" s="787">
        <v>144326.81999999998</v>
      </c>
      <c r="AR33" s="787">
        <v>0</v>
      </c>
      <c r="AS33" s="787">
        <v>0</v>
      </c>
      <c r="AT33" s="787">
        <v>0</v>
      </c>
      <c r="AU33" s="787">
        <v>10029.61</v>
      </c>
      <c r="AV33" s="787">
        <v>0</v>
      </c>
      <c r="AW33" s="787">
        <v>0</v>
      </c>
      <c r="AX33" s="787">
        <v>0</v>
      </c>
      <c r="AY33" s="787">
        <v>12882.79</v>
      </c>
      <c r="AZ33" s="787">
        <v>71565</v>
      </c>
      <c r="BA33" s="787">
        <v>0</v>
      </c>
      <c r="BB33" s="787">
        <v>5325.6</v>
      </c>
      <c r="BC33" s="787">
        <v>25976.87</v>
      </c>
      <c r="BD33" s="787">
        <v>0</v>
      </c>
      <c r="BE33" s="787">
        <v>2100</v>
      </c>
      <c r="BF33" s="787">
        <v>88782.95</v>
      </c>
      <c r="BG33" s="787">
        <v>0</v>
      </c>
      <c r="BH33" s="787">
        <v>0</v>
      </c>
      <c r="BI33" s="787">
        <v>0</v>
      </c>
      <c r="BJ33" s="787">
        <f t="shared" si="2"/>
        <v>2598485.4900000002</v>
      </c>
      <c r="BK33" s="787"/>
      <c r="BL33" s="787"/>
      <c r="BM33" s="787"/>
      <c r="BN33" s="787">
        <v>0</v>
      </c>
      <c r="BO33" s="787">
        <v>0</v>
      </c>
      <c r="BP33" s="787">
        <v>0</v>
      </c>
      <c r="BQ33" s="787">
        <f t="shared" si="3"/>
        <v>0</v>
      </c>
      <c r="BR33" s="787">
        <v>0</v>
      </c>
      <c r="BS33" s="787">
        <v>0</v>
      </c>
      <c r="BT33" s="787">
        <v>0</v>
      </c>
      <c r="BU33" s="787">
        <v>0</v>
      </c>
      <c r="BV33" s="787">
        <v>0</v>
      </c>
      <c r="BW33" s="787">
        <v>0</v>
      </c>
      <c r="BX33" s="787">
        <v>0</v>
      </c>
      <c r="BY33" s="787">
        <v>0</v>
      </c>
      <c r="BZ33" s="787">
        <f t="shared" si="4"/>
        <v>0</v>
      </c>
      <c r="CA33" s="787"/>
      <c r="CB33" s="787"/>
      <c r="CC33" s="787"/>
      <c r="CD33" s="787">
        <v>0</v>
      </c>
      <c r="CE33" s="787">
        <v>0</v>
      </c>
      <c r="CF33" s="787">
        <f t="shared" si="5"/>
        <v>0</v>
      </c>
      <c r="CG33" s="787">
        <v>0</v>
      </c>
      <c r="CH33" s="787">
        <v>0</v>
      </c>
      <c r="CI33" s="787">
        <f t="shared" si="6"/>
        <v>0</v>
      </c>
      <c r="CJ33" s="787"/>
      <c r="CK33" s="787"/>
      <c r="CL33" s="787"/>
      <c r="CM33" s="787"/>
      <c r="CN33" s="787"/>
      <c r="CO33" s="787"/>
      <c r="CP33" s="787"/>
      <c r="CQ33" s="787"/>
      <c r="CR33" s="787"/>
      <c r="CS33" s="787">
        <v>905426.03</v>
      </c>
      <c r="CT33" s="787">
        <v>0</v>
      </c>
      <c r="CU33" s="787">
        <v>0</v>
      </c>
      <c r="CV33" s="787">
        <v>905426.03</v>
      </c>
      <c r="CW33" s="787">
        <v>0</v>
      </c>
      <c r="CX33" s="787">
        <v>5179.43</v>
      </c>
      <c r="CY33" s="787">
        <v>294.75</v>
      </c>
      <c r="CZ33" s="787">
        <v>3197.24</v>
      </c>
      <c r="DA33" s="787">
        <v>-50696.36</v>
      </c>
      <c r="DB33" s="787">
        <v>863401.09000000008</v>
      </c>
      <c r="DC33" s="787">
        <v>0</v>
      </c>
      <c r="DD33" s="787">
        <v>0</v>
      </c>
      <c r="DE33" s="787">
        <v>0</v>
      </c>
      <c r="DF33" s="787">
        <v>0</v>
      </c>
      <c r="DG33" s="787"/>
      <c r="DH33" s="787"/>
      <c r="DI33" s="787"/>
      <c r="DJ33" s="787">
        <v>0</v>
      </c>
      <c r="DK33" s="787">
        <v>0</v>
      </c>
      <c r="DL33" s="787">
        <v>113776.38</v>
      </c>
      <c r="DM33" s="787">
        <v>0</v>
      </c>
      <c r="DN33" s="787">
        <v>0</v>
      </c>
      <c r="DO33" s="787">
        <v>0</v>
      </c>
      <c r="DP33" s="787">
        <v>-12283.33</v>
      </c>
      <c r="DQ33" s="787">
        <v>0</v>
      </c>
      <c r="DR33" s="787">
        <v>0</v>
      </c>
      <c r="DS33" s="787">
        <v>0</v>
      </c>
      <c r="DT33" s="787">
        <v>101493.05</v>
      </c>
      <c r="DU33" s="787">
        <v>6090.62</v>
      </c>
      <c r="DV33" s="787">
        <v>0</v>
      </c>
      <c r="DW33" s="787">
        <v>0</v>
      </c>
      <c r="DX33" s="787">
        <v>0</v>
      </c>
      <c r="DY33" s="787">
        <v>0</v>
      </c>
      <c r="DZ33" s="787">
        <v>-215805.69</v>
      </c>
      <c r="EA33" s="787">
        <v>-0.37243844277691096</v>
      </c>
    </row>
    <row r="34" spans="1:131" ht="15.6">
      <c r="A34" s="782" t="s">
        <v>1325</v>
      </c>
      <c r="B34" s="782" t="s">
        <v>579</v>
      </c>
      <c r="C34" s="783">
        <v>1002</v>
      </c>
      <c r="D34" s="784" t="s">
        <v>580</v>
      </c>
      <c r="E34" s="785" t="s">
        <v>521</v>
      </c>
      <c r="F34" s="786">
        <v>46094</v>
      </c>
      <c r="G34" s="785" t="s">
        <v>5</v>
      </c>
      <c r="H34" s="785" t="str">
        <f t="shared" si="0"/>
        <v>AX00Z</v>
      </c>
      <c r="I34" s="787">
        <v>0</v>
      </c>
      <c r="J34" s="787">
        <v>0</v>
      </c>
      <c r="K34" s="787">
        <v>25731</v>
      </c>
      <c r="L34" s="787">
        <v>0</v>
      </c>
      <c r="M34" s="787">
        <v>0</v>
      </c>
      <c r="N34" s="787">
        <v>0</v>
      </c>
      <c r="O34" s="787">
        <v>0</v>
      </c>
      <c r="P34" s="787">
        <v>0</v>
      </c>
      <c r="Q34" s="787">
        <v>3269.0000000000018</v>
      </c>
      <c r="R34" s="787">
        <v>4562</v>
      </c>
      <c r="S34" s="787">
        <v>0</v>
      </c>
      <c r="T34" s="787">
        <v>0</v>
      </c>
      <c r="U34" s="787">
        <v>82</v>
      </c>
      <c r="V34" s="787">
        <v>0</v>
      </c>
      <c r="W34" s="787">
        <v>0</v>
      </c>
      <c r="X34" s="787">
        <f t="shared" si="1"/>
        <v>33644</v>
      </c>
      <c r="Y34" s="787">
        <v>138163.35999999999</v>
      </c>
      <c r="Z34" s="787">
        <v>0</v>
      </c>
      <c r="AA34" s="787">
        <v>240330.2</v>
      </c>
      <c r="AB34" s="787">
        <v>21870.82</v>
      </c>
      <c r="AC34" s="787">
        <v>67538.759999999995</v>
      </c>
      <c r="AD34" s="787">
        <v>17856.04</v>
      </c>
      <c r="AE34" s="787">
        <v>46422.37</v>
      </c>
      <c r="AF34" s="787">
        <v>16934</v>
      </c>
      <c r="AG34" s="787">
        <v>1585</v>
      </c>
      <c r="AH34" s="787">
        <v>0</v>
      </c>
      <c r="AI34" s="787">
        <v>0</v>
      </c>
      <c r="AJ34" s="787">
        <v>32127.5</v>
      </c>
      <c r="AK34" s="787">
        <v>0</v>
      </c>
      <c r="AL34" s="787">
        <v>2412</v>
      </c>
      <c r="AM34" s="787">
        <v>3200</v>
      </c>
      <c r="AN34" s="787">
        <v>16215.32</v>
      </c>
      <c r="AO34" s="787">
        <v>0</v>
      </c>
      <c r="AP34" s="787">
        <v>10186.6</v>
      </c>
      <c r="AQ34" s="787">
        <v>22921</v>
      </c>
      <c r="AR34" s="787">
        <v>4499</v>
      </c>
      <c r="AS34" s="787">
        <v>0</v>
      </c>
      <c r="AT34" s="787">
        <v>2630</v>
      </c>
      <c r="AU34" s="787">
        <v>0</v>
      </c>
      <c r="AV34" s="787">
        <v>0</v>
      </c>
      <c r="AW34" s="787">
        <v>0</v>
      </c>
      <c r="AX34" s="787">
        <v>3900</v>
      </c>
      <c r="AY34" s="787">
        <v>0</v>
      </c>
      <c r="AZ34" s="787">
        <v>7083.34</v>
      </c>
      <c r="BA34" s="787">
        <v>3061</v>
      </c>
      <c r="BB34" s="787">
        <v>0</v>
      </c>
      <c r="BC34" s="787">
        <v>7030</v>
      </c>
      <c r="BD34" s="787">
        <v>65929.55</v>
      </c>
      <c r="BE34" s="787">
        <v>0</v>
      </c>
      <c r="BF34" s="787">
        <v>22064</v>
      </c>
      <c r="BG34" s="787">
        <v>0</v>
      </c>
      <c r="BH34" s="787">
        <v>0</v>
      </c>
      <c r="BI34" s="787">
        <v>0</v>
      </c>
      <c r="BJ34" s="787">
        <f t="shared" si="2"/>
        <v>753959.86</v>
      </c>
      <c r="BK34" s="787"/>
      <c r="BL34" s="787"/>
      <c r="BM34" s="787"/>
      <c r="BN34" s="787">
        <v>0</v>
      </c>
      <c r="BO34" s="787">
        <v>0</v>
      </c>
      <c r="BP34" s="787">
        <v>0</v>
      </c>
      <c r="BQ34" s="787">
        <f t="shared" si="3"/>
        <v>0</v>
      </c>
      <c r="BR34" s="787">
        <v>0</v>
      </c>
      <c r="BS34" s="787">
        <v>0</v>
      </c>
      <c r="BT34" s="787">
        <v>4850.5</v>
      </c>
      <c r="BU34" s="787">
        <v>0</v>
      </c>
      <c r="BV34" s="787">
        <v>0</v>
      </c>
      <c r="BW34" s="787">
        <v>0</v>
      </c>
      <c r="BX34" s="787">
        <v>0</v>
      </c>
      <c r="BY34" s="787">
        <v>0</v>
      </c>
      <c r="BZ34" s="787">
        <f t="shared" si="4"/>
        <v>4850.5</v>
      </c>
      <c r="CA34" s="787"/>
      <c r="CB34" s="787"/>
      <c r="CC34" s="787"/>
      <c r="CD34" s="787">
        <v>0</v>
      </c>
      <c r="CE34" s="787">
        <v>0</v>
      </c>
      <c r="CF34" s="787">
        <f t="shared" si="5"/>
        <v>0</v>
      </c>
      <c r="CG34" s="787">
        <v>0</v>
      </c>
      <c r="CH34" s="787">
        <v>0</v>
      </c>
      <c r="CI34" s="787">
        <f t="shared" si="6"/>
        <v>0</v>
      </c>
      <c r="CJ34" s="787"/>
      <c r="CK34" s="787"/>
      <c r="CL34" s="787"/>
      <c r="CM34" s="787"/>
      <c r="CN34" s="787"/>
      <c r="CO34" s="787"/>
      <c r="CP34" s="787"/>
      <c r="CQ34" s="787"/>
      <c r="CR34" s="787"/>
      <c r="CS34" s="787">
        <v>443394.44</v>
      </c>
      <c r="CT34" s="787">
        <v>0</v>
      </c>
      <c r="CU34" s="787">
        <v>0</v>
      </c>
      <c r="CV34" s="787">
        <v>443394.44</v>
      </c>
      <c r="CW34" s="787">
        <v>0</v>
      </c>
      <c r="CX34" s="787">
        <v>2955.66</v>
      </c>
      <c r="CY34" s="787">
        <v>1738.09</v>
      </c>
      <c r="CZ34" s="787">
        <v>6209.48</v>
      </c>
      <c r="DA34" s="787">
        <v>0</v>
      </c>
      <c r="DB34" s="787">
        <v>454297.67</v>
      </c>
      <c r="DC34" s="787">
        <v>0</v>
      </c>
      <c r="DD34" s="787">
        <v>0</v>
      </c>
      <c r="DE34" s="787">
        <v>0</v>
      </c>
      <c r="DF34" s="787">
        <v>0</v>
      </c>
      <c r="DG34" s="787"/>
      <c r="DH34" s="787"/>
      <c r="DI34" s="787"/>
      <c r="DJ34" s="787">
        <v>0</v>
      </c>
      <c r="DK34" s="787">
        <v>0</v>
      </c>
      <c r="DL34" s="787">
        <v>0</v>
      </c>
      <c r="DM34" s="787">
        <v>0</v>
      </c>
      <c r="DN34" s="787">
        <v>0</v>
      </c>
      <c r="DO34" s="787">
        <v>0</v>
      </c>
      <c r="DP34" s="787">
        <v>-49803.76</v>
      </c>
      <c r="DQ34" s="787">
        <v>-2649.6</v>
      </c>
      <c r="DR34" s="787">
        <v>0</v>
      </c>
      <c r="DS34" s="787">
        <v>0</v>
      </c>
      <c r="DT34" s="787">
        <v>-52453.36</v>
      </c>
      <c r="DU34" s="787">
        <v>0</v>
      </c>
      <c r="DV34" s="787">
        <v>0</v>
      </c>
      <c r="DW34" s="787">
        <v>-446.79</v>
      </c>
      <c r="DX34" s="787">
        <v>0</v>
      </c>
      <c r="DY34" s="787">
        <v>0</v>
      </c>
      <c r="DZ34" s="787">
        <v>-8171.68</v>
      </c>
      <c r="EA34" s="787">
        <v>-0.36868294706800953</v>
      </c>
    </row>
    <row r="35" spans="1:131" ht="15.6">
      <c r="A35" s="782" t="s">
        <v>1326</v>
      </c>
      <c r="B35" s="782" t="s">
        <v>586</v>
      </c>
      <c r="C35" s="783">
        <v>2465</v>
      </c>
      <c r="D35" s="784" t="s">
        <v>587</v>
      </c>
      <c r="E35" s="785" t="s">
        <v>521</v>
      </c>
      <c r="F35" s="786">
        <v>0</v>
      </c>
      <c r="G35" s="785" t="s">
        <v>5</v>
      </c>
      <c r="H35" s="785" t="str">
        <f t="shared" si="0"/>
        <v>AX013</v>
      </c>
      <c r="I35" s="787">
        <v>32600</v>
      </c>
      <c r="J35" s="787">
        <v>0</v>
      </c>
      <c r="K35" s="787">
        <v>0</v>
      </c>
      <c r="L35" s="787">
        <v>0</v>
      </c>
      <c r="M35" s="787">
        <v>7500</v>
      </c>
      <c r="N35" s="787">
        <v>0</v>
      </c>
      <c r="O35" s="787">
        <v>0</v>
      </c>
      <c r="P35" s="787">
        <v>10500</v>
      </c>
      <c r="Q35" s="787">
        <v>60168.75</v>
      </c>
      <c r="R35" s="787">
        <v>8245</v>
      </c>
      <c r="S35" s="787">
        <v>0</v>
      </c>
      <c r="T35" s="787">
        <v>0</v>
      </c>
      <c r="U35" s="787">
        <v>81377.94</v>
      </c>
      <c r="V35" s="787">
        <v>107343.89</v>
      </c>
      <c r="W35" s="787">
        <v>0</v>
      </c>
      <c r="X35" s="787">
        <f t="shared" si="1"/>
        <v>307735.58</v>
      </c>
      <c r="Y35" s="787">
        <v>1575427.07</v>
      </c>
      <c r="Z35" s="787">
        <v>0</v>
      </c>
      <c r="AA35" s="787">
        <v>554496.73</v>
      </c>
      <c r="AB35" s="787">
        <v>0</v>
      </c>
      <c r="AC35" s="787">
        <v>144263.24</v>
      </c>
      <c r="AD35" s="787">
        <v>0</v>
      </c>
      <c r="AE35" s="787">
        <v>171518.36</v>
      </c>
      <c r="AF35" s="787">
        <v>9546.93</v>
      </c>
      <c r="AG35" s="787">
        <v>1200</v>
      </c>
      <c r="AH35" s="787">
        <v>0</v>
      </c>
      <c r="AI35" s="787">
        <v>0</v>
      </c>
      <c r="AJ35" s="787">
        <v>960.99</v>
      </c>
      <c r="AK35" s="787">
        <v>6312.5</v>
      </c>
      <c r="AL35" s="787">
        <v>0</v>
      </c>
      <c r="AM35" s="787">
        <v>7970.8600000000006</v>
      </c>
      <c r="AN35" s="787">
        <v>41824.19</v>
      </c>
      <c r="AO35" s="787">
        <v>0</v>
      </c>
      <c r="AP35" s="787">
        <v>430.14</v>
      </c>
      <c r="AQ35" s="787">
        <v>55503.44</v>
      </c>
      <c r="AR35" s="787">
        <v>0</v>
      </c>
      <c r="AS35" s="787">
        <v>0</v>
      </c>
      <c r="AT35" s="787">
        <v>0</v>
      </c>
      <c r="AU35" s="787">
        <v>0</v>
      </c>
      <c r="AV35" s="787">
        <v>0</v>
      </c>
      <c r="AW35" s="787">
        <v>10256.77</v>
      </c>
      <c r="AX35" s="787">
        <v>16761.62</v>
      </c>
      <c r="AY35" s="787">
        <v>0</v>
      </c>
      <c r="AZ35" s="787">
        <v>17726.87</v>
      </c>
      <c r="BA35" s="787">
        <v>0</v>
      </c>
      <c r="BB35" s="787">
        <v>3025</v>
      </c>
      <c r="BC35" s="787">
        <v>101709.32</v>
      </c>
      <c r="BD35" s="787">
        <v>40996.28</v>
      </c>
      <c r="BE35" s="787">
        <v>0</v>
      </c>
      <c r="BF35" s="787">
        <v>63034.2</v>
      </c>
      <c r="BG35" s="787">
        <v>646053.14</v>
      </c>
      <c r="BH35" s="787">
        <v>0</v>
      </c>
      <c r="BI35" s="787">
        <v>0</v>
      </c>
      <c r="BJ35" s="787">
        <f t="shared" si="2"/>
        <v>3469017.6500000004</v>
      </c>
      <c r="BK35" s="787"/>
      <c r="BL35" s="787"/>
      <c r="BM35" s="787"/>
      <c r="BN35" s="787">
        <v>0</v>
      </c>
      <c r="BO35" s="787">
        <v>0</v>
      </c>
      <c r="BP35" s="787">
        <v>0</v>
      </c>
      <c r="BQ35" s="787">
        <f t="shared" si="3"/>
        <v>0</v>
      </c>
      <c r="BR35" s="787">
        <v>0</v>
      </c>
      <c r="BS35" s="787">
        <v>0</v>
      </c>
      <c r="BT35" s="787">
        <v>0</v>
      </c>
      <c r="BU35" s="787">
        <v>0</v>
      </c>
      <c r="BV35" s="787">
        <v>0</v>
      </c>
      <c r="BW35" s="787">
        <v>0</v>
      </c>
      <c r="BX35" s="787">
        <v>0</v>
      </c>
      <c r="BY35" s="787">
        <v>0</v>
      </c>
      <c r="BZ35" s="787">
        <f t="shared" si="4"/>
        <v>0</v>
      </c>
      <c r="CA35" s="787"/>
      <c r="CB35" s="787"/>
      <c r="CC35" s="787"/>
      <c r="CD35" s="787">
        <v>0</v>
      </c>
      <c r="CE35" s="787">
        <v>0</v>
      </c>
      <c r="CF35" s="787">
        <f t="shared" si="5"/>
        <v>0</v>
      </c>
      <c r="CG35" s="787">
        <v>0</v>
      </c>
      <c r="CH35" s="787">
        <v>0</v>
      </c>
      <c r="CI35" s="787">
        <f t="shared" si="6"/>
        <v>0</v>
      </c>
      <c r="CJ35" s="787"/>
      <c r="CK35" s="787"/>
      <c r="CL35" s="787"/>
      <c r="CM35" s="787"/>
      <c r="CN35" s="787"/>
      <c r="CO35" s="787"/>
      <c r="CP35" s="787"/>
      <c r="CQ35" s="787"/>
      <c r="CR35" s="787"/>
      <c r="CS35" s="787"/>
      <c r="CT35" s="787"/>
      <c r="CU35" s="787"/>
      <c r="CV35" s="787"/>
      <c r="CW35" s="787"/>
      <c r="CX35" s="787"/>
      <c r="CY35" s="787"/>
      <c r="CZ35" s="787"/>
      <c r="DA35" s="787"/>
      <c r="DB35" s="787"/>
      <c r="DC35" s="787"/>
      <c r="DD35" s="787"/>
      <c r="DE35" s="787"/>
      <c r="DF35" s="787"/>
      <c r="DG35" s="787"/>
      <c r="DH35" s="787"/>
      <c r="DI35" s="787"/>
      <c r="DJ35" s="787"/>
      <c r="DK35" s="787"/>
      <c r="DL35" s="787"/>
      <c r="DM35" s="787"/>
      <c r="DN35" s="787"/>
      <c r="DO35" s="787"/>
      <c r="DP35" s="787"/>
      <c r="DQ35" s="787"/>
      <c r="DR35" s="787"/>
      <c r="DS35" s="787"/>
      <c r="DT35" s="787"/>
      <c r="DU35" s="787"/>
      <c r="DV35" s="787"/>
      <c r="DW35" s="787"/>
      <c r="DX35" s="787"/>
      <c r="DY35" s="787"/>
      <c r="DZ35" s="787"/>
      <c r="EA35" s="787"/>
    </row>
    <row r="36" spans="1:131" ht="15.6">
      <c r="A36" s="782" t="s">
        <v>1327</v>
      </c>
      <c r="B36" s="782" t="s">
        <v>588</v>
      </c>
      <c r="C36" s="783">
        <v>4801</v>
      </c>
      <c r="D36" s="784" t="s">
        <v>589</v>
      </c>
      <c r="E36" s="785" t="s">
        <v>521</v>
      </c>
      <c r="F36" s="786">
        <v>46094</v>
      </c>
      <c r="G36" s="785" t="s">
        <v>5</v>
      </c>
      <c r="H36" s="785" t="str">
        <f t="shared" si="0"/>
        <v>AX08U</v>
      </c>
      <c r="I36" s="787">
        <v>0</v>
      </c>
      <c r="J36" s="787">
        <v>0</v>
      </c>
      <c r="K36" s="787">
        <v>0</v>
      </c>
      <c r="L36" s="787">
        <v>0</v>
      </c>
      <c r="M36" s="787">
        <v>14850</v>
      </c>
      <c r="N36" s="787">
        <v>0</v>
      </c>
      <c r="O36" s="787">
        <v>157100</v>
      </c>
      <c r="P36" s="787">
        <v>56571.01</v>
      </c>
      <c r="Q36" s="787">
        <v>65958</v>
      </c>
      <c r="R36" s="787">
        <v>153444.44</v>
      </c>
      <c r="S36" s="787">
        <v>0</v>
      </c>
      <c r="T36" s="787">
        <v>0</v>
      </c>
      <c r="U36" s="787">
        <v>47049</v>
      </c>
      <c r="V36" s="787">
        <v>19143.960000000021</v>
      </c>
      <c r="W36" s="787">
        <v>0</v>
      </c>
      <c r="X36" s="787">
        <f t="shared" si="1"/>
        <v>514116.41000000003</v>
      </c>
      <c r="Y36" s="787">
        <v>4160213.4</v>
      </c>
      <c r="Z36" s="787">
        <v>0</v>
      </c>
      <c r="AA36" s="787">
        <v>853240.76</v>
      </c>
      <c r="AB36" s="787">
        <v>167907.17</v>
      </c>
      <c r="AC36" s="787">
        <v>290361.33</v>
      </c>
      <c r="AD36" s="787">
        <v>196503</v>
      </c>
      <c r="AE36" s="787">
        <v>0</v>
      </c>
      <c r="AF36" s="787">
        <v>48364.92</v>
      </c>
      <c r="AG36" s="787">
        <v>59302.75</v>
      </c>
      <c r="AH36" s="787">
        <v>0</v>
      </c>
      <c r="AI36" s="787">
        <v>3716</v>
      </c>
      <c r="AJ36" s="787">
        <v>397202.89</v>
      </c>
      <c r="AK36" s="787">
        <v>9950</v>
      </c>
      <c r="AL36" s="787">
        <v>770</v>
      </c>
      <c r="AM36" s="787">
        <v>20888.574000000001</v>
      </c>
      <c r="AN36" s="787">
        <v>124150.80799999999</v>
      </c>
      <c r="AO36" s="787">
        <v>0</v>
      </c>
      <c r="AP36" s="787">
        <v>13720</v>
      </c>
      <c r="AQ36" s="787">
        <v>354893</v>
      </c>
      <c r="AR36" s="787">
        <v>13893</v>
      </c>
      <c r="AS36" s="787">
        <v>6030</v>
      </c>
      <c r="AT36" s="787">
        <v>31083</v>
      </c>
      <c r="AU36" s="787">
        <v>49516</v>
      </c>
      <c r="AV36" s="787">
        <v>63881</v>
      </c>
      <c r="AW36" s="787">
        <v>7553</v>
      </c>
      <c r="AX36" s="787">
        <v>13881</v>
      </c>
      <c r="AY36" s="787">
        <v>108202.2</v>
      </c>
      <c r="AZ36" s="787">
        <v>44715</v>
      </c>
      <c r="BA36" s="787">
        <v>26286</v>
      </c>
      <c r="BB36" s="787">
        <v>0</v>
      </c>
      <c r="BC36" s="787">
        <v>161327.9</v>
      </c>
      <c r="BD36" s="787">
        <v>24482</v>
      </c>
      <c r="BE36" s="787">
        <v>156295.25</v>
      </c>
      <c r="BF36" s="787">
        <v>70843</v>
      </c>
      <c r="BG36" s="787">
        <v>0</v>
      </c>
      <c r="BH36" s="787">
        <v>0</v>
      </c>
      <c r="BI36" s="787">
        <v>0</v>
      </c>
      <c r="BJ36" s="787">
        <f t="shared" si="2"/>
        <v>7479172.9520000005</v>
      </c>
      <c r="BK36" s="787"/>
      <c r="BL36" s="787"/>
      <c r="BM36" s="787"/>
      <c r="BN36" s="787">
        <v>18289</v>
      </c>
      <c r="BO36" s="787">
        <v>0</v>
      </c>
      <c r="BP36" s="787">
        <v>0</v>
      </c>
      <c r="BQ36" s="787">
        <f t="shared" si="3"/>
        <v>18289</v>
      </c>
      <c r="BR36" s="787">
        <v>0</v>
      </c>
      <c r="BS36" s="787">
        <v>15133</v>
      </c>
      <c r="BT36" s="787">
        <v>0</v>
      </c>
      <c r="BU36" s="787">
        <v>0</v>
      </c>
      <c r="BV36" s="787">
        <v>0</v>
      </c>
      <c r="BW36" s="787">
        <v>0</v>
      </c>
      <c r="BX36" s="787">
        <v>0</v>
      </c>
      <c r="BY36" s="787">
        <v>0</v>
      </c>
      <c r="BZ36" s="787">
        <f t="shared" si="4"/>
        <v>15133</v>
      </c>
      <c r="CA36" s="787"/>
      <c r="CB36" s="787"/>
      <c r="CC36" s="787"/>
      <c r="CD36" s="787">
        <v>0</v>
      </c>
      <c r="CE36" s="787">
        <v>0</v>
      </c>
      <c r="CF36" s="787">
        <f t="shared" si="5"/>
        <v>0</v>
      </c>
      <c r="CG36" s="787">
        <v>0</v>
      </c>
      <c r="CH36" s="787">
        <v>0</v>
      </c>
      <c r="CI36" s="787">
        <f t="shared" si="6"/>
        <v>0</v>
      </c>
      <c r="CJ36" s="787"/>
      <c r="CK36" s="787"/>
      <c r="CL36" s="787"/>
      <c r="CM36" s="787"/>
      <c r="CN36" s="787"/>
      <c r="CO36" s="787"/>
      <c r="CP36" s="787"/>
      <c r="CQ36" s="787"/>
      <c r="CR36" s="787"/>
      <c r="CS36" s="787">
        <v>869027.06</v>
      </c>
      <c r="CT36" s="787">
        <v>108</v>
      </c>
      <c r="CU36" s="787">
        <v>240.21</v>
      </c>
      <c r="CV36" s="787">
        <v>869159.27</v>
      </c>
      <c r="CW36" s="787">
        <v>0</v>
      </c>
      <c r="CX36" s="787">
        <v>9474</v>
      </c>
      <c r="CY36" s="787">
        <v>4841</v>
      </c>
      <c r="CZ36" s="787">
        <v>3725</v>
      </c>
      <c r="DA36" s="787">
        <v>0</v>
      </c>
      <c r="DB36" s="787">
        <v>887199.27</v>
      </c>
      <c r="DC36" s="787">
        <v>0</v>
      </c>
      <c r="DD36" s="787">
        <v>0</v>
      </c>
      <c r="DE36" s="787">
        <v>0</v>
      </c>
      <c r="DF36" s="787">
        <v>0</v>
      </c>
      <c r="DG36" s="787"/>
      <c r="DH36" s="787"/>
      <c r="DI36" s="787"/>
      <c r="DJ36" s="787">
        <v>0</v>
      </c>
      <c r="DK36" s="787">
        <v>0</v>
      </c>
      <c r="DL36" s="787">
        <v>0</v>
      </c>
      <c r="DM36" s="787">
        <v>0</v>
      </c>
      <c r="DN36" s="787">
        <v>0</v>
      </c>
      <c r="DO36" s="787">
        <v>0</v>
      </c>
      <c r="DP36" s="787">
        <v>-593444.29</v>
      </c>
      <c r="DQ36" s="787">
        <v>-3200</v>
      </c>
      <c r="DR36" s="787">
        <v>0</v>
      </c>
      <c r="DS36" s="787">
        <v>0</v>
      </c>
      <c r="DT36" s="787">
        <v>-596644.29</v>
      </c>
      <c r="DU36" s="787">
        <v>0</v>
      </c>
      <c r="DV36" s="787">
        <v>0</v>
      </c>
      <c r="DW36" s="787">
        <v>-1245</v>
      </c>
      <c r="DX36" s="787">
        <v>0</v>
      </c>
      <c r="DY36" s="787">
        <v>0</v>
      </c>
      <c r="DZ36" s="787">
        <v>-119997.64</v>
      </c>
      <c r="EA36" s="787">
        <v>0.38057464646408334</v>
      </c>
    </row>
    <row r="37" spans="1:131" ht="15.6">
      <c r="A37" s="782" t="s">
        <v>1328</v>
      </c>
      <c r="B37" s="782" t="s">
        <v>590</v>
      </c>
      <c r="C37" s="783">
        <v>1048</v>
      </c>
      <c r="D37" s="784" t="s">
        <v>591</v>
      </c>
      <c r="E37" s="785" t="s">
        <v>521</v>
      </c>
      <c r="F37" s="786">
        <v>46094</v>
      </c>
      <c r="G37" s="785" t="s">
        <v>5</v>
      </c>
      <c r="H37" s="785" t="str">
        <f t="shared" si="0"/>
        <v>AX014</v>
      </c>
      <c r="I37" s="787">
        <v>0</v>
      </c>
      <c r="J37" s="787">
        <v>0</v>
      </c>
      <c r="K37" s="787">
        <v>0</v>
      </c>
      <c r="L37" s="787">
        <v>0</v>
      </c>
      <c r="M37" s="787">
        <v>0</v>
      </c>
      <c r="N37" s="787">
        <v>14552</v>
      </c>
      <c r="O37" s="787">
        <v>0</v>
      </c>
      <c r="P37" s="787">
        <v>0</v>
      </c>
      <c r="Q37" s="787">
        <v>154804</v>
      </c>
      <c r="R37" s="787">
        <v>0</v>
      </c>
      <c r="S37" s="787">
        <v>0</v>
      </c>
      <c r="T37" s="787">
        <v>0</v>
      </c>
      <c r="U37" s="787">
        <v>0</v>
      </c>
      <c r="V37" s="787">
        <v>0</v>
      </c>
      <c r="W37" s="787">
        <v>0</v>
      </c>
      <c r="X37" s="787">
        <f t="shared" si="1"/>
        <v>169356</v>
      </c>
      <c r="Y37" s="787">
        <v>273999.28000000003</v>
      </c>
      <c r="Z37" s="787">
        <v>0</v>
      </c>
      <c r="AA37" s="787">
        <v>669581.39</v>
      </c>
      <c r="AB37" s="787">
        <v>9138.4500000000007</v>
      </c>
      <c r="AC37" s="787">
        <v>73639.73</v>
      </c>
      <c r="AD37" s="787">
        <v>0</v>
      </c>
      <c r="AE37" s="787">
        <v>0</v>
      </c>
      <c r="AF37" s="787">
        <v>0</v>
      </c>
      <c r="AG37" s="787">
        <v>12365.5</v>
      </c>
      <c r="AH37" s="787">
        <v>0</v>
      </c>
      <c r="AI37" s="787">
        <v>0</v>
      </c>
      <c r="AJ37" s="787">
        <v>12151.62</v>
      </c>
      <c r="AK37" s="787">
        <v>0</v>
      </c>
      <c r="AL37" s="787">
        <v>5514.29</v>
      </c>
      <c r="AM37" s="787">
        <v>590</v>
      </c>
      <c r="AN37" s="787">
        <v>5659.59</v>
      </c>
      <c r="AO37" s="787">
        <v>0</v>
      </c>
      <c r="AP37" s="787">
        <v>1555.8400000000001</v>
      </c>
      <c r="AQ37" s="787">
        <v>28266.05</v>
      </c>
      <c r="AR37" s="787">
        <v>0</v>
      </c>
      <c r="AS37" s="787">
        <v>0</v>
      </c>
      <c r="AT37" s="787">
        <v>10532.730000000001</v>
      </c>
      <c r="AU37" s="787">
        <v>0</v>
      </c>
      <c r="AV37" s="787">
        <v>0</v>
      </c>
      <c r="AW37" s="787">
        <v>0</v>
      </c>
      <c r="AX37" s="787">
        <v>0</v>
      </c>
      <c r="AY37" s="787">
        <v>0</v>
      </c>
      <c r="AZ37" s="787">
        <v>8753.1999999999898</v>
      </c>
      <c r="BA37" s="787">
        <v>0</v>
      </c>
      <c r="BB37" s="787">
        <v>0</v>
      </c>
      <c r="BC37" s="787">
        <v>33778.400000000001</v>
      </c>
      <c r="BD37" s="787">
        <v>11659.95</v>
      </c>
      <c r="BE37" s="787">
        <v>0</v>
      </c>
      <c r="BF37" s="787">
        <v>140183</v>
      </c>
      <c r="BG37" s="787">
        <v>0</v>
      </c>
      <c r="BH37" s="787">
        <v>0</v>
      </c>
      <c r="BI37" s="787">
        <v>0</v>
      </c>
      <c r="BJ37" s="787">
        <f t="shared" si="2"/>
        <v>1297369.02</v>
      </c>
      <c r="BK37" s="787"/>
      <c r="BL37" s="787"/>
      <c r="BM37" s="787"/>
      <c r="BN37" s="787">
        <v>72085</v>
      </c>
      <c r="BO37" s="787">
        <v>0</v>
      </c>
      <c r="BP37" s="787">
        <v>0</v>
      </c>
      <c r="BQ37" s="787">
        <f t="shared" si="3"/>
        <v>72085</v>
      </c>
      <c r="BR37" s="787">
        <v>0</v>
      </c>
      <c r="BS37" s="787">
        <v>108157.44</v>
      </c>
      <c r="BT37" s="787">
        <v>0</v>
      </c>
      <c r="BU37" s="787">
        <v>0</v>
      </c>
      <c r="BV37" s="787">
        <v>0</v>
      </c>
      <c r="BW37" s="787">
        <v>0</v>
      </c>
      <c r="BX37" s="787">
        <v>0</v>
      </c>
      <c r="BY37" s="787">
        <v>0</v>
      </c>
      <c r="BZ37" s="787">
        <f t="shared" si="4"/>
        <v>108157.44</v>
      </c>
      <c r="CA37" s="787"/>
      <c r="CB37" s="787"/>
      <c r="CC37" s="787"/>
      <c r="CD37" s="787">
        <v>0</v>
      </c>
      <c r="CE37" s="787">
        <v>0</v>
      </c>
      <c r="CF37" s="787">
        <f t="shared" si="5"/>
        <v>0</v>
      </c>
      <c r="CG37" s="787">
        <v>0</v>
      </c>
      <c r="CH37" s="787">
        <v>0</v>
      </c>
      <c r="CI37" s="787">
        <f t="shared" si="6"/>
        <v>0</v>
      </c>
      <c r="CJ37" s="787"/>
      <c r="CK37" s="787"/>
      <c r="CL37" s="787"/>
      <c r="CM37" s="787"/>
      <c r="CN37" s="787"/>
      <c r="CO37" s="787"/>
      <c r="CP37" s="787"/>
      <c r="CQ37" s="787"/>
      <c r="CR37" s="787"/>
      <c r="CS37" s="787"/>
      <c r="CT37" s="787"/>
      <c r="CU37" s="787"/>
      <c r="CV37" s="787"/>
      <c r="CW37" s="787"/>
      <c r="CX37" s="787"/>
      <c r="CY37" s="787"/>
      <c r="CZ37" s="787"/>
      <c r="DA37" s="787"/>
      <c r="DB37" s="787"/>
      <c r="DC37" s="787"/>
      <c r="DD37" s="787"/>
      <c r="DE37" s="787"/>
      <c r="DF37" s="787"/>
      <c r="DG37" s="787"/>
      <c r="DH37" s="787"/>
      <c r="DI37" s="787"/>
      <c r="DJ37" s="787"/>
      <c r="DK37" s="787"/>
      <c r="DL37" s="787"/>
      <c r="DM37" s="787"/>
      <c r="DN37" s="787"/>
      <c r="DO37" s="787"/>
      <c r="DP37" s="787"/>
      <c r="DQ37" s="787"/>
      <c r="DR37" s="787"/>
      <c r="DS37" s="787"/>
      <c r="DT37" s="787"/>
      <c r="DU37" s="787"/>
      <c r="DV37" s="787"/>
      <c r="DW37" s="787"/>
      <c r="DX37" s="787"/>
      <c r="DY37" s="787"/>
      <c r="DZ37" s="787"/>
      <c r="EA37" s="787"/>
    </row>
    <row r="38" spans="1:131" ht="15.6">
      <c r="A38" s="782" t="s">
        <v>1329</v>
      </c>
      <c r="B38" s="782" t="s">
        <v>592</v>
      </c>
      <c r="C38" s="783">
        <v>2312</v>
      </c>
      <c r="D38" s="784" t="s">
        <v>593</v>
      </c>
      <c r="E38" s="785" t="s">
        <v>521</v>
      </c>
      <c r="F38" s="786">
        <v>46094</v>
      </c>
      <c r="G38" s="785" t="s">
        <v>5</v>
      </c>
      <c r="H38" s="785" t="str">
        <f t="shared" si="0"/>
        <v>AX015</v>
      </c>
      <c r="I38" s="787">
        <v>-1.2900000438094139E-2</v>
      </c>
      <c r="J38" s="787">
        <v>0</v>
      </c>
      <c r="K38" s="787">
        <v>27366.03933333332</v>
      </c>
      <c r="L38" s="787">
        <v>0</v>
      </c>
      <c r="M38" s="787">
        <v>0.38000000000465661</v>
      </c>
      <c r="N38" s="787">
        <v>0</v>
      </c>
      <c r="O38" s="787">
        <v>0</v>
      </c>
      <c r="P38" s="787">
        <v>145521</v>
      </c>
      <c r="Q38" s="787">
        <v>124197.17000000001</v>
      </c>
      <c r="R38" s="787">
        <v>46104.57</v>
      </c>
      <c r="S38" s="787">
        <v>0</v>
      </c>
      <c r="T38" s="787">
        <v>0</v>
      </c>
      <c r="U38" s="787">
        <v>53697.22</v>
      </c>
      <c r="V38" s="787">
        <v>1479.72</v>
      </c>
      <c r="W38" s="787">
        <v>0</v>
      </c>
      <c r="X38" s="787">
        <f t="shared" si="1"/>
        <v>398366.08643333288</v>
      </c>
      <c r="Y38" s="787">
        <v>1434788.06</v>
      </c>
      <c r="Z38" s="787">
        <v>0</v>
      </c>
      <c r="AA38" s="787">
        <v>502749.01</v>
      </c>
      <c r="AB38" s="787">
        <v>122443.53</v>
      </c>
      <c r="AC38" s="787">
        <v>217871</v>
      </c>
      <c r="AD38" s="787">
        <v>62047.450000000004</v>
      </c>
      <c r="AE38" s="787">
        <v>129596.23</v>
      </c>
      <c r="AF38" s="787">
        <v>61.9</v>
      </c>
      <c r="AG38" s="787">
        <v>11853.57</v>
      </c>
      <c r="AH38" s="787">
        <v>0</v>
      </c>
      <c r="AI38" s="787">
        <v>0</v>
      </c>
      <c r="AJ38" s="787">
        <v>33635.019999999997</v>
      </c>
      <c r="AK38" s="787">
        <v>339.37</v>
      </c>
      <c r="AL38" s="787">
        <v>3060.04</v>
      </c>
      <c r="AM38" s="787">
        <v>4105.6499999999996</v>
      </c>
      <c r="AN38" s="787">
        <v>37788.03</v>
      </c>
      <c r="AO38" s="787">
        <v>5.9999999997671694E-2</v>
      </c>
      <c r="AP38" s="787">
        <v>14021.7</v>
      </c>
      <c r="AQ38" s="787">
        <v>122920.25</v>
      </c>
      <c r="AR38" s="787">
        <v>0</v>
      </c>
      <c r="AS38" s="787">
        <v>0</v>
      </c>
      <c r="AT38" s="787">
        <v>15977.78</v>
      </c>
      <c r="AU38" s="787">
        <v>0</v>
      </c>
      <c r="AV38" s="787">
        <v>0</v>
      </c>
      <c r="AW38" s="787">
        <v>0</v>
      </c>
      <c r="AX38" s="787">
        <v>0</v>
      </c>
      <c r="AY38" s="787">
        <v>0</v>
      </c>
      <c r="AZ38" s="787">
        <v>27227.510000000002</v>
      </c>
      <c r="BA38" s="787">
        <v>13383.669999999998</v>
      </c>
      <c r="BB38" s="787">
        <v>0</v>
      </c>
      <c r="BC38" s="787">
        <v>61787.86</v>
      </c>
      <c r="BD38" s="787">
        <v>258986.56</v>
      </c>
      <c r="BE38" s="787">
        <v>514.22000000000116</v>
      </c>
      <c r="BF38" s="787">
        <v>87508.15</v>
      </c>
      <c r="BG38" s="787">
        <v>0</v>
      </c>
      <c r="BH38" s="787">
        <v>0</v>
      </c>
      <c r="BI38" s="787">
        <v>0</v>
      </c>
      <c r="BJ38" s="787">
        <f t="shared" si="2"/>
        <v>3162666.6199999996</v>
      </c>
      <c r="BK38" s="787"/>
      <c r="BL38" s="787"/>
      <c r="BM38" s="787"/>
      <c r="BN38" s="787">
        <v>0</v>
      </c>
      <c r="BO38" s="787">
        <v>0</v>
      </c>
      <c r="BP38" s="787">
        <v>0</v>
      </c>
      <c r="BQ38" s="787">
        <f t="shared" si="3"/>
        <v>0</v>
      </c>
      <c r="BR38" s="787">
        <v>0</v>
      </c>
      <c r="BS38" s="787">
        <v>0</v>
      </c>
      <c r="BT38" s="787">
        <v>0</v>
      </c>
      <c r="BU38" s="787">
        <v>0</v>
      </c>
      <c r="BV38" s="787">
        <v>0</v>
      </c>
      <c r="BW38" s="787">
        <v>0</v>
      </c>
      <c r="BX38" s="787">
        <v>12775</v>
      </c>
      <c r="BY38" s="787">
        <v>0</v>
      </c>
      <c r="BZ38" s="787">
        <f t="shared" si="4"/>
        <v>12775</v>
      </c>
      <c r="CA38" s="787"/>
      <c r="CB38" s="787"/>
      <c r="CC38" s="787"/>
      <c r="CD38" s="787">
        <v>0</v>
      </c>
      <c r="CE38" s="787">
        <v>0</v>
      </c>
      <c r="CF38" s="787">
        <f t="shared" si="5"/>
        <v>0</v>
      </c>
      <c r="CG38" s="787">
        <v>0</v>
      </c>
      <c r="CH38" s="787">
        <v>0</v>
      </c>
      <c r="CI38" s="787">
        <f t="shared" si="6"/>
        <v>0</v>
      </c>
      <c r="CJ38" s="787"/>
      <c r="CK38" s="787"/>
      <c r="CL38" s="787"/>
      <c r="CM38" s="787"/>
      <c r="CN38" s="787"/>
      <c r="CO38" s="787"/>
      <c r="CP38" s="787"/>
      <c r="CQ38" s="787"/>
      <c r="CR38" s="787"/>
      <c r="CS38" s="787"/>
      <c r="CT38" s="787"/>
      <c r="CU38" s="787"/>
      <c r="CV38" s="787"/>
      <c r="CW38" s="787"/>
      <c r="CX38" s="787"/>
      <c r="CY38" s="787"/>
      <c r="CZ38" s="787"/>
      <c r="DA38" s="787"/>
      <c r="DB38" s="787"/>
      <c r="DC38" s="787"/>
      <c r="DD38" s="787"/>
      <c r="DE38" s="787"/>
      <c r="DF38" s="787"/>
      <c r="DG38" s="787"/>
      <c r="DH38" s="787"/>
      <c r="DI38" s="787"/>
      <c r="DJ38" s="787"/>
      <c r="DK38" s="787"/>
      <c r="DL38" s="787"/>
      <c r="DM38" s="787"/>
      <c r="DN38" s="787"/>
      <c r="DO38" s="787"/>
      <c r="DP38" s="787"/>
      <c r="DQ38" s="787"/>
      <c r="DR38" s="787"/>
      <c r="DS38" s="787"/>
      <c r="DT38" s="787"/>
      <c r="DU38" s="787"/>
      <c r="DV38" s="787"/>
      <c r="DW38" s="787"/>
      <c r="DX38" s="787"/>
      <c r="DY38" s="787"/>
      <c r="DZ38" s="787"/>
      <c r="EA38" s="787"/>
    </row>
    <row r="39" spans="1:131" ht="15.6">
      <c r="A39" s="782" t="s">
        <v>1330</v>
      </c>
      <c r="B39" s="782" t="s">
        <v>594</v>
      </c>
      <c r="C39" s="783">
        <v>7051</v>
      </c>
      <c r="D39" s="784" t="s">
        <v>595</v>
      </c>
      <c r="E39" s="785" t="s">
        <v>521</v>
      </c>
      <c r="F39" s="786">
        <v>46094</v>
      </c>
      <c r="G39" s="785" t="s">
        <v>5</v>
      </c>
      <c r="H39" s="785" t="str">
        <f t="shared" si="0"/>
        <v>AX017</v>
      </c>
      <c r="I39" s="787">
        <v>0</v>
      </c>
      <c r="J39" s="787">
        <v>0</v>
      </c>
      <c r="K39" s="787">
        <v>43955.239999999991</v>
      </c>
      <c r="L39" s="787">
        <v>0</v>
      </c>
      <c r="M39" s="787">
        <v>6300</v>
      </c>
      <c r="N39" s="787">
        <v>0</v>
      </c>
      <c r="O39" s="787">
        <v>1313.13</v>
      </c>
      <c r="P39" s="787">
        <v>0</v>
      </c>
      <c r="Q39" s="787">
        <v>29789.26</v>
      </c>
      <c r="R39" s="787">
        <v>3833.81</v>
      </c>
      <c r="S39" s="787">
        <v>0</v>
      </c>
      <c r="T39" s="787">
        <v>0</v>
      </c>
      <c r="U39" s="787">
        <v>96.11</v>
      </c>
      <c r="V39" s="787">
        <v>0</v>
      </c>
      <c r="W39" s="787">
        <v>0</v>
      </c>
      <c r="X39" s="787">
        <f t="shared" si="1"/>
        <v>85287.549999999988</v>
      </c>
      <c r="Y39" s="787">
        <v>758451.74</v>
      </c>
      <c r="Z39" s="787">
        <v>0</v>
      </c>
      <c r="AA39" s="787">
        <v>959058.59</v>
      </c>
      <c r="AB39" s="787">
        <v>156490.43</v>
      </c>
      <c r="AC39" s="787">
        <v>101024.11</v>
      </c>
      <c r="AD39" s="787">
        <v>0</v>
      </c>
      <c r="AE39" s="787">
        <v>35225.769999999997</v>
      </c>
      <c r="AF39" s="787">
        <v>10917.29</v>
      </c>
      <c r="AG39" s="787">
        <v>22731.93</v>
      </c>
      <c r="AH39" s="787">
        <v>0</v>
      </c>
      <c r="AI39" s="787">
        <v>0</v>
      </c>
      <c r="AJ39" s="787">
        <v>22471.86</v>
      </c>
      <c r="AK39" s="787">
        <v>4194.3999999999996</v>
      </c>
      <c r="AL39" s="787">
        <v>3422.55</v>
      </c>
      <c r="AM39" s="787">
        <v>2968.92</v>
      </c>
      <c r="AN39" s="787">
        <v>36181.800000000003</v>
      </c>
      <c r="AO39" s="787">
        <v>0</v>
      </c>
      <c r="AP39" s="787">
        <v>16139.78</v>
      </c>
      <c r="AQ39" s="787">
        <v>43848.2</v>
      </c>
      <c r="AR39" s="787">
        <v>5110</v>
      </c>
      <c r="AS39" s="787">
        <v>0</v>
      </c>
      <c r="AT39" s="787">
        <v>1602.3</v>
      </c>
      <c r="AU39" s="787">
        <v>14044.38</v>
      </c>
      <c r="AV39" s="787">
        <v>11817.79</v>
      </c>
      <c r="AW39" s="787">
        <v>5472.25</v>
      </c>
      <c r="AX39" s="787">
        <v>0</v>
      </c>
      <c r="AY39" s="787">
        <v>0</v>
      </c>
      <c r="AZ39" s="787">
        <v>20565.59</v>
      </c>
      <c r="BA39" s="787">
        <v>5884.67</v>
      </c>
      <c r="BB39" s="787">
        <v>0</v>
      </c>
      <c r="BC39" s="787">
        <v>91678.420000000013</v>
      </c>
      <c r="BD39" s="787">
        <v>155368.91999999998</v>
      </c>
      <c r="BE39" s="787">
        <v>506644.07</v>
      </c>
      <c r="BF39" s="787">
        <v>194326.13</v>
      </c>
      <c r="BG39" s="787">
        <v>0</v>
      </c>
      <c r="BH39" s="787">
        <v>0</v>
      </c>
      <c r="BI39" s="787">
        <v>10957.35</v>
      </c>
      <c r="BJ39" s="787">
        <f t="shared" si="2"/>
        <v>3196599.2399999993</v>
      </c>
      <c r="BK39" s="787"/>
      <c r="BL39" s="787"/>
      <c r="BM39" s="787"/>
      <c r="BN39" s="787">
        <v>0</v>
      </c>
      <c r="BO39" s="787">
        <v>0</v>
      </c>
      <c r="BP39" s="787">
        <v>10957.35</v>
      </c>
      <c r="BQ39" s="787">
        <f t="shared" si="3"/>
        <v>10957.35</v>
      </c>
      <c r="BR39" s="787">
        <v>0</v>
      </c>
      <c r="BS39" s="787">
        <v>5004.59</v>
      </c>
      <c r="BT39" s="787">
        <v>15970</v>
      </c>
      <c r="BU39" s="787">
        <v>0</v>
      </c>
      <c r="BV39" s="787">
        <v>0</v>
      </c>
      <c r="BW39" s="787">
        <v>1873.76</v>
      </c>
      <c r="BX39" s="787">
        <v>0</v>
      </c>
      <c r="BY39" s="787">
        <v>0</v>
      </c>
      <c r="BZ39" s="787">
        <f t="shared" si="4"/>
        <v>22848.35</v>
      </c>
      <c r="CA39" s="787"/>
      <c r="CB39" s="787"/>
      <c r="CC39" s="787"/>
      <c r="CD39" s="787">
        <v>0</v>
      </c>
      <c r="CE39" s="787">
        <v>0</v>
      </c>
      <c r="CF39" s="787">
        <f t="shared" si="5"/>
        <v>0</v>
      </c>
      <c r="CG39" s="787">
        <v>0</v>
      </c>
      <c r="CH39" s="787">
        <v>0</v>
      </c>
      <c r="CI39" s="787">
        <f t="shared" si="6"/>
        <v>0</v>
      </c>
      <c r="CJ39" s="787"/>
      <c r="CK39" s="787"/>
      <c r="CL39" s="787"/>
      <c r="CM39" s="787"/>
      <c r="CN39" s="787"/>
      <c r="CO39" s="787"/>
      <c r="CP39" s="787"/>
      <c r="CQ39" s="787"/>
      <c r="CR39" s="787"/>
      <c r="CS39" s="787">
        <v>25000</v>
      </c>
      <c r="CT39" s="787">
        <v>284948</v>
      </c>
      <c r="CU39" s="787">
        <v>87</v>
      </c>
      <c r="CV39" s="787">
        <v>-259861</v>
      </c>
      <c r="CW39" s="787">
        <v>0</v>
      </c>
      <c r="CX39" s="787">
        <v>10873</v>
      </c>
      <c r="CY39" s="787">
        <v>24881</v>
      </c>
      <c r="CZ39" s="787">
        <v>0</v>
      </c>
      <c r="DA39" s="787">
        <v>0</v>
      </c>
      <c r="DB39" s="787">
        <v>-224107</v>
      </c>
      <c r="DC39" s="787">
        <v>1567512</v>
      </c>
      <c r="DD39" s="787">
        <v>0</v>
      </c>
      <c r="DE39" s="787">
        <v>0</v>
      </c>
      <c r="DF39" s="787">
        <v>1567512</v>
      </c>
      <c r="DG39" s="787"/>
      <c r="DH39" s="787"/>
      <c r="DI39" s="787"/>
      <c r="DJ39" s="787">
        <v>0</v>
      </c>
      <c r="DK39" s="787">
        <v>1567512</v>
      </c>
      <c r="DL39" s="787">
        <v>21339.34</v>
      </c>
      <c r="DM39" s="787">
        <v>14792.87</v>
      </c>
      <c r="DN39" s="787">
        <v>14119.52</v>
      </c>
      <c r="DO39" s="787">
        <v>0</v>
      </c>
      <c r="DP39" s="787">
        <v>-80802.31</v>
      </c>
      <c r="DQ39" s="787">
        <v>-23974.85</v>
      </c>
      <c r="DR39" s="787">
        <v>-1765.15</v>
      </c>
      <c r="DS39" s="787">
        <v>0</v>
      </c>
      <c r="DT39" s="787">
        <v>-56290.58</v>
      </c>
      <c r="DU39" s="787">
        <v>0</v>
      </c>
      <c r="DV39" s="787">
        <v>0</v>
      </c>
      <c r="DW39" s="787">
        <v>0</v>
      </c>
      <c r="DX39" s="787">
        <v>0</v>
      </c>
      <c r="DY39" s="787">
        <v>0</v>
      </c>
      <c r="DZ39" s="787">
        <v>-34028.42</v>
      </c>
      <c r="EA39" s="787">
        <v>0.28810027381405234</v>
      </c>
    </row>
    <row r="40" spans="1:131" ht="15.6">
      <c r="A40" s="782" t="s">
        <v>1331</v>
      </c>
      <c r="B40" s="782" t="s">
        <v>596</v>
      </c>
      <c r="C40" s="783">
        <v>2040</v>
      </c>
      <c r="D40" s="784" t="s">
        <v>597</v>
      </c>
      <c r="E40" s="785" t="s">
        <v>521</v>
      </c>
      <c r="F40" s="786">
        <v>46094</v>
      </c>
      <c r="G40" s="785" t="s">
        <v>5</v>
      </c>
      <c r="H40" s="785" t="str">
        <f t="shared" si="0"/>
        <v>AX018</v>
      </c>
      <c r="I40" s="787">
        <v>258837.18999999994</v>
      </c>
      <c r="J40" s="787">
        <v>0</v>
      </c>
      <c r="K40" s="787">
        <v>0</v>
      </c>
      <c r="L40" s="787">
        <v>0</v>
      </c>
      <c r="M40" s="787">
        <v>4200</v>
      </c>
      <c r="N40" s="787">
        <v>0</v>
      </c>
      <c r="O40" s="787">
        <v>0</v>
      </c>
      <c r="P40" s="787">
        <v>16367</v>
      </c>
      <c r="Q40" s="787">
        <v>21704.560000000001</v>
      </c>
      <c r="R40" s="787">
        <v>37927.1</v>
      </c>
      <c r="S40" s="787">
        <v>12211</v>
      </c>
      <c r="T40" s="787">
        <v>0</v>
      </c>
      <c r="U40" s="787">
        <v>13787.04</v>
      </c>
      <c r="V40" s="787">
        <v>45609.38</v>
      </c>
      <c r="W40" s="787">
        <v>0</v>
      </c>
      <c r="X40" s="787">
        <f t="shared" si="1"/>
        <v>410643.2699999999</v>
      </c>
      <c r="Y40" s="787">
        <v>1417293.7</v>
      </c>
      <c r="Z40" s="787">
        <v>0</v>
      </c>
      <c r="AA40" s="787">
        <v>503251.06</v>
      </c>
      <c r="AB40" s="787">
        <v>88814.47</v>
      </c>
      <c r="AC40" s="787">
        <v>183586.5</v>
      </c>
      <c r="AD40" s="787">
        <v>0</v>
      </c>
      <c r="AE40" s="787">
        <v>224527.13</v>
      </c>
      <c r="AF40" s="787">
        <v>460.86</v>
      </c>
      <c r="AG40" s="787">
        <v>9248.5300000000007</v>
      </c>
      <c r="AH40" s="787">
        <v>0</v>
      </c>
      <c r="AI40" s="787">
        <v>26460.880000000001</v>
      </c>
      <c r="AJ40" s="787">
        <v>38804.11</v>
      </c>
      <c r="AK40" s="787">
        <v>5703.93</v>
      </c>
      <c r="AL40" s="787">
        <v>8308.7999999999993</v>
      </c>
      <c r="AM40" s="787">
        <v>7944.06</v>
      </c>
      <c r="AN40" s="787">
        <v>33384.730000000003</v>
      </c>
      <c r="AO40" s="787">
        <v>17776.990000000002</v>
      </c>
      <c r="AP40" s="787">
        <v>18505.79</v>
      </c>
      <c r="AQ40" s="787">
        <v>70804.53</v>
      </c>
      <c r="AR40" s="787">
        <v>0</v>
      </c>
      <c r="AS40" s="787">
        <v>0</v>
      </c>
      <c r="AT40" s="787">
        <v>1923.5</v>
      </c>
      <c r="AU40" s="787">
        <v>4794.8599999999997</v>
      </c>
      <c r="AV40" s="787">
        <v>0</v>
      </c>
      <c r="AW40" s="787">
        <v>1060.01</v>
      </c>
      <c r="AX40" s="787">
        <v>95</v>
      </c>
      <c r="AY40" s="787">
        <v>0</v>
      </c>
      <c r="AZ40" s="787">
        <v>7149.09</v>
      </c>
      <c r="BA40" s="787">
        <v>9596</v>
      </c>
      <c r="BB40" s="787">
        <v>10477.01</v>
      </c>
      <c r="BC40" s="787">
        <v>157125.53</v>
      </c>
      <c r="BD40" s="787">
        <v>118187.13</v>
      </c>
      <c r="BE40" s="787">
        <v>240494.55000000002</v>
      </c>
      <c r="BF40" s="787">
        <v>181962.01</v>
      </c>
      <c r="BG40" s="787">
        <v>0</v>
      </c>
      <c r="BH40" s="787">
        <v>0</v>
      </c>
      <c r="BI40" s="787">
        <v>0</v>
      </c>
      <c r="BJ40" s="787">
        <f t="shared" si="2"/>
        <v>3387740.7599999979</v>
      </c>
      <c r="BK40" s="787"/>
      <c r="BL40" s="787"/>
      <c r="BM40" s="787"/>
      <c r="BN40" s="787">
        <v>0</v>
      </c>
      <c r="BO40" s="787">
        <v>0</v>
      </c>
      <c r="BP40" s="787">
        <v>0</v>
      </c>
      <c r="BQ40" s="787">
        <f t="shared" si="3"/>
        <v>0</v>
      </c>
      <c r="BR40" s="787">
        <v>0</v>
      </c>
      <c r="BS40" s="787">
        <v>5395.74</v>
      </c>
      <c r="BT40" s="787">
        <v>0</v>
      </c>
      <c r="BU40" s="787">
        <v>0</v>
      </c>
      <c r="BV40" s="787">
        <v>0</v>
      </c>
      <c r="BW40" s="787">
        <v>0</v>
      </c>
      <c r="BX40" s="787">
        <v>0</v>
      </c>
      <c r="BY40" s="787">
        <v>0</v>
      </c>
      <c r="BZ40" s="787">
        <f t="shared" si="4"/>
        <v>5395.74</v>
      </c>
      <c r="CA40" s="787"/>
      <c r="CB40" s="787"/>
      <c r="CC40" s="787"/>
      <c r="CD40" s="787">
        <v>0</v>
      </c>
      <c r="CE40" s="787">
        <v>0</v>
      </c>
      <c r="CF40" s="787">
        <f t="shared" si="5"/>
        <v>0</v>
      </c>
      <c r="CG40" s="787">
        <v>0</v>
      </c>
      <c r="CH40" s="787">
        <v>0</v>
      </c>
      <c r="CI40" s="787">
        <f t="shared" si="6"/>
        <v>0</v>
      </c>
      <c r="CJ40" s="787"/>
      <c r="CK40" s="787"/>
      <c r="CL40" s="787"/>
      <c r="CM40" s="787"/>
      <c r="CN40" s="787"/>
      <c r="CO40" s="787"/>
      <c r="CP40" s="787"/>
      <c r="CQ40" s="787"/>
      <c r="CR40" s="787"/>
      <c r="CS40" s="787">
        <v>757533.4</v>
      </c>
      <c r="CT40" s="787">
        <v>11561.04</v>
      </c>
      <c r="CU40" s="787">
        <v>0</v>
      </c>
      <c r="CV40" s="787">
        <v>745972.36</v>
      </c>
      <c r="CW40" s="787">
        <v>0</v>
      </c>
      <c r="CX40" s="787">
        <v>8988.15</v>
      </c>
      <c r="CY40" s="787">
        <v>13988.19</v>
      </c>
      <c r="CZ40" s="787">
        <v>0</v>
      </c>
      <c r="DA40" s="787">
        <v>0</v>
      </c>
      <c r="DB40" s="787">
        <v>768948.7</v>
      </c>
      <c r="DC40" s="787">
        <v>0</v>
      </c>
      <c r="DD40" s="787">
        <v>0</v>
      </c>
      <c r="DE40" s="787">
        <v>0</v>
      </c>
      <c r="DF40" s="787">
        <v>0</v>
      </c>
      <c r="DG40" s="787"/>
      <c r="DH40" s="787"/>
      <c r="DI40" s="787"/>
      <c r="DJ40" s="787">
        <v>0</v>
      </c>
      <c r="DK40" s="787">
        <v>0</v>
      </c>
      <c r="DL40" s="787">
        <v>0</v>
      </c>
      <c r="DM40" s="787">
        <v>0</v>
      </c>
      <c r="DN40" s="787">
        <v>0</v>
      </c>
      <c r="DO40" s="787">
        <v>0</v>
      </c>
      <c r="DP40" s="787">
        <v>-212956.25</v>
      </c>
      <c r="DQ40" s="787">
        <v>-43568.82</v>
      </c>
      <c r="DR40" s="787">
        <v>0</v>
      </c>
      <c r="DS40" s="787">
        <v>0</v>
      </c>
      <c r="DT40" s="787">
        <v>-256525.07</v>
      </c>
      <c r="DU40" s="787">
        <v>0</v>
      </c>
      <c r="DV40" s="787">
        <v>0</v>
      </c>
      <c r="DW40" s="787">
        <v>0</v>
      </c>
      <c r="DX40" s="787">
        <v>0</v>
      </c>
      <c r="DY40" s="787">
        <v>0</v>
      </c>
      <c r="DZ40" s="787">
        <v>-41947.61</v>
      </c>
      <c r="EA40" s="787">
        <v>-8.235832880018279E-2</v>
      </c>
    </row>
    <row r="41" spans="1:131" ht="15.6">
      <c r="A41" s="782" t="s">
        <v>1332</v>
      </c>
      <c r="B41" s="782" t="s">
        <v>598</v>
      </c>
      <c r="C41" s="783">
        <v>2251</v>
      </c>
      <c r="D41" s="784" t="s">
        <v>599</v>
      </c>
      <c r="E41" s="785" t="s">
        <v>521</v>
      </c>
      <c r="F41" s="786">
        <v>46094</v>
      </c>
      <c r="G41" s="785" t="s">
        <v>5</v>
      </c>
      <c r="H41" s="785" t="str">
        <f t="shared" si="0"/>
        <v>AX08W</v>
      </c>
      <c r="I41" s="787">
        <v>0</v>
      </c>
      <c r="J41" s="787">
        <v>0</v>
      </c>
      <c r="K41" s="787">
        <v>0</v>
      </c>
      <c r="L41" s="787">
        <v>0</v>
      </c>
      <c r="M41" s="787">
        <v>0</v>
      </c>
      <c r="N41" s="787">
        <v>5711</v>
      </c>
      <c r="O41" s="787">
        <v>0</v>
      </c>
      <c r="P41" s="787">
        <v>9094</v>
      </c>
      <c r="Q41" s="787">
        <v>22967</v>
      </c>
      <c r="R41" s="787">
        <v>45603</v>
      </c>
      <c r="S41" s="787">
        <v>0</v>
      </c>
      <c r="T41" s="787">
        <v>0</v>
      </c>
      <c r="U41" s="787">
        <v>156927</v>
      </c>
      <c r="V41" s="787">
        <v>0</v>
      </c>
      <c r="W41" s="787">
        <v>0</v>
      </c>
      <c r="X41" s="787">
        <f t="shared" si="1"/>
        <v>240302</v>
      </c>
      <c r="Y41" s="787">
        <v>1321274.77</v>
      </c>
      <c r="Z41" s="787">
        <v>0</v>
      </c>
      <c r="AA41" s="787">
        <v>485493.35</v>
      </c>
      <c r="AB41" s="787">
        <v>0</v>
      </c>
      <c r="AC41" s="787">
        <v>147033.14000000001</v>
      </c>
      <c r="AD41" s="787">
        <v>103737.08</v>
      </c>
      <c r="AE41" s="787">
        <v>39481.300000000003</v>
      </c>
      <c r="AF41" s="787">
        <v>0</v>
      </c>
      <c r="AG41" s="787">
        <v>5607</v>
      </c>
      <c r="AH41" s="787">
        <v>0</v>
      </c>
      <c r="AI41" s="787">
        <v>0</v>
      </c>
      <c r="AJ41" s="787">
        <v>2380</v>
      </c>
      <c r="AK41" s="787">
        <v>0</v>
      </c>
      <c r="AL41" s="787">
        <v>0</v>
      </c>
      <c r="AM41" s="787">
        <v>12393</v>
      </c>
      <c r="AN41" s="787">
        <v>43812</v>
      </c>
      <c r="AO41" s="787">
        <v>0</v>
      </c>
      <c r="AP41" s="787">
        <v>0</v>
      </c>
      <c r="AQ41" s="787">
        <v>92328</v>
      </c>
      <c r="AR41" s="787">
        <v>0</v>
      </c>
      <c r="AS41" s="787">
        <v>0</v>
      </c>
      <c r="AT41" s="787">
        <v>0</v>
      </c>
      <c r="AU41" s="787">
        <v>0</v>
      </c>
      <c r="AV41" s="787">
        <v>787</v>
      </c>
      <c r="AW41" s="787">
        <v>0</v>
      </c>
      <c r="AX41" s="787">
        <v>40</v>
      </c>
      <c r="AY41" s="787">
        <v>0</v>
      </c>
      <c r="AZ41" s="787">
        <v>17222</v>
      </c>
      <c r="BA41" s="787">
        <v>0</v>
      </c>
      <c r="BB41" s="787">
        <v>0</v>
      </c>
      <c r="BC41" s="787">
        <v>59281.64</v>
      </c>
      <c r="BD41" s="787">
        <v>71515</v>
      </c>
      <c r="BE41" s="787">
        <v>92852</v>
      </c>
      <c r="BF41" s="787">
        <v>151947</v>
      </c>
      <c r="BG41" s="787">
        <v>170077</v>
      </c>
      <c r="BH41" s="787">
        <v>0</v>
      </c>
      <c r="BI41" s="787">
        <v>0</v>
      </c>
      <c r="BJ41" s="787">
        <f t="shared" si="2"/>
        <v>2817261.2800000007</v>
      </c>
      <c r="BK41" s="787"/>
      <c r="BL41" s="787"/>
      <c r="BM41" s="787"/>
      <c r="BN41" s="787">
        <v>0</v>
      </c>
      <c r="BO41" s="787">
        <v>0</v>
      </c>
      <c r="BP41" s="787">
        <v>0</v>
      </c>
      <c r="BQ41" s="787">
        <f t="shared" si="3"/>
        <v>0</v>
      </c>
      <c r="BR41" s="787">
        <v>0</v>
      </c>
      <c r="BS41" s="787">
        <v>6748</v>
      </c>
      <c r="BT41" s="787">
        <v>0</v>
      </c>
      <c r="BU41" s="787">
        <v>0</v>
      </c>
      <c r="BV41" s="787">
        <v>0</v>
      </c>
      <c r="BW41" s="787">
        <v>9038</v>
      </c>
      <c r="BX41" s="787">
        <v>0</v>
      </c>
      <c r="BY41" s="787">
        <v>0</v>
      </c>
      <c r="BZ41" s="787">
        <f t="shared" si="4"/>
        <v>15786</v>
      </c>
      <c r="CA41" s="787"/>
      <c r="CB41" s="787"/>
      <c r="CC41" s="787"/>
      <c r="CD41" s="787">
        <v>0</v>
      </c>
      <c r="CE41" s="787">
        <v>0</v>
      </c>
      <c r="CF41" s="787">
        <f t="shared" si="5"/>
        <v>0</v>
      </c>
      <c r="CG41" s="787">
        <v>0</v>
      </c>
      <c r="CH41" s="787">
        <v>0</v>
      </c>
      <c r="CI41" s="787">
        <f t="shared" si="6"/>
        <v>0</v>
      </c>
      <c r="CJ41" s="787"/>
      <c r="CK41" s="787"/>
      <c r="CL41" s="787"/>
      <c r="CM41" s="787"/>
      <c r="CN41" s="787"/>
      <c r="CO41" s="787"/>
      <c r="CP41" s="787"/>
      <c r="CQ41" s="787"/>
      <c r="CR41" s="787"/>
      <c r="CS41" s="787">
        <v>531133</v>
      </c>
      <c r="CT41" s="787">
        <v>54019</v>
      </c>
      <c r="CU41" s="787">
        <v>0</v>
      </c>
      <c r="CV41" s="787">
        <v>477114</v>
      </c>
      <c r="CW41" s="787">
        <v>0</v>
      </c>
      <c r="CX41" s="787">
        <v>7450</v>
      </c>
      <c r="CY41" s="787">
        <v>-1214</v>
      </c>
      <c r="CZ41" s="787">
        <v>3673</v>
      </c>
      <c r="DA41" s="787">
        <v>0</v>
      </c>
      <c r="DB41" s="787">
        <v>487023</v>
      </c>
      <c r="DC41" s="787">
        <v>207418</v>
      </c>
      <c r="DD41" s="787">
        <v>0</v>
      </c>
      <c r="DE41" s="787">
        <v>0</v>
      </c>
      <c r="DF41" s="787">
        <v>207418</v>
      </c>
      <c r="DG41" s="787"/>
      <c r="DH41" s="787"/>
      <c r="DI41" s="787"/>
      <c r="DJ41" s="787">
        <v>0</v>
      </c>
      <c r="DK41" s="787">
        <v>207418</v>
      </c>
      <c r="DL41" s="787">
        <v>0</v>
      </c>
      <c r="DM41" s="787">
        <v>0</v>
      </c>
      <c r="DN41" s="787">
        <v>0</v>
      </c>
      <c r="DO41" s="787">
        <v>0</v>
      </c>
      <c r="DP41" s="787">
        <v>-234279.28</v>
      </c>
      <c r="DQ41" s="787">
        <v>-27820</v>
      </c>
      <c r="DR41" s="787">
        <v>0</v>
      </c>
      <c r="DS41" s="787">
        <v>0</v>
      </c>
      <c r="DT41" s="787">
        <v>-262099.28</v>
      </c>
      <c r="DU41" s="787">
        <v>0</v>
      </c>
      <c r="DV41" s="787">
        <v>0</v>
      </c>
      <c r="DW41" s="787">
        <v>-1612</v>
      </c>
      <c r="DX41" s="787">
        <v>0</v>
      </c>
      <c r="DY41" s="787">
        <v>0</v>
      </c>
      <c r="DZ41" s="787">
        <v>-37271</v>
      </c>
      <c r="EA41" s="787">
        <v>-0.38520775915822014</v>
      </c>
    </row>
    <row r="42" spans="1:131" ht="15.6">
      <c r="A42" s="782" t="s">
        <v>1333</v>
      </c>
      <c r="B42" s="782" t="s">
        <v>600</v>
      </c>
      <c r="C42" s="783">
        <v>3002</v>
      </c>
      <c r="D42" s="784" t="s">
        <v>601</v>
      </c>
      <c r="E42" s="785" t="s">
        <v>521</v>
      </c>
      <c r="F42" s="786">
        <v>46094</v>
      </c>
      <c r="G42" s="785" t="s">
        <v>5</v>
      </c>
      <c r="H42" s="785" t="str">
        <f t="shared" si="0"/>
        <v>AX01A</v>
      </c>
      <c r="I42" s="787">
        <v>0</v>
      </c>
      <c r="J42" s="787">
        <v>0</v>
      </c>
      <c r="K42" s="787">
        <v>0</v>
      </c>
      <c r="L42" s="787">
        <v>0</v>
      </c>
      <c r="M42" s="787">
        <v>0</v>
      </c>
      <c r="N42" s="787">
        <v>0</v>
      </c>
      <c r="O42" s="787">
        <v>0</v>
      </c>
      <c r="P42" s="787">
        <v>0</v>
      </c>
      <c r="Q42" s="787">
        <v>1218.17</v>
      </c>
      <c r="R42" s="787">
        <v>5461.59</v>
      </c>
      <c r="S42" s="787">
        <v>0</v>
      </c>
      <c r="T42" s="787">
        <v>0</v>
      </c>
      <c r="U42" s="787">
        <v>2167.08</v>
      </c>
      <c r="V42" s="787">
        <v>25727.93</v>
      </c>
      <c r="W42" s="787">
        <v>0</v>
      </c>
      <c r="X42" s="787">
        <f t="shared" si="1"/>
        <v>34574.770000000004</v>
      </c>
      <c r="Y42" s="787">
        <v>568522.71</v>
      </c>
      <c r="Z42" s="787">
        <v>0</v>
      </c>
      <c r="AA42" s="787">
        <v>236153.9</v>
      </c>
      <c r="AB42" s="787">
        <v>41255.31</v>
      </c>
      <c r="AC42" s="787">
        <v>79890.37</v>
      </c>
      <c r="AD42" s="787">
        <v>0</v>
      </c>
      <c r="AE42" s="787">
        <v>40919.78</v>
      </c>
      <c r="AF42" s="787">
        <v>4923.08</v>
      </c>
      <c r="AG42" s="787">
        <v>3874.12</v>
      </c>
      <c r="AH42" s="787">
        <v>0</v>
      </c>
      <c r="AI42" s="787">
        <v>0</v>
      </c>
      <c r="AJ42" s="787">
        <v>13721.86</v>
      </c>
      <c r="AK42" s="787">
        <v>111.34</v>
      </c>
      <c r="AL42" s="787">
        <v>26485.37</v>
      </c>
      <c r="AM42" s="787">
        <v>3832.41</v>
      </c>
      <c r="AN42" s="787">
        <v>25736.59</v>
      </c>
      <c r="AO42" s="787">
        <v>0</v>
      </c>
      <c r="AP42" s="787">
        <v>15204.21</v>
      </c>
      <c r="AQ42" s="787">
        <v>132635.63</v>
      </c>
      <c r="AR42" s="787">
        <v>0</v>
      </c>
      <c r="AS42" s="787">
        <v>0</v>
      </c>
      <c r="AT42" s="787">
        <v>0</v>
      </c>
      <c r="AU42" s="787">
        <v>0</v>
      </c>
      <c r="AV42" s="787">
        <v>0</v>
      </c>
      <c r="AW42" s="787">
        <v>0</v>
      </c>
      <c r="AX42" s="787">
        <v>0</v>
      </c>
      <c r="AY42" s="787">
        <v>0</v>
      </c>
      <c r="AZ42" s="787">
        <v>52914.05</v>
      </c>
      <c r="BA42" s="787">
        <v>0</v>
      </c>
      <c r="BB42" s="787">
        <v>2295</v>
      </c>
      <c r="BC42" s="787">
        <v>64603.63</v>
      </c>
      <c r="BD42" s="787">
        <v>106569.95</v>
      </c>
      <c r="BE42" s="787">
        <v>10987</v>
      </c>
      <c r="BF42" s="787">
        <v>135390.29</v>
      </c>
      <c r="BG42" s="787">
        <v>0</v>
      </c>
      <c r="BH42" s="787">
        <v>0</v>
      </c>
      <c r="BI42" s="787">
        <v>0</v>
      </c>
      <c r="BJ42" s="787">
        <f t="shared" si="2"/>
        <v>1566026.5999999996</v>
      </c>
      <c r="BK42" s="787"/>
      <c r="BL42" s="787"/>
      <c r="BM42" s="787"/>
      <c r="BN42" s="787">
        <v>0</v>
      </c>
      <c r="BO42" s="787">
        <v>0</v>
      </c>
      <c r="BP42" s="787">
        <v>0</v>
      </c>
      <c r="BQ42" s="787">
        <f t="shared" si="3"/>
        <v>0</v>
      </c>
      <c r="BR42" s="787">
        <v>0</v>
      </c>
      <c r="BS42" s="787">
        <v>13960</v>
      </c>
      <c r="BT42" s="787">
        <v>0</v>
      </c>
      <c r="BU42" s="787">
        <v>0</v>
      </c>
      <c r="BV42" s="787">
        <v>0</v>
      </c>
      <c r="BW42" s="787">
        <v>0</v>
      </c>
      <c r="BX42" s="787">
        <v>0</v>
      </c>
      <c r="BY42" s="787">
        <v>0</v>
      </c>
      <c r="BZ42" s="787">
        <f t="shared" si="4"/>
        <v>13960</v>
      </c>
      <c r="CA42" s="787"/>
      <c r="CB42" s="787"/>
      <c r="CC42" s="787"/>
      <c r="CD42" s="787">
        <v>0</v>
      </c>
      <c r="CE42" s="787">
        <v>0</v>
      </c>
      <c r="CF42" s="787">
        <f t="shared" si="5"/>
        <v>0</v>
      </c>
      <c r="CG42" s="787">
        <v>0</v>
      </c>
      <c r="CH42" s="787">
        <v>0</v>
      </c>
      <c r="CI42" s="787">
        <f t="shared" si="6"/>
        <v>0</v>
      </c>
      <c r="CJ42" s="787"/>
      <c r="CK42" s="787"/>
      <c r="CL42" s="787"/>
      <c r="CM42" s="787"/>
      <c r="CN42" s="787"/>
      <c r="CO42" s="787"/>
      <c r="CP42" s="787"/>
      <c r="CQ42" s="787"/>
      <c r="CR42" s="787"/>
      <c r="CS42" s="787"/>
      <c r="CT42" s="787"/>
      <c r="CU42" s="787"/>
      <c r="CV42" s="787"/>
      <c r="CW42" s="787"/>
      <c r="CX42" s="787"/>
      <c r="CY42" s="787"/>
      <c r="CZ42" s="787"/>
      <c r="DA42" s="787"/>
      <c r="DB42" s="787"/>
      <c r="DC42" s="787"/>
      <c r="DD42" s="787"/>
      <c r="DE42" s="787"/>
      <c r="DF42" s="787"/>
      <c r="DG42" s="787"/>
      <c r="DH42" s="787"/>
      <c r="DI42" s="787"/>
      <c r="DJ42" s="787"/>
      <c r="DK42" s="787"/>
      <c r="DL42" s="787"/>
      <c r="DM42" s="787"/>
      <c r="DN42" s="787"/>
      <c r="DO42" s="787"/>
      <c r="DP42" s="787"/>
      <c r="DQ42" s="787"/>
      <c r="DR42" s="787"/>
      <c r="DS42" s="787"/>
      <c r="DT42" s="787"/>
      <c r="DU42" s="787"/>
      <c r="DV42" s="787"/>
      <c r="DW42" s="787"/>
      <c r="DX42" s="787"/>
      <c r="DY42" s="787"/>
      <c r="DZ42" s="787"/>
      <c r="EA42" s="787"/>
    </row>
    <row r="43" spans="1:131" ht="15.6">
      <c r="A43" s="782" t="s">
        <v>1334</v>
      </c>
      <c r="B43" s="782" t="s">
        <v>602</v>
      </c>
      <c r="C43" s="783">
        <v>3319</v>
      </c>
      <c r="D43" s="784" t="s">
        <v>603</v>
      </c>
      <c r="E43" s="785" t="s">
        <v>521</v>
      </c>
      <c r="F43" s="786" t="s">
        <v>1315</v>
      </c>
      <c r="G43" s="785" t="s">
        <v>5</v>
      </c>
      <c r="H43" s="785" t="str">
        <f t="shared" si="0"/>
        <v>AX019</v>
      </c>
      <c r="I43" s="787">
        <v>0</v>
      </c>
      <c r="J43" s="787">
        <v>0</v>
      </c>
      <c r="K43" s="787">
        <v>0</v>
      </c>
      <c r="L43" s="787">
        <v>0</v>
      </c>
      <c r="M43" s="787">
        <v>0</v>
      </c>
      <c r="N43" s="787">
        <v>0</v>
      </c>
      <c r="O43" s="787">
        <v>16754.27</v>
      </c>
      <c r="P43" s="787">
        <v>6140</v>
      </c>
      <c r="Q43" s="787">
        <v>107911.91</v>
      </c>
      <c r="R43" s="787">
        <v>27498.63</v>
      </c>
      <c r="S43" s="787">
        <v>0</v>
      </c>
      <c r="T43" s="787">
        <v>0</v>
      </c>
      <c r="U43" s="787">
        <v>37534.910000000003</v>
      </c>
      <c r="V43" s="787">
        <v>0</v>
      </c>
      <c r="W43" s="787">
        <v>0</v>
      </c>
      <c r="X43" s="787">
        <f t="shared" si="1"/>
        <v>195839.72</v>
      </c>
      <c r="Y43" s="787">
        <v>1436552.3399999999</v>
      </c>
      <c r="Z43" s="787">
        <v>0</v>
      </c>
      <c r="AA43" s="787">
        <v>442306.54</v>
      </c>
      <c r="AB43" s="787">
        <v>40051.350000000006</v>
      </c>
      <c r="AC43" s="787">
        <v>104379.18</v>
      </c>
      <c r="AD43" s="787">
        <v>0</v>
      </c>
      <c r="AE43" s="787">
        <v>104987.34000000001</v>
      </c>
      <c r="AF43" s="787">
        <v>1636.14</v>
      </c>
      <c r="AG43" s="787">
        <v>4480</v>
      </c>
      <c r="AH43" s="787">
        <v>0</v>
      </c>
      <c r="AI43" s="787">
        <v>0</v>
      </c>
      <c r="AJ43" s="787">
        <v>11490.21</v>
      </c>
      <c r="AK43" s="787">
        <v>0</v>
      </c>
      <c r="AL43" s="787">
        <v>32336.39</v>
      </c>
      <c r="AM43" s="787">
        <v>17497.829999999998</v>
      </c>
      <c r="AN43" s="787">
        <v>29570.67</v>
      </c>
      <c r="AO43" s="787">
        <v>0</v>
      </c>
      <c r="AP43" s="787">
        <v>11582.240000000002</v>
      </c>
      <c r="AQ43" s="787">
        <v>48394.39</v>
      </c>
      <c r="AR43" s="787">
        <v>2591.25</v>
      </c>
      <c r="AS43" s="787">
        <v>0</v>
      </c>
      <c r="AT43" s="787">
        <v>0</v>
      </c>
      <c r="AU43" s="787">
        <v>80</v>
      </c>
      <c r="AV43" s="787">
        <v>0</v>
      </c>
      <c r="AW43" s="787">
        <v>13955</v>
      </c>
      <c r="AX43" s="787">
        <v>0</v>
      </c>
      <c r="AY43" s="787">
        <v>0</v>
      </c>
      <c r="AZ43" s="787">
        <v>63672.79</v>
      </c>
      <c r="BA43" s="787">
        <v>7346.010000000002</v>
      </c>
      <c r="BB43" s="787">
        <v>0</v>
      </c>
      <c r="BC43" s="787">
        <v>146475.4</v>
      </c>
      <c r="BD43" s="787">
        <v>58941</v>
      </c>
      <c r="BE43" s="787">
        <v>-800</v>
      </c>
      <c r="BF43" s="787">
        <v>229953.682</v>
      </c>
      <c r="BG43" s="787">
        <v>0</v>
      </c>
      <c r="BH43" s="787">
        <v>0</v>
      </c>
      <c r="BI43" s="787">
        <v>0</v>
      </c>
      <c r="BJ43" s="787">
        <f t="shared" si="2"/>
        <v>2807479.7520000003</v>
      </c>
      <c r="BK43" s="787"/>
      <c r="BL43" s="787"/>
      <c r="BM43" s="787"/>
      <c r="BN43" s="787">
        <v>0</v>
      </c>
      <c r="BO43" s="787">
        <v>0</v>
      </c>
      <c r="BP43" s="787">
        <v>0</v>
      </c>
      <c r="BQ43" s="787">
        <f t="shared" si="3"/>
        <v>0</v>
      </c>
      <c r="BR43" s="787">
        <v>0</v>
      </c>
      <c r="BS43" s="787">
        <v>0</v>
      </c>
      <c r="BT43" s="787">
        <v>0</v>
      </c>
      <c r="BU43" s="787">
        <v>0</v>
      </c>
      <c r="BV43" s="787">
        <v>0</v>
      </c>
      <c r="BW43" s="787">
        <v>0</v>
      </c>
      <c r="BX43" s="787">
        <v>0</v>
      </c>
      <c r="BY43" s="787">
        <v>0</v>
      </c>
      <c r="BZ43" s="787">
        <f t="shared" si="4"/>
        <v>0</v>
      </c>
      <c r="CA43" s="787"/>
      <c r="CB43" s="787"/>
      <c r="CC43" s="787"/>
      <c r="CD43" s="787">
        <v>0</v>
      </c>
      <c r="CE43" s="787">
        <v>0</v>
      </c>
      <c r="CF43" s="787">
        <f t="shared" si="5"/>
        <v>0</v>
      </c>
      <c r="CG43" s="787">
        <v>0</v>
      </c>
      <c r="CH43" s="787">
        <v>0</v>
      </c>
      <c r="CI43" s="787">
        <f t="shared" si="6"/>
        <v>0</v>
      </c>
      <c r="CJ43" s="787"/>
      <c r="CK43" s="787"/>
      <c r="CL43" s="787"/>
      <c r="CM43" s="787"/>
      <c r="CN43" s="787"/>
      <c r="CO43" s="787"/>
      <c r="CP43" s="787"/>
      <c r="CQ43" s="787"/>
      <c r="CR43" s="787"/>
      <c r="CS43" s="787"/>
      <c r="CT43" s="787"/>
      <c r="CU43" s="787"/>
      <c r="CV43" s="787"/>
      <c r="CW43" s="787"/>
      <c r="CX43" s="787"/>
      <c r="CY43" s="787"/>
      <c r="CZ43" s="787"/>
      <c r="DA43" s="787"/>
      <c r="DB43" s="787"/>
      <c r="DC43" s="787"/>
      <c r="DD43" s="787"/>
      <c r="DE43" s="787"/>
      <c r="DF43" s="787"/>
      <c r="DG43" s="787"/>
      <c r="DH43" s="787"/>
      <c r="DI43" s="787"/>
      <c r="DJ43" s="787"/>
      <c r="DK43" s="787"/>
      <c r="DL43" s="787"/>
      <c r="DM43" s="787"/>
      <c r="DN43" s="787"/>
      <c r="DO43" s="787"/>
      <c r="DP43" s="787"/>
      <c r="DQ43" s="787"/>
      <c r="DR43" s="787"/>
      <c r="DS43" s="787"/>
      <c r="DT43" s="787"/>
      <c r="DU43" s="787"/>
      <c r="DV43" s="787"/>
      <c r="DW43" s="787"/>
      <c r="DX43" s="787"/>
      <c r="DY43" s="787"/>
      <c r="DZ43" s="787"/>
      <c r="EA43" s="787"/>
    </row>
    <row r="44" spans="1:131" ht="15.6">
      <c r="A44" s="782" t="s">
        <v>1335</v>
      </c>
      <c r="B44" s="782" t="s">
        <v>604</v>
      </c>
      <c r="C44" s="783">
        <v>1100</v>
      </c>
      <c r="D44" s="784" t="s">
        <v>605</v>
      </c>
      <c r="E44" s="785" t="s">
        <v>521</v>
      </c>
      <c r="F44" s="786">
        <v>0</v>
      </c>
      <c r="G44" s="785" t="s">
        <v>5</v>
      </c>
      <c r="H44" s="785" t="str">
        <f t="shared" si="0"/>
        <v>AX073</v>
      </c>
      <c r="I44" s="787">
        <v>272449.39999999944</v>
      </c>
      <c r="J44" s="787">
        <v>0</v>
      </c>
      <c r="K44" s="787">
        <v>-0.42242223583161831</v>
      </c>
      <c r="L44" s="787">
        <v>0</v>
      </c>
      <c r="M44" s="787">
        <v>44400</v>
      </c>
      <c r="N44" s="787">
        <v>0</v>
      </c>
      <c r="O44" s="787">
        <v>10000</v>
      </c>
      <c r="P44" s="787">
        <v>0</v>
      </c>
      <c r="Q44" s="787">
        <v>656830.85086500121</v>
      </c>
      <c r="R44" s="787">
        <v>0</v>
      </c>
      <c r="S44" s="787">
        <v>0</v>
      </c>
      <c r="T44" s="787">
        <v>0</v>
      </c>
      <c r="U44" s="787">
        <v>0</v>
      </c>
      <c r="V44" s="787">
        <v>0</v>
      </c>
      <c r="W44" s="787">
        <v>0</v>
      </c>
      <c r="X44" s="787">
        <f t="shared" si="1"/>
        <v>983679.82844276482</v>
      </c>
      <c r="Y44" s="787">
        <v>6184144.9699999997</v>
      </c>
      <c r="Z44" s="787">
        <v>0</v>
      </c>
      <c r="AA44" s="787">
        <v>1596609.41</v>
      </c>
      <c r="AB44" s="787">
        <v>425172.01</v>
      </c>
      <c r="AC44" s="787">
        <v>848269.44</v>
      </c>
      <c r="AD44" s="787">
        <v>0</v>
      </c>
      <c r="AE44" s="787">
        <v>348100.25</v>
      </c>
      <c r="AF44" s="787">
        <v>24205.82</v>
      </c>
      <c r="AG44" s="787">
        <v>58792.42</v>
      </c>
      <c r="AH44" s="787">
        <v>0</v>
      </c>
      <c r="AI44" s="787">
        <v>0</v>
      </c>
      <c r="AJ44" s="787">
        <v>953116.43</v>
      </c>
      <c r="AK44" s="787">
        <v>19987.439999999999</v>
      </c>
      <c r="AL44" s="787">
        <v>11901.39</v>
      </c>
      <c r="AM44" s="787">
        <v>15913.4</v>
      </c>
      <c r="AN44" s="787">
        <v>91063.1</v>
      </c>
      <c r="AO44" s="787">
        <v>15064.98</v>
      </c>
      <c r="AP44" s="787">
        <v>338144.82</v>
      </c>
      <c r="AQ44" s="787">
        <v>1783142.34</v>
      </c>
      <c r="AR44" s="787">
        <v>35412.75</v>
      </c>
      <c r="AS44" s="787">
        <v>0</v>
      </c>
      <c r="AT44" s="787">
        <v>99652.5</v>
      </c>
      <c r="AU44" s="787">
        <v>0</v>
      </c>
      <c r="AV44" s="787">
        <v>106183.52</v>
      </c>
      <c r="AW44" s="787">
        <v>0</v>
      </c>
      <c r="AX44" s="787">
        <v>6374.98</v>
      </c>
      <c r="AY44" s="787">
        <v>43177.46</v>
      </c>
      <c r="AZ44" s="787">
        <v>415906.01</v>
      </c>
      <c r="BA44" s="787">
        <v>3900</v>
      </c>
      <c r="BB44" s="787">
        <v>386516.54</v>
      </c>
      <c r="BC44" s="787">
        <v>222956.37</v>
      </c>
      <c r="BD44" s="787">
        <v>675128.18</v>
      </c>
      <c r="BE44" s="787">
        <v>114408</v>
      </c>
      <c r="BF44" s="787">
        <v>1603404.3</v>
      </c>
      <c r="BG44" s="787">
        <v>0</v>
      </c>
      <c r="BH44" s="787">
        <v>0</v>
      </c>
      <c r="BI44" s="787">
        <v>0</v>
      </c>
      <c r="BJ44" s="787">
        <f t="shared" si="2"/>
        <v>16426648.83</v>
      </c>
      <c r="BK44" s="787"/>
      <c r="BL44" s="787"/>
      <c r="BM44" s="787"/>
      <c r="BN44" s="787">
        <v>0</v>
      </c>
      <c r="BO44" s="787">
        <v>0</v>
      </c>
      <c r="BP44" s="787">
        <v>0</v>
      </c>
      <c r="BQ44" s="787">
        <f t="shared" si="3"/>
        <v>0</v>
      </c>
      <c r="BR44" s="787">
        <v>0</v>
      </c>
      <c r="BS44" s="787">
        <v>0</v>
      </c>
      <c r="BT44" s="787">
        <v>71726.67</v>
      </c>
      <c r="BU44" s="787">
        <v>0</v>
      </c>
      <c r="BV44" s="787">
        <v>0</v>
      </c>
      <c r="BW44" s="787">
        <v>0</v>
      </c>
      <c r="BX44" s="787">
        <v>0</v>
      </c>
      <c r="BY44" s="787">
        <v>0</v>
      </c>
      <c r="BZ44" s="787">
        <f t="shared" si="4"/>
        <v>71726.67</v>
      </c>
      <c r="CA44" s="787"/>
      <c r="CB44" s="787"/>
      <c r="CC44" s="787"/>
      <c r="CD44" s="787">
        <v>307669.19</v>
      </c>
      <c r="CE44" s="787">
        <v>0</v>
      </c>
      <c r="CF44" s="787">
        <f t="shared" si="5"/>
        <v>307669.19</v>
      </c>
      <c r="CG44" s="787">
        <v>125009.68000000001</v>
      </c>
      <c r="CH44" s="787">
        <v>0</v>
      </c>
      <c r="CI44" s="787">
        <f t="shared" si="6"/>
        <v>125009.68000000001</v>
      </c>
      <c r="CJ44" s="787"/>
      <c r="CK44" s="787"/>
      <c r="CL44" s="787"/>
      <c r="CM44" s="787"/>
      <c r="CN44" s="787"/>
      <c r="CO44" s="787"/>
      <c r="CP44" s="787"/>
      <c r="CQ44" s="787"/>
      <c r="CR44" s="787"/>
      <c r="CS44" s="787">
        <v>1671288</v>
      </c>
      <c r="CT44" s="787">
        <v>12765</v>
      </c>
      <c r="CU44" s="787">
        <v>0</v>
      </c>
      <c r="CV44" s="787">
        <v>1658523</v>
      </c>
      <c r="CW44" s="787">
        <v>0</v>
      </c>
      <c r="CX44" s="787">
        <v>107313.45</v>
      </c>
      <c r="CY44" s="787">
        <v>81625</v>
      </c>
      <c r="CZ44" s="787">
        <v>72686</v>
      </c>
      <c r="DA44" s="787">
        <v>0</v>
      </c>
      <c r="DB44" s="787">
        <v>1920147.45</v>
      </c>
      <c r="DC44" s="787">
        <v>0</v>
      </c>
      <c r="DD44" s="787">
        <v>0</v>
      </c>
      <c r="DE44" s="787">
        <v>0</v>
      </c>
      <c r="DF44" s="787">
        <v>0</v>
      </c>
      <c r="DG44" s="787"/>
      <c r="DH44" s="787"/>
      <c r="DI44" s="787"/>
      <c r="DJ44" s="787">
        <v>0</v>
      </c>
      <c r="DK44" s="787">
        <v>0</v>
      </c>
      <c r="DL44" s="787">
        <v>1650</v>
      </c>
      <c r="DM44" s="787">
        <v>0</v>
      </c>
      <c r="DN44" s="787">
        <v>0</v>
      </c>
      <c r="DO44" s="787">
        <v>0</v>
      </c>
      <c r="DP44" s="787">
        <v>-1034047.9</v>
      </c>
      <c r="DQ44" s="787">
        <v>0</v>
      </c>
      <c r="DR44" s="787">
        <v>0</v>
      </c>
      <c r="DS44" s="787">
        <v>0</v>
      </c>
      <c r="DT44" s="787">
        <v>-1032397.9</v>
      </c>
      <c r="DU44" s="787">
        <v>0</v>
      </c>
      <c r="DV44" s="787">
        <v>0</v>
      </c>
      <c r="DW44" s="787">
        <v>0</v>
      </c>
      <c r="DX44" s="787">
        <v>0</v>
      </c>
      <c r="DY44" s="787">
        <v>0</v>
      </c>
      <c r="DZ44" s="787">
        <v>-160950</v>
      </c>
      <c r="EA44" s="787">
        <v>-0.43000005278736353</v>
      </c>
    </row>
    <row r="45" spans="1:131" ht="15.6">
      <c r="A45" s="782" t="s">
        <v>1336</v>
      </c>
      <c r="B45" s="782" t="s">
        <v>607</v>
      </c>
      <c r="C45" s="783">
        <v>3432</v>
      </c>
      <c r="D45" s="784" t="s">
        <v>608</v>
      </c>
      <c r="E45" s="785" t="s">
        <v>521</v>
      </c>
      <c r="F45" s="786" t="s">
        <v>1305</v>
      </c>
      <c r="G45" s="785" t="s">
        <v>5</v>
      </c>
      <c r="H45" s="785" t="str">
        <f t="shared" si="0"/>
        <v>AX01B</v>
      </c>
      <c r="I45" s="787">
        <v>0</v>
      </c>
      <c r="J45" s="787">
        <v>0</v>
      </c>
      <c r="K45" s="787">
        <v>0</v>
      </c>
      <c r="L45" s="787">
        <v>0</v>
      </c>
      <c r="M45" s="787">
        <v>4000</v>
      </c>
      <c r="N45" s="787">
        <v>0</v>
      </c>
      <c r="O45" s="787">
        <v>0</v>
      </c>
      <c r="P45" s="787">
        <v>840</v>
      </c>
      <c r="Q45" s="787">
        <v>10444.549999999996</v>
      </c>
      <c r="R45" s="787">
        <v>19091.75</v>
      </c>
      <c r="S45" s="787">
        <v>0</v>
      </c>
      <c r="T45" s="787">
        <v>0</v>
      </c>
      <c r="U45" s="787">
        <v>7365.17</v>
      </c>
      <c r="V45" s="787">
        <v>25600</v>
      </c>
      <c r="W45" s="787">
        <v>0</v>
      </c>
      <c r="X45" s="787">
        <f t="shared" si="1"/>
        <v>67341.47</v>
      </c>
      <c r="Y45" s="787">
        <v>2934593.85</v>
      </c>
      <c r="Z45" s="787">
        <v>0</v>
      </c>
      <c r="AA45" s="787">
        <v>1167174.6000000001</v>
      </c>
      <c r="AB45" s="787">
        <v>86366.95</v>
      </c>
      <c r="AC45" s="787">
        <v>377397.76000000001</v>
      </c>
      <c r="AD45" s="787">
        <v>0</v>
      </c>
      <c r="AE45" s="787">
        <v>195538.36</v>
      </c>
      <c r="AF45" s="787">
        <v>30236</v>
      </c>
      <c r="AG45" s="787">
        <v>12951.92</v>
      </c>
      <c r="AH45" s="787">
        <v>0</v>
      </c>
      <c r="AI45" s="787">
        <v>0</v>
      </c>
      <c r="AJ45" s="787">
        <v>52832.75</v>
      </c>
      <c r="AK45" s="787">
        <v>9890.65</v>
      </c>
      <c r="AL45" s="787">
        <v>85140.299999999988</v>
      </c>
      <c r="AM45" s="787">
        <v>26717.600000000002</v>
      </c>
      <c r="AN45" s="787">
        <v>138161.31</v>
      </c>
      <c r="AO45" s="787">
        <v>0</v>
      </c>
      <c r="AP45" s="787">
        <v>77826.960000000006</v>
      </c>
      <c r="AQ45" s="787">
        <v>173006.53999999998</v>
      </c>
      <c r="AR45" s="787">
        <v>131278.44</v>
      </c>
      <c r="AS45" s="787">
        <v>0</v>
      </c>
      <c r="AT45" s="787">
        <v>0</v>
      </c>
      <c r="AU45" s="787">
        <v>0</v>
      </c>
      <c r="AV45" s="787">
        <v>0</v>
      </c>
      <c r="AW45" s="787">
        <v>0</v>
      </c>
      <c r="AX45" s="787">
        <v>0</v>
      </c>
      <c r="AY45" s="787">
        <v>0</v>
      </c>
      <c r="AZ45" s="787">
        <v>69113.100000000006</v>
      </c>
      <c r="BA45" s="787">
        <v>0</v>
      </c>
      <c r="BB45" s="787">
        <v>17370</v>
      </c>
      <c r="BC45" s="787">
        <v>318447.14</v>
      </c>
      <c r="BD45" s="787">
        <v>424437.73</v>
      </c>
      <c r="BE45" s="787">
        <v>17037.140000000003</v>
      </c>
      <c r="BF45" s="787">
        <v>65315.509999999995</v>
      </c>
      <c r="BG45" s="787">
        <v>565620</v>
      </c>
      <c r="BH45" s="787">
        <v>0</v>
      </c>
      <c r="BI45" s="787">
        <v>0</v>
      </c>
      <c r="BJ45" s="787">
        <f t="shared" si="2"/>
        <v>6976454.6099999985</v>
      </c>
      <c r="BK45" s="787"/>
      <c r="BL45" s="787"/>
      <c r="BM45" s="787"/>
      <c r="BN45" s="787">
        <v>0</v>
      </c>
      <c r="BO45" s="787">
        <v>0</v>
      </c>
      <c r="BP45" s="787">
        <v>0</v>
      </c>
      <c r="BQ45" s="787">
        <f t="shared" si="3"/>
        <v>0</v>
      </c>
      <c r="BR45" s="787">
        <v>0</v>
      </c>
      <c r="BS45" s="787">
        <v>0</v>
      </c>
      <c r="BT45" s="787">
        <v>0</v>
      </c>
      <c r="BU45" s="787">
        <v>0</v>
      </c>
      <c r="BV45" s="787">
        <v>0</v>
      </c>
      <c r="BW45" s="787">
        <v>0</v>
      </c>
      <c r="BX45" s="787">
        <v>0</v>
      </c>
      <c r="BY45" s="787">
        <v>0</v>
      </c>
      <c r="BZ45" s="787">
        <f t="shared" si="4"/>
        <v>0</v>
      </c>
      <c r="CA45" s="787"/>
      <c r="CB45" s="787"/>
      <c r="CC45" s="787"/>
      <c r="CD45" s="787">
        <v>0</v>
      </c>
      <c r="CE45" s="787">
        <v>0</v>
      </c>
      <c r="CF45" s="787">
        <f t="shared" si="5"/>
        <v>0</v>
      </c>
      <c r="CG45" s="787">
        <v>0</v>
      </c>
      <c r="CH45" s="787">
        <v>0</v>
      </c>
      <c r="CI45" s="787">
        <f t="shared" si="6"/>
        <v>0</v>
      </c>
      <c r="CJ45" s="787"/>
      <c r="CK45" s="787"/>
      <c r="CL45" s="787"/>
      <c r="CM45" s="787"/>
      <c r="CN45" s="787"/>
      <c r="CO45" s="787"/>
      <c r="CP45" s="787"/>
      <c r="CQ45" s="787"/>
      <c r="CR45" s="787"/>
      <c r="CS45" s="787">
        <v>1466206.43</v>
      </c>
      <c r="CT45" s="787">
        <v>4244.16</v>
      </c>
      <c r="CU45" s="787">
        <v>2775.99</v>
      </c>
      <c r="CV45" s="787">
        <v>1464738.26</v>
      </c>
      <c r="CW45" s="787">
        <v>0</v>
      </c>
      <c r="CX45" s="787">
        <v>22507.88</v>
      </c>
      <c r="CY45" s="787">
        <v>7845.78</v>
      </c>
      <c r="CZ45" s="787">
        <v>27222.22</v>
      </c>
      <c r="DA45" s="787">
        <v>0</v>
      </c>
      <c r="DB45" s="787">
        <v>1522314.14</v>
      </c>
      <c r="DC45" s="787">
        <v>0</v>
      </c>
      <c r="DD45" s="787">
        <v>0</v>
      </c>
      <c r="DE45" s="787">
        <v>0</v>
      </c>
      <c r="DF45" s="787">
        <v>0</v>
      </c>
      <c r="DG45" s="787"/>
      <c r="DH45" s="787"/>
      <c r="DI45" s="787"/>
      <c r="DJ45" s="787">
        <v>0</v>
      </c>
      <c r="DK45" s="787">
        <v>0</v>
      </c>
      <c r="DL45" s="787">
        <v>0</v>
      </c>
      <c r="DM45" s="787">
        <v>0</v>
      </c>
      <c r="DN45" s="787">
        <v>0</v>
      </c>
      <c r="DO45" s="787">
        <v>0</v>
      </c>
      <c r="DP45" s="787">
        <v>-470443.56</v>
      </c>
      <c r="DQ45" s="787">
        <v>-88020.75</v>
      </c>
      <c r="DR45" s="787">
        <v>0</v>
      </c>
      <c r="DS45" s="787">
        <v>0</v>
      </c>
      <c r="DT45" s="787">
        <v>-558464.31000000006</v>
      </c>
      <c r="DU45" s="787">
        <v>0</v>
      </c>
      <c r="DV45" s="787">
        <v>923.7</v>
      </c>
      <c r="DW45" s="787">
        <v>0</v>
      </c>
      <c r="DX45" s="787">
        <v>0</v>
      </c>
      <c r="DY45" s="787">
        <v>0</v>
      </c>
      <c r="DZ45" s="787">
        <v>-85355.66</v>
      </c>
      <c r="EA45" s="787">
        <v>7.6149420230649412E-2</v>
      </c>
    </row>
    <row r="46" spans="1:131" ht="15.6">
      <c r="A46" s="782" t="s">
        <v>1337</v>
      </c>
      <c r="B46" s="782" t="s">
        <v>609</v>
      </c>
      <c r="C46" s="783">
        <v>2289</v>
      </c>
      <c r="D46" s="784" t="s">
        <v>610</v>
      </c>
      <c r="E46" s="785" t="s">
        <v>521</v>
      </c>
      <c r="F46" s="786">
        <v>46094</v>
      </c>
      <c r="G46" s="785" t="s">
        <v>5</v>
      </c>
      <c r="H46" s="785" t="str">
        <f t="shared" si="0"/>
        <v>AX01D</v>
      </c>
      <c r="I46" s="787">
        <v>6.0000000055879354E-2</v>
      </c>
      <c r="J46" s="787">
        <v>0</v>
      </c>
      <c r="K46" s="787">
        <v>0</v>
      </c>
      <c r="L46" s="787">
        <v>0</v>
      </c>
      <c r="M46" s="787">
        <v>0</v>
      </c>
      <c r="N46" s="787">
        <v>0</v>
      </c>
      <c r="O46" s="787">
        <v>2287.0500000000002</v>
      </c>
      <c r="P46" s="787">
        <v>10668.99</v>
      </c>
      <c r="Q46" s="787">
        <v>21449.590000000004</v>
      </c>
      <c r="R46" s="787">
        <v>0</v>
      </c>
      <c r="S46" s="787">
        <v>0.21000000135973096</v>
      </c>
      <c r="T46" s="787">
        <v>0</v>
      </c>
      <c r="U46" s="787">
        <v>122531.28</v>
      </c>
      <c r="V46" s="787">
        <v>2146.5300000000002</v>
      </c>
      <c r="W46" s="787">
        <v>0</v>
      </c>
      <c r="X46" s="787">
        <f t="shared" si="1"/>
        <v>159083.71000000142</v>
      </c>
      <c r="Y46" s="787">
        <v>1352955.79</v>
      </c>
      <c r="Z46" s="787">
        <v>0</v>
      </c>
      <c r="AA46" s="787">
        <v>332537.69</v>
      </c>
      <c r="AB46" s="787">
        <v>80101.509999999995</v>
      </c>
      <c r="AC46" s="787">
        <v>83113.55</v>
      </c>
      <c r="AD46" s="787">
        <v>0</v>
      </c>
      <c r="AE46" s="787">
        <v>135916.38</v>
      </c>
      <c r="AF46" s="787">
        <v>650.9</v>
      </c>
      <c r="AG46" s="787">
        <v>4070.62</v>
      </c>
      <c r="AH46" s="787">
        <v>0</v>
      </c>
      <c r="AI46" s="787">
        <v>0</v>
      </c>
      <c r="AJ46" s="787">
        <v>14703.93</v>
      </c>
      <c r="AK46" s="787">
        <v>5555.25</v>
      </c>
      <c r="AL46" s="787">
        <v>659.15</v>
      </c>
      <c r="AM46" s="787">
        <v>20278.84</v>
      </c>
      <c r="AN46" s="787">
        <v>44021.68</v>
      </c>
      <c r="AO46" s="787">
        <v>-4.0000000000873115E-2</v>
      </c>
      <c r="AP46" s="787">
        <v>11815.14</v>
      </c>
      <c r="AQ46" s="787">
        <v>89754.12999999999</v>
      </c>
      <c r="AR46" s="787">
        <v>0</v>
      </c>
      <c r="AS46" s="787">
        <v>0</v>
      </c>
      <c r="AT46" s="787">
        <v>8533.8799999999992</v>
      </c>
      <c r="AU46" s="787">
        <v>18236.62</v>
      </c>
      <c r="AV46" s="787">
        <v>0</v>
      </c>
      <c r="AW46" s="787">
        <v>0</v>
      </c>
      <c r="AX46" s="787">
        <v>0</v>
      </c>
      <c r="AY46" s="787">
        <v>0</v>
      </c>
      <c r="AZ46" s="787">
        <v>12107.470000000001</v>
      </c>
      <c r="BA46" s="787">
        <v>0</v>
      </c>
      <c r="BB46" s="787">
        <v>0</v>
      </c>
      <c r="BC46" s="787">
        <v>138584.78</v>
      </c>
      <c r="BD46" s="787">
        <v>281364.91000000003</v>
      </c>
      <c r="BE46" s="787">
        <v>35010.03</v>
      </c>
      <c r="BF46" s="787">
        <v>266835.42000000004</v>
      </c>
      <c r="BG46" s="787">
        <v>0</v>
      </c>
      <c r="BH46" s="787">
        <v>-0.2999999993480742</v>
      </c>
      <c r="BI46" s="787">
        <v>0</v>
      </c>
      <c r="BJ46" s="787">
        <f t="shared" si="2"/>
        <v>2936807.33</v>
      </c>
      <c r="BK46" s="787"/>
      <c r="BL46" s="787"/>
      <c r="BM46" s="787"/>
      <c r="BN46" s="787">
        <v>0</v>
      </c>
      <c r="BO46" s="787">
        <v>0</v>
      </c>
      <c r="BP46" s="787">
        <v>0</v>
      </c>
      <c r="BQ46" s="787">
        <f t="shared" si="3"/>
        <v>0</v>
      </c>
      <c r="BR46" s="787">
        <v>0</v>
      </c>
      <c r="BS46" s="787">
        <v>0</v>
      </c>
      <c r="BT46" s="787">
        <v>0</v>
      </c>
      <c r="BU46" s="787">
        <v>0</v>
      </c>
      <c r="BV46" s="787">
        <v>0</v>
      </c>
      <c r="BW46" s="787">
        <v>0</v>
      </c>
      <c r="BX46" s="787">
        <v>10081.82</v>
      </c>
      <c r="BY46" s="787">
        <v>198</v>
      </c>
      <c r="BZ46" s="787">
        <f t="shared" si="4"/>
        <v>10279.82</v>
      </c>
      <c r="CA46" s="787"/>
      <c r="CB46" s="787"/>
      <c r="CC46" s="787"/>
      <c r="CD46" s="787">
        <v>0</v>
      </c>
      <c r="CE46" s="787">
        <v>0</v>
      </c>
      <c r="CF46" s="787">
        <f t="shared" si="5"/>
        <v>0</v>
      </c>
      <c r="CG46" s="787">
        <v>0</v>
      </c>
      <c r="CH46" s="787">
        <v>0</v>
      </c>
      <c r="CI46" s="787">
        <f t="shared" si="6"/>
        <v>0</v>
      </c>
      <c r="CJ46" s="787"/>
      <c r="CK46" s="787"/>
      <c r="CL46" s="787"/>
      <c r="CM46" s="787"/>
      <c r="CN46" s="787"/>
      <c r="CO46" s="787"/>
      <c r="CP46" s="787"/>
      <c r="CQ46" s="787"/>
      <c r="CR46" s="787"/>
      <c r="CS46" s="787">
        <v>192708.77</v>
      </c>
      <c r="CT46" s="787">
        <v>0</v>
      </c>
      <c r="CU46" s="787">
        <v>0</v>
      </c>
      <c r="CV46" s="787">
        <v>192708.77</v>
      </c>
      <c r="CW46" s="787">
        <v>0</v>
      </c>
      <c r="CX46" s="787">
        <v>8903.08</v>
      </c>
      <c r="CY46" s="787">
        <v>2843.95</v>
      </c>
      <c r="CZ46" s="787">
        <v>0</v>
      </c>
      <c r="DA46" s="787">
        <v>-4028</v>
      </c>
      <c r="DB46" s="787">
        <v>200427.8</v>
      </c>
      <c r="DC46" s="787">
        <v>0</v>
      </c>
      <c r="DD46" s="787">
        <v>0</v>
      </c>
      <c r="DE46" s="787">
        <v>0</v>
      </c>
      <c r="DF46" s="787">
        <v>0</v>
      </c>
      <c r="DG46" s="787"/>
      <c r="DH46" s="787"/>
      <c r="DI46" s="787"/>
      <c r="DJ46" s="787">
        <v>0</v>
      </c>
      <c r="DK46" s="787">
        <v>0</v>
      </c>
      <c r="DL46" s="787">
        <v>5945.36</v>
      </c>
      <c r="DM46" s="787">
        <v>0</v>
      </c>
      <c r="DN46" s="787">
        <v>0</v>
      </c>
      <c r="DO46" s="787">
        <v>0</v>
      </c>
      <c r="DP46" s="787">
        <v>-230688.09</v>
      </c>
      <c r="DQ46" s="787">
        <v>0</v>
      </c>
      <c r="DR46" s="787">
        <v>0</v>
      </c>
      <c r="DS46" s="787">
        <v>0</v>
      </c>
      <c r="DT46" s="787">
        <v>-224742.73</v>
      </c>
      <c r="DU46" s="787">
        <v>0</v>
      </c>
      <c r="DV46" s="787">
        <v>0</v>
      </c>
      <c r="DW46" s="787">
        <v>0</v>
      </c>
      <c r="DX46" s="787">
        <v>0</v>
      </c>
      <c r="DY46" s="787">
        <v>0</v>
      </c>
      <c r="DZ46" s="787">
        <v>-33455.96</v>
      </c>
      <c r="EA46" s="787">
        <v>0.3675979435138288</v>
      </c>
    </row>
    <row r="47" spans="1:131" ht="15.6">
      <c r="A47" s="782" t="s">
        <v>1338</v>
      </c>
      <c r="B47" s="782" t="s">
        <v>611</v>
      </c>
      <c r="C47" s="783">
        <v>2185</v>
      </c>
      <c r="D47" s="784" t="s">
        <v>612</v>
      </c>
      <c r="E47" s="785" t="s">
        <v>521</v>
      </c>
      <c r="F47" s="786">
        <v>46094</v>
      </c>
      <c r="G47" s="785" t="s">
        <v>5</v>
      </c>
      <c r="H47" s="785" t="str">
        <f t="shared" si="0"/>
        <v>AX01E</v>
      </c>
      <c r="I47" s="787">
        <v>3.2059122808277607E-2</v>
      </c>
      <c r="J47" s="787">
        <v>0</v>
      </c>
      <c r="K47" s="787">
        <v>730.00666666668258</v>
      </c>
      <c r="L47" s="787">
        <v>0</v>
      </c>
      <c r="M47" s="787">
        <v>0</v>
      </c>
      <c r="N47" s="787">
        <v>0</v>
      </c>
      <c r="O47" s="787">
        <v>0</v>
      </c>
      <c r="P47" s="787">
        <v>22406.799999999999</v>
      </c>
      <c r="Q47" s="787">
        <v>68425.367280000035</v>
      </c>
      <c r="R47" s="787">
        <v>9455.5400000000009</v>
      </c>
      <c r="S47" s="787">
        <v>0</v>
      </c>
      <c r="T47" s="787">
        <v>0</v>
      </c>
      <c r="U47" s="787">
        <v>17517.2</v>
      </c>
      <c r="V47" s="787">
        <v>242474.26</v>
      </c>
      <c r="W47" s="787">
        <v>0</v>
      </c>
      <c r="X47" s="787">
        <f t="shared" si="1"/>
        <v>361009.20600578951</v>
      </c>
      <c r="Y47" s="787">
        <v>1292190.6400000001</v>
      </c>
      <c r="Z47" s="787">
        <v>0</v>
      </c>
      <c r="AA47" s="787">
        <v>489399.08</v>
      </c>
      <c r="AB47" s="787">
        <v>58664.71</v>
      </c>
      <c r="AC47" s="787">
        <v>135553.62</v>
      </c>
      <c r="AD47" s="787">
        <v>0</v>
      </c>
      <c r="AE47" s="787">
        <v>132959.54999999999</v>
      </c>
      <c r="AF47" s="787">
        <v>8580.73</v>
      </c>
      <c r="AG47" s="787">
        <v>1764</v>
      </c>
      <c r="AH47" s="787">
        <v>0</v>
      </c>
      <c r="AI47" s="787">
        <v>0</v>
      </c>
      <c r="AJ47" s="787">
        <v>16756.939999999999</v>
      </c>
      <c r="AK47" s="787">
        <v>0</v>
      </c>
      <c r="AL47" s="787">
        <v>158975.79999999999</v>
      </c>
      <c r="AM47" s="787">
        <v>13889.720000000001</v>
      </c>
      <c r="AN47" s="787">
        <v>90673.23000000001</v>
      </c>
      <c r="AO47" s="787">
        <v>9.9999999947613105E-3</v>
      </c>
      <c r="AP47" s="787">
        <v>88260.67</v>
      </c>
      <c r="AQ47" s="787">
        <v>136161.54</v>
      </c>
      <c r="AR47" s="787">
        <v>0</v>
      </c>
      <c r="AS47" s="787">
        <v>0</v>
      </c>
      <c r="AT47" s="787">
        <v>-0.13000000000010914</v>
      </c>
      <c r="AU47" s="787">
        <v>0</v>
      </c>
      <c r="AV47" s="787">
        <v>0</v>
      </c>
      <c r="AW47" s="787">
        <v>0</v>
      </c>
      <c r="AX47" s="787">
        <v>0</v>
      </c>
      <c r="AY47" s="787">
        <v>0</v>
      </c>
      <c r="AZ47" s="787">
        <v>59353.32</v>
      </c>
      <c r="BA47" s="787">
        <v>1300</v>
      </c>
      <c r="BB47" s="787">
        <v>4865</v>
      </c>
      <c r="BC47" s="787">
        <v>236277.48</v>
      </c>
      <c r="BD47" s="787">
        <v>186928.15</v>
      </c>
      <c r="BE47" s="787">
        <v>16080.899999999994</v>
      </c>
      <c r="BF47" s="787">
        <v>172779.98</v>
      </c>
      <c r="BG47" s="787">
        <v>0</v>
      </c>
      <c r="BH47" s="787">
        <v>0</v>
      </c>
      <c r="BI47" s="787">
        <v>0</v>
      </c>
      <c r="BJ47" s="787">
        <f t="shared" si="2"/>
        <v>3301414.9399999995</v>
      </c>
      <c r="BK47" s="787"/>
      <c r="BL47" s="787"/>
      <c r="BM47" s="787"/>
      <c r="BN47" s="787">
        <v>0</v>
      </c>
      <c r="BO47" s="787">
        <v>0</v>
      </c>
      <c r="BP47" s="787">
        <v>0</v>
      </c>
      <c r="BQ47" s="787">
        <f t="shared" si="3"/>
        <v>0</v>
      </c>
      <c r="BR47" s="787">
        <v>0</v>
      </c>
      <c r="BS47" s="787">
        <v>0</v>
      </c>
      <c r="BT47" s="787">
        <v>0</v>
      </c>
      <c r="BU47" s="787">
        <v>0</v>
      </c>
      <c r="BV47" s="787">
        <v>0</v>
      </c>
      <c r="BW47" s="787">
        <v>0</v>
      </c>
      <c r="BX47" s="787">
        <v>0</v>
      </c>
      <c r="BY47" s="787">
        <v>0</v>
      </c>
      <c r="BZ47" s="787">
        <f t="shared" si="4"/>
        <v>0</v>
      </c>
      <c r="CA47" s="787"/>
      <c r="CB47" s="787"/>
      <c r="CC47" s="787"/>
      <c r="CD47" s="787">
        <v>0</v>
      </c>
      <c r="CE47" s="787">
        <v>0</v>
      </c>
      <c r="CF47" s="787">
        <f t="shared" si="5"/>
        <v>0</v>
      </c>
      <c r="CG47" s="787">
        <v>0</v>
      </c>
      <c r="CH47" s="787">
        <v>0</v>
      </c>
      <c r="CI47" s="787">
        <f t="shared" si="6"/>
        <v>0</v>
      </c>
      <c r="CJ47" s="787"/>
      <c r="CK47" s="787"/>
      <c r="CL47" s="787"/>
      <c r="CM47" s="787"/>
      <c r="CN47" s="787"/>
      <c r="CO47" s="787"/>
      <c r="CP47" s="787"/>
      <c r="CQ47" s="787"/>
      <c r="CR47" s="787"/>
      <c r="CS47" s="787"/>
      <c r="CT47" s="787"/>
      <c r="CU47" s="787"/>
      <c r="CV47" s="787"/>
      <c r="CW47" s="787"/>
      <c r="CX47" s="787"/>
      <c r="CY47" s="787"/>
      <c r="CZ47" s="787"/>
      <c r="DA47" s="787"/>
      <c r="DB47" s="787"/>
      <c r="DC47" s="787"/>
      <c r="DD47" s="787"/>
      <c r="DE47" s="787"/>
      <c r="DF47" s="787"/>
      <c r="DG47" s="787"/>
      <c r="DH47" s="787"/>
      <c r="DI47" s="787"/>
      <c r="DJ47" s="787"/>
      <c r="DK47" s="787"/>
      <c r="DL47" s="787"/>
      <c r="DM47" s="787"/>
      <c r="DN47" s="787"/>
      <c r="DO47" s="787"/>
      <c r="DP47" s="787"/>
      <c r="DQ47" s="787"/>
      <c r="DR47" s="787"/>
      <c r="DS47" s="787"/>
      <c r="DT47" s="787"/>
      <c r="DU47" s="787"/>
      <c r="DV47" s="787"/>
      <c r="DW47" s="787"/>
      <c r="DX47" s="787"/>
      <c r="DY47" s="787"/>
      <c r="DZ47" s="787"/>
      <c r="EA47" s="787"/>
    </row>
    <row r="48" spans="1:131" ht="15.6">
      <c r="A48" s="782" t="s">
        <v>1339</v>
      </c>
      <c r="B48" s="782" t="s">
        <v>613</v>
      </c>
      <c r="C48" s="783">
        <v>5416</v>
      </c>
      <c r="D48" s="784" t="s">
        <v>614</v>
      </c>
      <c r="E48" s="785" t="s">
        <v>521</v>
      </c>
      <c r="F48" s="786">
        <v>46094</v>
      </c>
      <c r="G48" s="785" t="s">
        <v>5</v>
      </c>
      <c r="H48" s="785" t="str">
        <f t="shared" si="0"/>
        <v>AX091</v>
      </c>
      <c r="I48" s="787">
        <v>0</v>
      </c>
      <c r="J48" s="787">
        <v>0</v>
      </c>
      <c r="K48" s="787">
        <v>0</v>
      </c>
      <c r="L48" s="787">
        <v>0</v>
      </c>
      <c r="M48" s="787">
        <v>14500</v>
      </c>
      <c r="N48" s="787">
        <v>0</v>
      </c>
      <c r="O48" s="787">
        <v>47760</v>
      </c>
      <c r="P48" s="787">
        <v>36227.94</v>
      </c>
      <c r="Q48" s="787">
        <v>24702.16</v>
      </c>
      <c r="R48" s="787">
        <v>0</v>
      </c>
      <c r="S48" s="787">
        <v>27912</v>
      </c>
      <c r="T48" s="787">
        <v>42483.83</v>
      </c>
      <c r="U48" s="787">
        <v>0</v>
      </c>
      <c r="V48" s="787">
        <v>0</v>
      </c>
      <c r="W48" s="787">
        <v>0</v>
      </c>
      <c r="X48" s="787">
        <f t="shared" si="1"/>
        <v>193585.93</v>
      </c>
      <c r="Y48" s="787">
        <v>6138538.4800000004</v>
      </c>
      <c r="Z48" s="787">
        <v>0</v>
      </c>
      <c r="AA48" s="787">
        <v>1446375.31</v>
      </c>
      <c r="AB48" s="787">
        <v>322310.93</v>
      </c>
      <c r="AC48" s="787">
        <v>836426.54</v>
      </c>
      <c r="AD48" s="787">
        <v>0</v>
      </c>
      <c r="AE48" s="787">
        <v>0</v>
      </c>
      <c r="AF48" s="787">
        <v>51006.07</v>
      </c>
      <c r="AG48" s="787">
        <v>9942.94</v>
      </c>
      <c r="AH48" s="787">
        <v>0</v>
      </c>
      <c r="AI48" s="787">
        <v>65728.210000000006</v>
      </c>
      <c r="AJ48" s="787">
        <v>106896.77</v>
      </c>
      <c r="AK48" s="787">
        <v>7252.41</v>
      </c>
      <c r="AL48" s="787">
        <v>160486.46</v>
      </c>
      <c r="AM48" s="787">
        <v>36050.25</v>
      </c>
      <c r="AN48" s="787">
        <v>175413.59000000003</v>
      </c>
      <c r="AO48" s="787">
        <v>-4.0000000000873115E-2</v>
      </c>
      <c r="AP48" s="787">
        <v>50663.61</v>
      </c>
      <c r="AQ48" s="787">
        <v>168511.97</v>
      </c>
      <c r="AR48" s="787">
        <v>54070.16</v>
      </c>
      <c r="AS48" s="787">
        <v>0</v>
      </c>
      <c r="AT48" s="787">
        <v>61144.57</v>
      </c>
      <c r="AU48" s="787">
        <v>159960.46</v>
      </c>
      <c r="AV48" s="787">
        <v>0</v>
      </c>
      <c r="AW48" s="787">
        <v>0</v>
      </c>
      <c r="AX48" s="787">
        <v>68702</v>
      </c>
      <c r="AY48" s="787">
        <v>123292.14</v>
      </c>
      <c r="AZ48" s="787">
        <v>92273.3</v>
      </c>
      <c r="BA48" s="787">
        <v>4339.739999999998</v>
      </c>
      <c r="BB48" s="787">
        <v>0</v>
      </c>
      <c r="BC48" s="787">
        <v>130930.28</v>
      </c>
      <c r="BD48" s="787">
        <v>159960.52000000002</v>
      </c>
      <c r="BE48" s="787">
        <v>-8.000000000174623E-2</v>
      </c>
      <c r="BF48" s="787">
        <v>152433.5</v>
      </c>
      <c r="BG48" s="787">
        <v>0</v>
      </c>
      <c r="BH48" s="787">
        <v>0</v>
      </c>
      <c r="BI48" s="787">
        <v>119008.15</v>
      </c>
      <c r="BJ48" s="787">
        <f t="shared" si="2"/>
        <v>10701718.240000006</v>
      </c>
      <c r="BK48" s="787"/>
      <c r="BL48" s="787"/>
      <c r="BM48" s="787"/>
      <c r="BN48" s="787">
        <v>0</v>
      </c>
      <c r="BO48" s="787">
        <v>0</v>
      </c>
      <c r="BP48" s="787">
        <v>119008.15</v>
      </c>
      <c r="BQ48" s="787">
        <f t="shared" si="3"/>
        <v>119008.15</v>
      </c>
      <c r="BR48" s="787">
        <v>0</v>
      </c>
      <c r="BS48" s="787">
        <v>0</v>
      </c>
      <c r="BT48" s="787">
        <v>16290.48</v>
      </c>
      <c r="BU48" s="787">
        <v>0</v>
      </c>
      <c r="BV48" s="787">
        <v>0</v>
      </c>
      <c r="BW48" s="787">
        <v>0</v>
      </c>
      <c r="BX48" s="787">
        <v>78483.83</v>
      </c>
      <c r="BY48" s="787">
        <v>24233.84</v>
      </c>
      <c r="BZ48" s="787">
        <f t="shared" si="4"/>
        <v>119008.15</v>
      </c>
      <c r="CA48" s="787"/>
      <c r="CB48" s="787"/>
      <c r="CC48" s="787"/>
      <c r="CD48" s="787">
        <v>0</v>
      </c>
      <c r="CE48" s="787">
        <v>0</v>
      </c>
      <c r="CF48" s="787">
        <f t="shared" si="5"/>
        <v>0</v>
      </c>
      <c r="CG48" s="787">
        <v>0</v>
      </c>
      <c r="CH48" s="787">
        <v>0</v>
      </c>
      <c r="CI48" s="787">
        <f t="shared" si="6"/>
        <v>0</v>
      </c>
      <c r="CJ48" s="787"/>
      <c r="CK48" s="787"/>
      <c r="CL48" s="787"/>
      <c r="CM48" s="787"/>
      <c r="CN48" s="787"/>
      <c r="CO48" s="787"/>
      <c r="CP48" s="787"/>
      <c r="CQ48" s="787"/>
      <c r="CR48" s="787"/>
      <c r="CS48" s="787"/>
      <c r="CT48" s="787"/>
      <c r="CU48" s="787"/>
      <c r="CV48" s="787"/>
      <c r="CW48" s="787"/>
      <c r="CX48" s="787"/>
      <c r="CY48" s="787"/>
      <c r="CZ48" s="787"/>
      <c r="DA48" s="787"/>
      <c r="DB48" s="787"/>
      <c r="DC48" s="787"/>
      <c r="DD48" s="787"/>
      <c r="DE48" s="787"/>
      <c r="DF48" s="787"/>
      <c r="DG48" s="787"/>
      <c r="DH48" s="787"/>
      <c r="DI48" s="787"/>
      <c r="DJ48" s="787"/>
      <c r="DK48" s="787"/>
      <c r="DL48" s="787"/>
      <c r="DM48" s="787"/>
      <c r="DN48" s="787"/>
      <c r="DO48" s="787"/>
      <c r="DP48" s="787"/>
      <c r="DQ48" s="787"/>
      <c r="DR48" s="787"/>
      <c r="DS48" s="787"/>
      <c r="DT48" s="787"/>
      <c r="DU48" s="787"/>
      <c r="DV48" s="787"/>
      <c r="DW48" s="787"/>
      <c r="DX48" s="787"/>
      <c r="DY48" s="787"/>
      <c r="DZ48" s="787"/>
      <c r="EA48" s="787"/>
    </row>
    <row r="49" spans="1:131" ht="15.6">
      <c r="A49" s="782" t="s">
        <v>1340</v>
      </c>
      <c r="B49" s="782" t="s">
        <v>615</v>
      </c>
      <c r="C49" s="783">
        <v>2054</v>
      </c>
      <c r="D49" s="784" t="s">
        <v>616</v>
      </c>
      <c r="E49" s="785" t="s">
        <v>521</v>
      </c>
      <c r="F49" s="786">
        <v>46098</v>
      </c>
      <c r="G49" s="785" t="s">
        <v>5</v>
      </c>
      <c r="H49" s="785" t="str">
        <f t="shared" si="0"/>
        <v>AX092</v>
      </c>
      <c r="I49" s="787">
        <v>0</v>
      </c>
      <c r="J49" s="787">
        <v>0</v>
      </c>
      <c r="K49" s="787">
        <v>0</v>
      </c>
      <c r="L49" s="787">
        <v>0</v>
      </c>
      <c r="M49" s="787">
        <v>2800</v>
      </c>
      <c r="N49" s="787">
        <v>0</v>
      </c>
      <c r="O49" s="787">
        <v>0</v>
      </c>
      <c r="P49" s="787">
        <v>0</v>
      </c>
      <c r="Q49" s="787">
        <v>0</v>
      </c>
      <c r="R49" s="787">
        <v>183498.77</v>
      </c>
      <c r="S49" s="787">
        <v>0</v>
      </c>
      <c r="T49" s="787">
        <v>0</v>
      </c>
      <c r="U49" s="787">
        <v>27622</v>
      </c>
      <c r="V49" s="787">
        <v>6005.8600000000006</v>
      </c>
      <c r="W49" s="787">
        <v>0</v>
      </c>
      <c r="X49" s="787">
        <f t="shared" si="1"/>
        <v>219926.63</v>
      </c>
      <c r="Y49" s="787">
        <v>1190992.8099999998</v>
      </c>
      <c r="Z49" s="787">
        <v>0</v>
      </c>
      <c r="AA49" s="787">
        <v>386017.94</v>
      </c>
      <c r="AB49" s="787">
        <v>70588.789999999994</v>
      </c>
      <c r="AC49" s="787">
        <v>110199.97</v>
      </c>
      <c r="AD49" s="787">
        <v>180471.63</v>
      </c>
      <c r="AE49" s="787">
        <v>79992.209999999992</v>
      </c>
      <c r="AF49" s="787">
        <v>8297.2900000000009</v>
      </c>
      <c r="AG49" s="787">
        <v>6430.55</v>
      </c>
      <c r="AH49" s="787">
        <v>0</v>
      </c>
      <c r="AI49" s="787">
        <v>0</v>
      </c>
      <c r="AJ49" s="787">
        <v>21707.23</v>
      </c>
      <c r="AK49" s="787">
        <v>0</v>
      </c>
      <c r="AL49" s="787">
        <v>1928.39</v>
      </c>
      <c r="AM49" s="787">
        <v>11078.33</v>
      </c>
      <c r="AN49" s="787">
        <v>36330.5</v>
      </c>
      <c r="AO49" s="787">
        <v>0</v>
      </c>
      <c r="AP49" s="787">
        <v>3303.26</v>
      </c>
      <c r="AQ49" s="787">
        <v>27608.2</v>
      </c>
      <c r="AR49" s="787">
        <v>2825</v>
      </c>
      <c r="AS49" s="787">
        <v>0</v>
      </c>
      <c r="AT49" s="787">
        <v>1846.73</v>
      </c>
      <c r="AU49" s="787">
        <v>19941.93</v>
      </c>
      <c r="AV49" s="787">
        <v>0</v>
      </c>
      <c r="AW49" s="787">
        <v>1733.95</v>
      </c>
      <c r="AX49" s="787">
        <v>0</v>
      </c>
      <c r="AY49" s="787">
        <v>0</v>
      </c>
      <c r="AZ49" s="787">
        <v>14069.5</v>
      </c>
      <c r="BA49" s="787">
        <v>0</v>
      </c>
      <c r="BB49" s="787">
        <v>0</v>
      </c>
      <c r="BC49" s="787">
        <v>169533.79</v>
      </c>
      <c r="BD49" s="787">
        <v>183659.57</v>
      </c>
      <c r="BE49" s="787">
        <v>320332.23</v>
      </c>
      <c r="BF49" s="787">
        <v>32795.18</v>
      </c>
      <c r="BG49" s="787">
        <v>0</v>
      </c>
      <c r="BH49" s="787">
        <v>0</v>
      </c>
      <c r="BI49" s="787">
        <v>0</v>
      </c>
      <c r="BJ49" s="787">
        <f t="shared" si="2"/>
        <v>2881684.98</v>
      </c>
      <c r="BK49" s="787"/>
      <c r="BL49" s="787"/>
      <c r="BM49" s="787"/>
      <c r="BN49" s="787">
        <v>0</v>
      </c>
      <c r="BO49" s="787">
        <v>0</v>
      </c>
      <c r="BP49" s="787">
        <v>0</v>
      </c>
      <c r="BQ49" s="787">
        <f t="shared" si="3"/>
        <v>0</v>
      </c>
      <c r="BR49" s="787">
        <v>0</v>
      </c>
      <c r="BS49" s="787">
        <v>0</v>
      </c>
      <c r="BT49" s="787">
        <v>6931</v>
      </c>
      <c r="BU49" s="787">
        <v>1040</v>
      </c>
      <c r="BV49" s="787">
        <v>0</v>
      </c>
      <c r="BW49" s="787">
        <v>0</v>
      </c>
      <c r="BX49" s="787">
        <v>7064</v>
      </c>
      <c r="BY49" s="787">
        <v>3402</v>
      </c>
      <c r="BZ49" s="787">
        <f t="shared" si="4"/>
        <v>18437</v>
      </c>
      <c r="CA49" s="787"/>
      <c r="CB49" s="787"/>
      <c r="CC49" s="787"/>
      <c r="CD49" s="787">
        <v>0</v>
      </c>
      <c r="CE49" s="787">
        <v>0</v>
      </c>
      <c r="CF49" s="787">
        <f t="shared" si="5"/>
        <v>0</v>
      </c>
      <c r="CG49" s="787">
        <v>0</v>
      </c>
      <c r="CH49" s="787">
        <v>0</v>
      </c>
      <c r="CI49" s="787">
        <f t="shared" si="6"/>
        <v>0</v>
      </c>
      <c r="CJ49" s="787"/>
      <c r="CK49" s="787"/>
      <c r="CL49" s="787"/>
      <c r="CM49" s="787"/>
      <c r="CN49" s="787"/>
      <c r="CO49" s="787"/>
      <c r="CP49" s="787"/>
      <c r="CQ49" s="787"/>
      <c r="CR49" s="787"/>
      <c r="CS49" s="787">
        <v>308888.57</v>
      </c>
      <c r="CT49" s="787">
        <v>1885</v>
      </c>
      <c r="CU49" s="787">
        <v>0</v>
      </c>
      <c r="CV49" s="787">
        <v>307003.57</v>
      </c>
      <c r="CW49" s="787">
        <v>0</v>
      </c>
      <c r="CX49" s="787">
        <v>9852.1299999999992</v>
      </c>
      <c r="CY49" s="787">
        <v>3231.23</v>
      </c>
      <c r="CZ49" s="787">
        <v>16541.439999999999</v>
      </c>
      <c r="DA49" s="787">
        <v>0</v>
      </c>
      <c r="DB49" s="787">
        <v>336628.37</v>
      </c>
      <c r="DC49" s="787">
        <v>0</v>
      </c>
      <c r="DD49" s="787">
        <v>1575</v>
      </c>
      <c r="DE49" s="787">
        <v>0</v>
      </c>
      <c r="DF49" s="787">
        <v>-1575</v>
      </c>
      <c r="DG49" s="787"/>
      <c r="DH49" s="787"/>
      <c r="DI49" s="787"/>
      <c r="DJ49" s="787">
        <v>0</v>
      </c>
      <c r="DK49" s="787">
        <v>-1575</v>
      </c>
      <c r="DL49" s="787">
        <v>0</v>
      </c>
      <c r="DM49" s="787">
        <v>0</v>
      </c>
      <c r="DN49" s="787">
        <v>0</v>
      </c>
      <c r="DO49" s="787">
        <v>0</v>
      </c>
      <c r="DP49" s="787">
        <v>-205351.02</v>
      </c>
      <c r="DQ49" s="787">
        <v>0</v>
      </c>
      <c r="DR49" s="787">
        <v>0</v>
      </c>
      <c r="DS49" s="787">
        <v>0</v>
      </c>
      <c r="DT49" s="787">
        <v>-205351.02</v>
      </c>
      <c r="DU49" s="787">
        <v>1315.12</v>
      </c>
      <c r="DV49" s="787">
        <v>0</v>
      </c>
      <c r="DW49" s="787">
        <v>0</v>
      </c>
      <c r="DX49" s="787">
        <v>0</v>
      </c>
      <c r="DY49" s="787">
        <v>0</v>
      </c>
      <c r="DZ49" s="787">
        <v>-32105.97</v>
      </c>
      <c r="EA49" s="787">
        <v>-0.45873511793615762</v>
      </c>
    </row>
    <row r="50" spans="1:131" ht="15.6">
      <c r="A50" s="782" t="s">
        <v>1341</v>
      </c>
      <c r="B50" s="782" t="s">
        <v>617</v>
      </c>
      <c r="C50" s="783">
        <v>2053</v>
      </c>
      <c r="D50" s="784" t="s">
        <v>618</v>
      </c>
      <c r="E50" s="785" t="s">
        <v>521</v>
      </c>
      <c r="F50" s="786">
        <v>46097</v>
      </c>
      <c r="G50" s="785" t="s">
        <v>5</v>
      </c>
      <c r="H50" s="785" t="str">
        <f t="shared" si="0"/>
        <v>AX093</v>
      </c>
      <c r="I50" s="787">
        <v>0</v>
      </c>
      <c r="J50" s="787">
        <v>0</v>
      </c>
      <c r="K50" s="787">
        <v>0</v>
      </c>
      <c r="L50" s="787">
        <v>0</v>
      </c>
      <c r="M50" s="787">
        <v>0</v>
      </c>
      <c r="N50" s="787">
        <v>0</v>
      </c>
      <c r="O50" s="787">
        <v>0</v>
      </c>
      <c r="P50" s="787">
        <v>0</v>
      </c>
      <c r="Q50" s="787">
        <v>22361.75999999998</v>
      </c>
      <c r="R50" s="787">
        <v>87583.01</v>
      </c>
      <c r="S50" s="787">
        <v>0</v>
      </c>
      <c r="T50" s="787">
        <v>0</v>
      </c>
      <c r="U50" s="787">
        <v>214198.1</v>
      </c>
      <c r="V50" s="787">
        <v>2100</v>
      </c>
      <c r="W50" s="787">
        <v>0</v>
      </c>
      <c r="X50" s="787">
        <f t="shared" si="1"/>
        <v>326242.87</v>
      </c>
      <c r="Y50" s="787">
        <v>1488699.56</v>
      </c>
      <c r="Z50" s="787">
        <v>0</v>
      </c>
      <c r="AA50" s="787">
        <v>525169.48</v>
      </c>
      <c r="AB50" s="787">
        <v>68671.61</v>
      </c>
      <c r="AC50" s="787">
        <v>193240.16999999998</v>
      </c>
      <c r="AD50" s="787">
        <v>0</v>
      </c>
      <c r="AE50" s="787">
        <v>159101.15</v>
      </c>
      <c r="AF50" s="787">
        <v>10449.77</v>
      </c>
      <c r="AG50" s="787">
        <v>12773.55</v>
      </c>
      <c r="AH50" s="787">
        <v>0</v>
      </c>
      <c r="AI50" s="787">
        <v>0</v>
      </c>
      <c r="AJ50" s="787">
        <v>11568.97</v>
      </c>
      <c r="AK50" s="787">
        <v>0</v>
      </c>
      <c r="AL50" s="787">
        <v>3252.01</v>
      </c>
      <c r="AM50" s="787">
        <v>9239.77</v>
      </c>
      <c r="AN50" s="787">
        <v>34139.050000000003</v>
      </c>
      <c r="AO50" s="787">
        <v>0</v>
      </c>
      <c r="AP50" s="787">
        <v>5354.16</v>
      </c>
      <c r="AQ50" s="787">
        <v>113819.01</v>
      </c>
      <c r="AR50" s="787">
        <v>4317</v>
      </c>
      <c r="AS50" s="787">
        <v>0</v>
      </c>
      <c r="AT50" s="787">
        <v>13877.8</v>
      </c>
      <c r="AU50" s="787">
        <v>10467.880000000001</v>
      </c>
      <c r="AV50" s="787">
        <v>0</v>
      </c>
      <c r="AW50" s="787">
        <v>2315.38</v>
      </c>
      <c r="AX50" s="787">
        <v>0</v>
      </c>
      <c r="AY50" s="787">
        <v>0</v>
      </c>
      <c r="AZ50" s="787">
        <v>24217.71</v>
      </c>
      <c r="BA50" s="787">
        <v>436</v>
      </c>
      <c r="BB50" s="787">
        <v>7059</v>
      </c>
      <c r="BC50" s="787">
        <v>182515.52</v>
      </c>
      <c r="BD50" s="787">
        <v>137720.04</v>
      </c>
      <c r="BE50" s="787">
        <v>225103.27000000002</v>
      </c>
      <c r="BF50" s="787">
        <v>27974.809999999998</v>
      </c>
      <c r="BG50" s="787">
        <v>0</v>
      </c>
      <c r="BH50" s="787">
        <v>0</v>
      </c>
      <c r="BI50" s="787">
        <v>0</v>
      </c>
      <c r="BJ50" s="787">
        <f t="shared" si="2"/>
        <v>3271482.6699999995</v>
      </c>
      <c r="BK50" s="787"/>
      <c r="BL50" s="787"/>
      <c r="BM50" s="787"/>
      <c r="BN50" s="787">
        <v>0</v>
      </c>
      <c r="BO50" s="787">
        <v>0</v>
      </c>
      <c r="BP50" s="787">
        <v>0</v>
      </c>
      <c r="BQ50" s="787">
        <f t="shared" si="3"/>
        <v>0</v>
      </c>
      <c r="BR50" s="787">
        <v>0</v>
      </c>
      <c r="BS50" s="787">
        <v>140</v>
      </c>
      <c r="BT50" s="787">
        <v>0</v>
      </c>
      <c r="BU50" s="787">
        <v>0</v>
      </c>
      <c r="BV50" s="787">
        <v>0</v>
      </c>
      <c r="BW50" s="787">
        <v>0</v>
      </c>
      <c r="BX50" s="787">
        <v>10140.290000000001</v>
      </c>
      <c r="BY50" s="787">
        <v>0</v>
      </c>
      <c r="BZ50" s="787">
        <f t="shared" si="4"/>
        <v>10280.290000000001</v>
      </c>
      <c r="CA50" s="787"/>
      <c r="CB50" s="787"/>
      <c r="CC50" s="787"/>
      <c r="CD50" s="787">
        <v>0</v>
      </c>
      <c r="CE50" s="787">
        <v>0</v>
      </c>
      <c r="CF50" s="787">
        <f t="shared" si="5"/>
        <v>0</v>
      </c>
      <c r="CG50" s="787">
        <v>0</v>
      </c>
      <c r="CH50" s="787">
        <v>0</v>
      </c>
      <c r="CI50" s="787">
        <f t="shared" si="6"/>
        <v>0</v>
      </c>
      <c r="CJ50" s="787"/>
      <c r="CK50" s="787"/>
      <c r="CL50" s="787"/>
      <c r="CM50" s="787"/>
      <c r="CN50" s="787"/>
      <c r="CO50" s="787"/>
      <c r="CP50" s="787"/>
      <c r="CQ50" s="787"/>
      <c r="CR50" s="787"/>
      <c r="CS50" s="787">
        <v>5140</v>
      </c>
      <c r="CT50" s="787">
        <v>21426.63</v>
      </c>
      <c r="CU50" s="787">
        <v>0</v>
      </c>
      <c r="CV50" s="787">
        <v>-16286.630000000001</v>
      </c>
      <c r="CW50" s="787">
        <v>0</v>
      </c>
      <c r="CX50" s="787">
        <v>11093.45</v>
      </c>
      <c r="CY50" s="787">
        <v>8400.56</v>
      </c>
      <c r="CZ50" s="787">
        <v>0</v>
      </c>
      <c r="DA50" s="787">
        <v>0</v>
      </c>
      <c r="DB50" s="787">
        <v>3207.3799999999992</v>
      </c>
      <c r="DC50" s="787">
        <v>486300.5</v>
      </c>
      <c r="DD50" s="787">
        <v>0</v>
      </c>
      <c r="DE50" s="787">
        <v>0</v>
      </c>
      <c r="DF50" s="787">
        <v>486300.5</v>
      </c>
      <c r="DG50" s="787"/>
      <c r="DH50" s="787"/>
      <c r="DI50" s="787"/>
      <c r="DJ50" s="787">
        <v>0</v>
      </c>
      <c r="DK50" s="787">
        <v>486300.5</v>
      </c>
      <c r="DL50" s="787">
        <v>0</v>
      </c>
      <c r="DM50" s="787">
        <v>0</v>
      </c>
      <c r="DN50" s="787">
        <v>0</v>
      </c>
      <c r="DO50" s="787">
        <v>0</v>
      </c>
      <c r="DP50" s="787">
        <v>-251795.09</v>
      </c>
      <c r="DQ50" s="787">
        <v>0</v>
      </c>
      <c r="DR50" s="787">
        <v>0</v>
      </c>
      <c r="DS50" s="787">
        <v>0</v>
      </c>
      <c r="DT50" s="787">
        <v>-251795.09</v>
      </c>
      <c r="DU50" s="787">
        <v>8151.3</v>
      </c>
      <c r="DV50" s="787">
        <v>0</v>
      </c>
      <c r="DW50" s="787">
        <v>0</v>
      </c>
      <c r="DX50" s="787">
        <v>0</v>
      </c>
      <c r="DY50" s="787">
        <v>0</v>
      </c>
      <c r="DZ50" s="787">
        <v>-45758.85</v>
      </c>
      <c r="EA50" s="787">
        <v>0.19774662927375175</v>
      </c>
    </row>
    <row r="51" spans="1:131" ht="15.6">
      <c r="A51" s="782" t="s">
        <v>1342</v>
      </c>
      <c r="B51" s="782" t="s">
        <v>864</v>
      </c>
      <c r="C51" s="783">
        <v>2464</v>
      </c>
      <c r="D51" s="784" t="s">
        <v>865</v>
      </c>
      <c r="E51" s="785" t="s">
        <v>521</v>
      </c>
      <c r="F51" s="786">
        <v>46094</v>
      </c>
      <c r="G51" s="785" t="s">
        <v>5</v>
      </c>
      <c r="H51" s="785" t="str">
        <f t="shared" si="0"/>
        <v>AX01G</v>
      </c>
      <c r="I51" s="787">
        <v>3.0000000260770321E-2</v>
      </c>
      <c r="J51" s="787">
        <v>0</v>
      </c>
      <c r="K51" s="787">
        <v>8685.993333333332</v>
      </c>
      <c r="L51" s="787">
        <v>0</v>
      </c>
      <c r="M51" s="787">
        <v>0</v>
      </c>
      <c r="N51" s="787">
        <v>0</v>
      </c>
      <c r="O51" s="787">
        <v>257224</v>
      </c>
      <c r="P51" s="787">
        <v>46110</v>
      </c>
      <c r="Q51" s="787">
        <v>257805.82</v>
      </c>
      <c r="R51" s="787">
        <v>1006.2</v>
      </c>
      <c r="S51" s="787">
        <v>0</v>
      </c>
      <c r="T51" s="787">
        <v>0</v>
      </c>
      <c r="U51" s="787">
        <v>66972.399999999994</v>
      </c>
      <c r="V51" s="787">
        <v>36778</v>
      </c>
      <c r="W51" s="787">
        <v>0</v>
      </c>
      <c r="X51" s="787">
        <f t="shared" si="1"/>
        <v>674582.44333333359</v>
      </c>
      <c r="Y51" s="787">
        <v>1358723.74</v>
      </c>
      <c r="Z51" s="787">
        <v>0</v>
      </c>
      <c r="AA51" s="787">
        <v>324686.84000000003</v>
      </c>
      <c r="AB51" s="787">
        <v>47270.420000000006</v>
      </c>
      <c r="AC51" s="787">
        <v>120050.21</v>
      </c>
      <c r="AD51" s="787">
        <v>0</v>
      </c>
      <c r="AE51" s="787">
        <v>137076.35</v>
      </c>
      <c r="AF51" s="787">
        <v>151.27000000000001</v>
      </c>
      <c r="AG51" s="787">
        <v>949.4</v>
      </c>
      <c r="AH51" s="787">
        <v>0</v>
      </c>
      <c r="AI51" s="787">
        <v>0</v>
      </c>
      <c r="AJ51" s="787">
        <v>15840.62</v>
      </c>
      <c r="AK51" s="787">
        <v>5985</v>
      </c>
      <c r="AL51" s="787">
        <v>60413.04</v>
      </c>
      <c r="AM51" s="787">
        <v>6850.0066666666671</v>
      </c>
      <c r="AN51" s="787">
        <v>55173.17</v>
      </c>
      <c r="AO51" s="787">
        <v>2.9999999991559889E-2</v>
      </c>
      <c r="AP51" s="787">
        <v>80423.75</v>
      </c>
      <c r="AQ51" s="787">
        <v>141900.23000000001</v>
      </c>
      <c r="AR51" s="787">
        <v>3522.97</v>
      </c>
      <c r="AS51" s="787">
        <v>0</v>
      </c>
      <c r="AT51" s="787">
        <v>13547.12</v>
      </c>
      <c r="AU51" s="787">
        <v>22554.17</v>
      </c>
      <c r="AV51" s="787">
        <v>0</v>
      </c>
      <c r="AW51" s="787">
        <v>657.53</v>
      </c>
      <c r="AX51" s="787">
        <v>10725</v>
      </c>
      <c r="AY51" s="787">
        <v>0</v>
      </c>
      <c r="AZ51" s="787">
        <v>2631.4100000000003</v>
      </c>
      <c r="BA51" s="787">
        <v>0</v>
      </c>
      <c r="BB51" s="787">
        <v>53628.95</v>
      </c>
      <c r="BC51" s="787">
        <v>86793.133333333331</v>
      </c>
      <c r="BD51" s="787">
        <v>64027.07</v>
      </c>
      <c r="BE51" s="787">
        <v>36798.100000000006</v>
      </c>
      <c r="BF51" s="787">
        <v>39869.65</v>
      </c>
      <c r="BG51" s="787">
        <v>0</v>
      </c>
      <c r="BH51" s="787">
        <v>0</v>
      </c>
      <c r="BI51" s="787">
        <v>0</v>
      </c>
      <c r="BJ51" s="787">
        <f t="shared" si="2"/>
        <v>2690249.18</v>
      </c>
      <c r="BK51" s="787"/>
      <c r="BL51" s="787"/>
      <c r="BM51" s="787"/>
      <c r="BN51" s="787">
        <v>0</v>
      </c>
      <c r="BO51" s="787">
        <v>20433</v>
      </c>
      <c r="BP51" s="787">
        <v>0</v>
      </c>
      <c r="BQ51" s="787">
        <f t="shared" si="3"/>
        <v>20433</v>
      </c>
      <c r="BR51" s="787">
        <v>0</v>
      </c>
      <c r="BS51" s="787">
        <v>0</v>
      </c>
      <c r="BT51" s="787">
        <v>10250</v>
      </c>
      <c r="BU51" s="787">
        <v>0</v>
      </c>
      <c r="BV51" s="787">
        <v>0</v>
      </c>
      <c r="BW51" s="787">
        <v>0</v>
      </c>
      <c r="BX51" s="787">
        <v>20108</v>
      </c>
      <c r="BY51" s="787">
        <v>0</v>
      </c>
      <c r="BZ51" s="787">
        <f t="shared" si="4"/>
        <v>30358</v>
      </c>
      <c r="CA51" s="787"/>
      <c r="CB51" s="787"/>
      <c r="CC51" s="787"/>
      <c r="CD51" s="787">
        <v>0</v>
      </c>
      <c r="CE51" s="787">
        <v>0</v>
      </c>
      <c r="CF51" s="787">
        <f t="shared" si="5"/>
        <v>0</v>
      </c>
      <c r="CG51" s="787">
        <v>0</v>
      </c>
      <c r="CH51" s="787">
        <v>0</v>
      </c>
      <c r="CI51" s="787">
        <f t="shared" si="6"/>
        <v>0</v>
      </c>
      <c r="CJ51" s="787"/>
      <c r="CK51" s="787"/>
      <c r="CL51" s="787"/>
      <c r="CM51" s="787"/>
      <c r="CN51" s="787"/>
      <c r="CO51" s="787"/>
      <c r="CP51" s="787"/>
      <c r="CQ51" s="787"/>
      <c r="CR51" s="787"/>
      <c r="CS51" s="787">
        <v>111944.72</v>
      </c>
      <c r="CT51" s="787">
        <v>0</v>
      </c>
      <c r="CU51" s="787">
        <v>0</v>
      </c>
      <c r="CV51" s="787">
        <v>111944.72</v>
      </c>
      <c r="CW51" s="787">
        <v>0</v>
      </c>
      <c r="CX51" s="787">
        <v>15595.77</v>
      </c>
      <c r="CY51" s="787">
        <v>2327.33</v>
      </c>
      <c r="CZ51" s="787">
        <v>0</v>
      </c>
      <c r="DA51" s="787">
        <v>0</v>
      </c>
      <c r="DB51" s="787">
        <v>129867.82</v>
      </c>
      <c r="DC51" s="787">
        <v>0</v>
      </c>
      <c r="DD51" s="787">
        <v>0</v>
      </c>
      <c r="DE51" s="787">
        <v>0</v>
      </c>
      <c r="DF51" s="787">
        <v>0</v>
      </c>
      <c r="DG51" s="787"/>
      <c r="DH51" s="787"/>
      <c r="DI51" s="787"/>
      <c r="DJ51" s="787">
        <v>0</v>
      </c>
      <c r="DK51" s="787">
        <v>0</v>
      </c>
      <c r="DL51" s="787">
        <v>25796.69</v>
      </c>
      <c r="DM51" s="787">
        <v>0</v>
      </c>
      <c r="DN51" s="787">
        <v>23402.55</v>
      </c>
      <c r="DO51" s="787">
        <v>0</v>
      </c>
      <c r="DP51" s="787">
        <v>-213744.06</v>
      </c>
      <c r="DQ51" s="787">
        <v>-3500.64</v>
      </c>
      <c r="DR51" s="787">
        <v>0</v>
      </c>
      <c r="DS51" s="787">
        <v>0</v>
      </c>
      <c r="DT51" s="787">
        <v>-168045.46000000002</v>
      </c>
      <c r="DU51" s="787">
        <v>0</v>
      </c>
      <c r="DV51" s="787">
        <v>0</v>
      </c>
      <c r="DW51" s="787">
        <v>0</v>
      </c>
      <c r="DX51" s="787">
        <v>0</v>
      </c>
      <c r="DY51" s="787">
        <v>0</v>
      </c>
      <c r="DZ51" s="787">
        <v>-33913.29</v>
      </c>
      <c r="EA51" s="787">
        <v>0.45000000033178367</v>
      </c>
    </row>
    <row r="52" spans="1:131" ht="15.6">
      <c r="A52" s="782" t="s">
        <v>1343</v>
      </c>
      <c r="B52" s="782" t="s">
        <v>619</v>
      </c>
      <c r="C52" s="783">
        <v>3320</v>
      </c>
      <c r="D52" s="784" t="s">
        <v>620</v>
      </c>
      <c r="E52" s="785" t="s">
        <v>521</v>
      </c>
      <c r="F52" s="786">
        <v>46092</v>
      </c>
      <c r="G52" s="785" t="s">
        <v>5</v>
      </c>
      <c r="H52" s="785" t="str">
        <f t="shared" si="0"/>
        <v>AX01H</v>
      </c>
      <c r="I52" s="787">
        <v>0</v>
      </c>
      <c r="J52" s="787">
        <v>0</v>
      </c>
      <c r="K52" s="787">
        <v>0</v>
      </c>
      <c r="L52" s="787">
        <v>0</v>
      </c>
      <c r="M52" s="787">
        <v>9600</v>
      </c>
      <c r="N52" s="787">
        <v>0</v>
      </c>
      <c r="O52" s="787">
        <v>0</v>
      </c>
      <c r="P52" s="787">
        <v>0</v>
      </c>
      <c r="Q52" s="787">
        <v>19455</v>
      </c>
      <c r="R52" s="787">
        <v>0</v>
      </c>
      <c r="S52" s="787">
        <v>0</v>
      </c>
      <c r="T52" s="787">
        <v>0</v>
      </c>
      <c r="U52" s="787">
        <v>15092.71</v>
      </c>
      <c r="V52" s="787">
        <v>65311.519999999997</v>
      </c>
      <c r="W52" s="787">
        <v>0</v>
      </c>
      <c r="X52" s="787">
        <f t="shared" si="1"/>
        <v>109459.23</v>
      </c>
      <c r="Y52" s="787">
        <v>1376344.51</v>
      </c>
      <c r="Z52" s="787">
        <v>0</v>
      </c>
      <c r="AA52" s="787">
        <v>531368.84</v>
      </c>
      <c r="AB52" s="787">
        <v>43413.55</v>
      </c>
      <c r="AC52" s="787">
        <v>137363.04</v>
      </c>
      <c r="AD52" s="787">
        <v>0</v>
      </c>
      <c r="AE52" s="787">
        <v>137354.21</v>
      </c>
      <c r="AF52" s="787">
        <v>3684.08</v>
      </c>
      <c r="AG52" s="787">
        <v>47930.31</v>
      </c>
      <c r="AH52" s="787">
        <v>0</v>
      </c>
      <c r="AI52" s="787">
        <v>0</v>
      </c>
      <c r="AJ52" s="787">
        <v>38158.25</v>
      </c>
      <c r="AK52" s="787">
        <v>0</v>
      </c>
      <c r="AL52" s="787">
        <v>44140.759999999995</v>
      </c>
      <c r="AM52" s="787">
        <v>1557.17</v>
      </c>
      <c r="AN52" s="787">
        <v>45636.65</v>
      </c>
      <c r="AO52" s="787">
        <v>0</v>
      </c>
      <c r="AP52" s="787">
        <v>15880.890000000001</v>
      </c>
      <c r="AQ52" s="787">
        <v>39223.99</v>
      </c>
      <c r="AR52" s="787">
        <v>0</v>
      </c>
      <c r="AS52" s="787">
        <v>0</v>
      </c>
      <c r="AT52" s="787">
        <v>0</v>
      </c>
      <c r="AU52" s="787">
        <v>0</v>
      </c>
      <c r="AV52" s="787">
        <v>0</v>
      </c>
      <c r="AW52" s="787">
        <v>1121</v>
      </c>
      <c r="AX52" s="787">
        <v>889.81</v>
      </c>
      <c r="AY52" s="787">
        <v>0</v>
      </c>
      <c r="AZ52" s="787">
        <v>196726</v>
      </c>
      <c r="BA52" s="787">
        <v>23297.08</v>
      </c>
      <c r="BB52" s="787">
        <v>5161</v>
      </c>
      <c r="BC52" s="787">
        <v>181143.26</v>
      </c>
      <c r="BD52" s="787">
        <v>31063.33</v>
      </c>
      <c r="BE52" s="787">
        <v>1320.7800000000007</v>
      </c>
      <c r="BF52" s="787">
        <v>451</v>
      </c>
      <c r="BG52" s="787">
        <v>74046.850000000006</v>
      </c>
      <c r="BH52" s="787">
        <v>0</v>
      </c>
      <c r="BI52" s="787">
        <v>14553</v>
      </c>
      <c r="BJ52" s="787">
        <f t="shared" si="2"/>
        <v>2991829.3600000003</v>
      </c>
      <c r="BK52" s="787"/>
      <c r="BL52" s="787"/>
      <c r="BM52" s="787"/>
      <c r="BN52" s="787">
        <v>17047.12</v>
      </c>
      <c r="BO52" s="787">
        <v>0</v>
      </c>
      <c r="BP52" s="787">
        <v>14553</v>
      </c>
      <c r="BQ52" s="787">
        <f t="shared" si="3"/>
        <v>31600.12</v>
      </c>
      <c r="BR52" s="787">
        <v>0</v>
      </c>
      <c r="BS52" s="787">
        <v>0</v>
      </c>
      <c r="BT52" s="787">
        <v>0</v>
      </c>
      <c r="BU52" s="787">
        <v>0</v>
      </c>
      <c r="BV52" s="787">
        <v>0</v>
      </c>
      <c r="BW52" s="787">
        <v>0</v>
      </c>
      <c r="BX52" s="787">
        <v>31600</v>
      </c>
      <c r="BY52" s="787">
        <v>0</v>
      </c>
      <c r="BZ52" s="787">
        <f t="shared" si="4"/>
        <v>31600</v>
      </c>
      <c r="CA52" s="787"/>
      <c r="CB52" s="787"/>
      <c r="CC52" s="787"/>
      <c r="CD52" s="787">
        <v>0</v>
      </c>
      <c r="CE52" s="787">
        <v>0</v>
      </c>
      <c r="CF52" s="787">
        <f t="shared" si="5"/>
        <v>0</v>
      </c>
      <c r="CG52" s="787">
        <v>0</v>
      </c>
      <c r="CH52" s="787">
        <v>0</v>
      </c>
      <c r="CI52" s="787">
        <f t="shared" si="6"/>
        <v>0</v>
      </c>
      <c r="CJ52" s="787"/>
      <c r="CK52" s="787"/>
      <c r="CL52" s="787"/>
      <c r="CM52" s="787"/>
      <c r="CN52" s="787"/>
      <c r="CO52" s="787"/>
      <c r="CP52" s="787"/>
      <c r="CQ52" s="787"/>
      <c r="CR52" s="787"/>
      <c r="CS52" s="787"/>
      <c r="CT52" s="787"/>
      <c r="CU52" s="787"/>
      <c r="CV52" s="787"/>
      <c r="CW52" s="787"/>
      <c r="CX52" s="787"/>
      <c r="CY52" s="787"/>
      <c r="CZ52" s="787"/>
      <c r="DA52" s="787"/>
      <c r="DB52" s="787"/>
      <c r="DC52" s="787"/>
      <c r="DD52" s="787"/>
      <c r="DE52" s="787"/>
      <c r="DF52" s="787"/>
      <c r="DG52" s="787"/>
      <c r="DH52" s="787"/>
      <c r="DI52" s="787"/>
      <c r="DJ52" s="787"/>
      <c r="DK52" s="787"/>
      <c r="DL52" s="787"/>
      <c r="DM52" s="787"/>
      <c r="DN52" s="787"/>
      <c r="DO52" s="787"/>
      <c r="DP52" s="787"/>
      <c r="DQ52" s="787"/>
      <c r="DR52" s="787"/>
      <c r="DS52" s="787"/>
      <c r="DT52" s="787"/>
      <c r="DU52" s="787"/>
      <c r="DV52" s="787"/>
      <c r="DW52" s="787"/>
      <c r="DX52" s="787"/>
      <c r="DY52" s="787"/>
      <c r="DZ52" s="787"/>
      <c r="EA52" s="787"/>
    </row>
    <row r="53" spans="1:131" ht="15.6">
      <c r="A53" s="782" t="s">
        <v>1344</v>
      </c>
      <c r="B53" s="782" t="s">
        <v>621</v>
      </c>
      <c r="C53" s="783">
        <v>2055</v>
      </c>
      <c r="D53" s="784" t="s">
        <v>622</v>
      </c>
      <c r="E53" s="785" t="s">
        <v>521</v>
      </c>
      <c r="F53" s="786">
        <v>46094</v>
      </c>
      <c r="G53" s="785" t="s">
        <v>5</v>
      </c>
      <c r="H53" s="785" t="str">
        <f t="shared" si="0"/>
        <v>AX01J</v>
      </c>
      <c r="I53" s="787">
        <v>0</v>
      </c>
      <c r="J53" s="787">
        <v>0</v>
      </c>
      <c r="K53" s="787">
        <v>0</v>
      </c>
      <c r="L53" s="787">
        <v>0</v>
      </c>
      <c r="M53" s="787">
        <v>0</v>
      </c>
      <c r="N53" s="787">
        <v>0</v>
      </c>
      <c r="O53" s="787">
        <v>0</v>
      </c>
      <c r="P53" s="787">
        <v>1274</v>
      </c>
      <c r="Q53" s="787">
        <v>1957.75</v>
      </c>
      <c r="R53" s="787">
        <v>36607.800000000003</v>
      </c>
      <c r="S53" s="787">
        <v>0</v>
      </c>
      <c r="T53" s="787">
        <v>0</v>
      </c>
      <c r="U53" s="787">
        <v>56257.05</v>
      </c>
      <c r="V53" s="787">
        <v>180487.31</v>
      </c>
      <c r="W53" s="787">
        <v>0</v>
      </c>
      <c r="X53" s="787">
        <f t="shared" si="1"/>
        <v>276583.91000000003</v>
      </c>
      <c r="Y53" s="787">
        <v>1434432.5</v>
      </c>
      <c r="Z53" s="787">
        <v>655</v>
      </c>
      <c r="AA53" s="787">
        <v>334534.55</v>
      </c>
      <c r="AB53" s="787">
        <v>526.94000000000005</v>
      </c>
      <c r="AC53" s="787">
        <v>409043.44</v>
      </c>
      <c r="AD53" s="787">
        <v>0</v>
      </c>
      <c r="AE53" s="787">
        <v>260391.74</v>
      </c>
      <c r="AF53" s="787">
        <v>10958</v>
      </c>
      <c r="AG53" s="787">
        <v>13620.349999999999</v>
      </c>
      <c r="AH53" s="787">
        <v>0</v>
      </c>
      <c r="AI53" s="787">
        <v>0</v>
      </c>
      <c r="AJ53" s="787">
        <v>53607.42</v>
      </c>
      <c r="AK53" s="787">
        <v>0</v>
      </c>
      <c r="AL53" s="787">
        <v>40674.04</v>
      </c>
      <c r="AM53" s="787">
        <v>7596.41</v>
      </c>
      <c r="AN53" s="787">
        <v>29260.19</v>
      </c>
      <c r="AO53" s="787">
        <v>0</v>
      </c>
      <c r="AP53" s="787">
        <v>7232.3</v>
      </c>
      <c r="AQ53" s="787">
        <v>102162.25</v>
      </c>
      <c r="AR53" s="787">
        <v>0</v>
      </c>
      <c r="AS53" s="787">
        <v>0</v>
      </c>
      <c r="AT53" s="787">
        <v>34827.189999999995</v>
      </c>
      <c r="AU53" s="787">
        <v>0</v>
      </c>
      <c r="AV53" s="787">
        <v>0</v>
      </c>
      <c r="AW53" s="787">
        <v>0</v>
      </c>
      <c r="AX53" s="787">
        <v>29900.18</v>
      </c>
      <c r="AY53" s="787">
        <v>0</v>
      </c>
      <c r="AZ53" s="787">
        <v>1565.96</v>
      </c>
      <c r="BA53" s="787">
        <v>0</v>
      </c>
      <c r="BB53" s="787">
        <v>4892</v>
      </c>
      <c r="BC53" s="787">
        <v>129037.71</v>
      </c>
      <c r="BD53" s="787">
        <v>40716.85</v>
      </c>
      <c r="BE53" s="787">
        <v>121490.01999999999</v>
      </c>
      <c r="BF53" s="787">
        <v>77759.34</v>
      </c>
      <c r="BG53" s="787">
        <v>0</v>
      </c>
      <c r="BH53" s="787">
        <v>0</v>
      </c>
      <c r="BI53" s="787">
        <v>0</v>
      </c>
      <c r="BJ53" s="787">
        <f t="shared" si="2"/>
        <v>3144884.38</v>
      </c>
      <c r="BK53" s="787"/>
      <c r="BL53" s="787"/>
      <c r="BM53" s="787"/>
      <c r="BN53" s="787">
        <v>0</v>
      </c>
      <c r="BO53" s="787">
        <v>0</v>
      </c>
      <c r="BP53" s="787">
        <v>0</v>
      </c>
      <c r="BQ53" s="787">
        <f t="shared" si="3"/>
        <v>0</v>
      </c>
      <c r="BR53" s="787">
        <v>0</v>
      </c>
      <c r="BS53" s="787">
        <v>2015</v>
      </c>
      <c r="BT53" s="787">
        <v>0</v>
      </c>
      <c r="BU53" s="787">
        <v>0</v>
      </c>
      <c r="BV53" s="787">
        <v>0</v>
      </c>
      <c r="BW53" s="787">
        <v>1805.92</v>
      </c>
      <c r="BX53" s="787">
        <v>0</v>
      </c>
      <c r="BY53" s="787">
        <v>0</v>
      </c>
      <c r="BZ53" s="787">
        <f t="shared" si="4"/>
        <v>3820.92</v>
      </c>
      <c r="CA53" s="787"/>
      <c r="CB53" s="787"/>
      <c r="CC53" s="787"/>
      <c r="CD53" s="787">
        <v>0</v>
      </c>
      <c r="CE53" s="787">
        <v>0</v>
      </c>
      <c r="CF53" s="787">
        <f t="shared" si="5"/>
        <v>0</v>
      </c>
      <c r="CG53" s="787">
        <v>0</v>
      </c>
      <c r="CH53" s="787">
        <v>0</v>
      </c>
      <c r="CI53" s="787">
        <f t="shared" si="6"/>
        <v>0</v>
      </c>
      <c r="CJ53" s="787"/>
      <c r="CK53" s="787"/>
      <c r="CL53" s="787"/>
      <c r="CM53" s="787"/>
      <c r="CN53" s="787"/>
      <c r="CO53" s="787"/>
      <c r="CP53" s="787"/>
      <c r="CQ53" s="787"/>
      <c r="CR53" s="787"/>
      <c r="CS53" s="787">
        <v>245443.75</v>
      </c>
      <c r="CT53" s="787">
        <v>0</v>
      </c>
      <c r="CU53" s="787">
        <v>0</v>
      </c>
      <c r="CV53" s="787">
        <v>245443.75</v>
      </c>
      <c r="CW53" s="787">
        <v>1000</v>
      </c>
      <c r="CX53" s="787">
        <v>5828.63</v>
      </c>
      <c r="CY53" s="787">
        <v>2886.51</v>
      </c>
      <c r="CZ53" s="787">
        <v>0</v>
      </c>
      <c r="DA53" s="787">
        <v>0</v>
      </c>
      <c r="DB53" s="787">
        <v>255158.89</v>
      </c>
      <c r="DC53" s="787">
        <v>253894.31</v>
      </c>
      <c r="DD53" s="787">
        <v>0</v>
      </c>
      <c r="DE53" s="787">
        <v>0</v>
      </c>
      <c r="DF53" s="787">
        <v>253894.31</v>
      </c>
      <c r="DG53" s="787"/>
      <c r="DH53" s="787"/>
      <c r="DI53" s="787"/>
      <c r="DJ53" s="787">
        <v>0</v>
      </c>
      <c r="DK53" s="787">
        <v>253894.31</v>
      </c>
      <c r="DL53" s="787">
        <v>0</v>
      </c>
      <c r="DM53" s="787">
        <v>0</v>
      </c>
      <c r="DN53" s="787">
        <v>16813.400000000001</v>
      </c>
      <c r="DO53" s="787">
        <v>0</v>
      </c>
      <c r="DP53" s="787">
        <v>-16239.68</v>
      </c>
      <c r="DQ53" s="787">
        <v>-493</v>
      </c>
      <c r="DR53" s="787">
        <v>0</v>
      </c>
      <c r="DS53" s="787">
        <v>0</v>
      </c>
      <c r="DT53" s="787">
        <v>80.720000000001164</v>
      </c>
      <c r="DU53" s="787">
        <v>0</v>
      </c>
      <c r="DV53" s="787">
        <v>0</v>
      </c>
      <c r="DW53" s="787">
        <v>0</v>
      </c>
      <c r="DX53" s="787">
        <v>0</v>
      </c>
      <c r="DY53" s="787">
        <v>0</v>
      </c>
      <c r="DZ53" s="787">
        <v>-203276.52</v>
      </c>
      <c r="EA53" s="787">
        <v>-5.2683474554214627E-2</v>
      </c>
    </row>
    <row r="54" spans="1:131" ht="15.6">
      <c r="A54" s="782" t="s">
        <v>1345</v>
      </c>
      <c r="B54" s="782" t="s">
        <v>884</v>
      </c>
      <c r="C54" s="783">
        <v>1802</v>
      </c>
      <c r="D54" s="784" t="s">
        <v>885</v>
      </c>
      <c r="E54" s="785" t="s">
        <v>521</v>
      </c>
      <c r="F54" s="786">
        <v>46101</v>
      </c>
      <c r="G54" s="785" t="s">
        <v>5</v>
      </c>
      <c r="H54" s="785" t="str">
        <f t="shared" si="0"/>
        <v>AX01Q</v>
      </c>
      <c r="I54" s="787">
        <v>0</v>
      </c>
      <c r="J54" s="787">
        <v>0</v>
      </c>
      <c r="K54" s="787">
        <v>46250</v>
      </c>
      <c r="L54" s="787">
        <v>0</v>
      </c>
      <c r="M54" s="787">
        <v>0</v>
      </c>
      <c r="N54" s="787">
        <v>0</v>
      </c>
      <c r="O54" s="787">
        <v>0</v>
      </c>
      <c r="P54" s="787">
        <v>0</v>
      </c>
      <c r="Q54" s="787">
        <v>0</v>
      </c>
      <c r="R54" s="787">
        <v>0</v>
      </c>
      <c r="S54" s="787">
        <v>0</v>
      </c>
      <c r="T54" s="787">
        <v>0</v>
      </c>
      <c r="U54" s="787">
        <v>5274</v>
      </c>
      <c r="V54" s="787">
        <v>0</v>
      </c>
      <c r="W54" s="787">
        <v>0</v>
      </c>
      <c r="X54" s="787">
        <f t="shared" si="1"/>
        <v>51524</v>
      </c>
      <c r="Y54" s="787">
        <v>144800.10999999999</v>
      </c>
      <c r="Z54" s="787">
        <v>20448.29</v>
      </c>
      <c r="AA54" s="787">
        <v>271505.32</v>
      </c>
      <c r="AB54" s="787">
        <v>4049.13</v>
      </c>
      <c r="AC54" s="787">
        <v>34340.269999999997</v>
      </c>
      <c r="AD54" s="787">
        <v>0</v>
      </c>
      <c r="AE54" s="787">
        <v>7993.47</v>
      </c>
      <c r="AF54" s="787">
        <v>1782.25</v>
      </c>
      <c r="AG54" s="787">
        <v>200</v>
      </c>
      <c r="AH54" s="787">
        <v>0</v>
      </c>
      <c r="AI54" s="787">
        <v>0</v>
      </c>
      <c r="AJ54" s="787">
        <v>2671.89</v>
      </c>
      <c r="AK54" s="787">
        <v>0</v>
      </c>
      <c r="AL54" s="787">
        <v>3562.2200000000003</v>
      </c>
      <c r="AM54" s="787">
        <v>1118.98</v>
      </c>
      <c r="AN54" s="787">
        <v>7208.1</v>
      </c>
      <c r="AO54" s="787">
        <v>0</v>
      </c>
      <c r="AP54" s="787">
        <v>8952.2199999999993</v>
      </c>
      <c r="AQ54" s="787">
        <v>14006.51</v>
      </c>
      <c r="AR54" s="787">
        <v>33.340000000000003</v>
      </c>
      <c r="AS54" s="787">
        <v>0</v>
      </c>
      <c r="AT54" s="787">
        <v>3101.11</v>
      </c>
      <c r="AU54" s="787">
        <v>0</v>
      </c>
      <c r="AV54" s="787">
        <v>0</v>
      </c>
      <c r="AW54" s="787">
        <v>0</v>
      </c>
      <c r="AX54" s="787">
        <v>0</v>
      </c>
      <c r="AY54" s="787">
        <v>0</v>
      </c>
      <c r="AZ54" s="787">
        <v>4973.79</v>
      </c>
      <c r="BA54" s="787">
        <v>0</v>
      </c>
      <c r="BB54" s="787">
        <v>0</v>
      </c>
      <c r="BC54" s="787">
        <v>6735.65</v>
      </c>
      <c r="BD54" s="787">
        <v>44900.02</v>
      </c>
      <c r="BE54" s="787">
        <v>2868.85</v>
      </c>
      <c r="BF54" s="787">
        <v>41365.160000000003</v>
      </c>
      <c r="BG54" s="787">
        <v>0</v>
      </c>
      <c r="BH54" s="787">
        <v>0</v>
      </c>
      <c r="BI54" s="787">
        <v>0</v>
      </c>
      <c r="BJ54" s="787">
        <f t="shared" si="2"/>
        <v>626616.68000000005</v>
      </c>
      <c r="BK54" s="787"/>
      <c r="BL54" s="787"/>
      <c r="BM54" s="787"/>
      <c r="BN54" s="787">
        <v>0</v>
      </c>
      <c r="BO54" s="787">
        <v>0</v>
      </c>
      <c r="BP54" s="787">
        <v>0</v>
      </c>
      <c r="BQ54" s="787">
        <f t="shared" si="3"/>
        <v>0</v>
      </c>
      <c r="BR54" s="787">
        <v>0</v>
      </c>
      <c r="BS54" s="787">
        <v>0</v>
      </c>
      <c r="BT54" s="787">
        <v>0</v>
      </c>
      <c r="BU54" s="787">
        <v>0</v>
      </c>
      <c r="BV54" s="787">
        <v>0</v>
      </c>
      <c r="BW54" s="787">
        <v>19087</v>
      </c>
      <c r="BX54" s="787">
        <v>0</v>
      </c>
      <c r="BY54" s="787">
        <v>0</v>
      </c>
      <c r="BZ54" s="787">
        <f t="shared" si="4"/>
        <v>19087</v>
      </c>
      <c r="CA54" s="787"/>
      <c r="CB54" s="787"/>
      <c r="CC54" s="787"/>
      <c r="CD54" s="787">
        <v>0</v>
      </c>
      <c r="CE54" s="787">
        <v>0</v>
      </c>
      <c r="CF54" s="787">
        <f t="shared" si="5"/>
        <v>0</v>
      </c>
      <c r="CG54" s="787">
        <v>0</v>
      </c>
      <c r="CH54" s="787">
        <v>0</v>
      </c>
      <c r="CI54" s="787">
        <f t="shared" si="6"/>
        <v>0</v>
      </c>
      <c r="CJ54" s="787"/>
      <c r="CK54" s="787"/>
      <c r="CL54" s="787"/>
      <c r="CM54" s="787"/>
      <c r="CN54" s="787"/>
      <c r="CO54" s="787"/>
      <c r="CP54" s="787"/>
      <c r="CQ54" s="787"/>
      <c r="CR54" s="787"/>
      <c r="CS54" s="787"/>
      <c r="CT54" s="787"/>
      <c r="CU54" s="787"/>
      <c r="CV54" s="787"/>
      <c r="CW54" s="787"/>
      <c r="CX54" s="787"/>
      <c r="CY54" s="787"/>
      <c r="CZ54" s="787"/>
      <c r="DA54" s="787"/>
      <c r="DB54" s="787"/>
      <c r="DC54" s="787"/>
      <c r="DD54" s="787"/>
      <c r="DE54" s="787"/>
      <c r="DF54" s="787"/>
      <c r="DG54" s="787"/>
      <c r="DH54" s="787"/>
      <c r="DI54" s="787"/>
      <c r="DJ54" s="787"/>
      <c r="DK54" s="787"/>
      <c r="DL54" s="787"/>
      <c r="DM54" s="787"/>
      <c r="DN54" s="787"/>
      <c r="DO54" s="787"/>
      <c r="DP54" s="787"/>
      <c r="DQ54" s="787"/>
      <c r="DR54" s="787"/>
      <c r="DS54" s="787"/>
      <c r="DT54" s="787"/>
      <c r="DU54" s="787"/>
      <c r="DV54" s="787"/>
      <c r="DW54" s="787"/>
      <c r="DX54" s="787"/>
      <c r="DY54" s="787"/>
      <c r="DZ54" s="787"/>
      <c r="EA54" s="787"/>
    </row>
    <row r="55" spans="1:131" ht="15.6">
      <c r="A55" s="782" t="s">
        <v>1346</v>
      </c>
      <c r="B55" s="782" t="s">
        <v>623</v>
      </c>
      <c r="C55" s="783">
        <v>2454</v>
      </c>
      <c r="D55" s="784" t="s">
        <v>624</v>
      </c>
      <c r="E55" s="785" t="s">
        <v>521</v>
      </c>
      <c r="F55" s="786">
        <v>0</v>
      </c>
      <c r="G55" s="785" t="s">
        <v>5</v>
      </c>
      <c r="H55" s="785" t="str">
        <f t="shared" si="0"/>
        <v>AX01R</v>
      </c>
      <c r="I55" s="787">
        <v>0</v>
      </c>
      <c r="J55" s="787">
        <v>0</v>
      </c>
      <c r="K55" s="787">
        <v>0</v>
      </c>
      <c r="L55" s="787">
        <v>0</v>
      </c>
      <c r="M55" s="787">
        <v>4400</v>
      </c>
      <c r="N55" s="787">
        <v>0</v>
      </c>
      <c r="O55" s="787">
        <v>0</v>
      </c>
      <c r="P55" s="787">
        <v>0</v>
      </c>
      <c r="Q55" s="787">
        <v>0</v>
      </c>
      <c r="R55" s="787">
        <v>7671.93</v>
      </c>
      <c r="S55" s="787">
        <v>0</v>
      </c>
      <c r="T55" s="787">
        <v>0</v>
      </c>
      <c r="U55" s="787">
        <v>10300.459999999999</v>
      </c>
      <c r="V55" s="787">
        <v>34116.120000000003</v>
      </c>
      <c r="W55" s="787">
        <v>0</v>
      </c>
      <c r="X55" s="787">
        <f t="shared" si="1"/>
        <v>56488.51</v>
      </c>
      <c r="Y55" s="787">
        <v>1449552.71</v>
      </c>
      <c r="Z55" s="787">
        <v>0</v>
      </c>
      <c r="AA55" s="787">
        <v>611022.03</v>
      </c>
      <c r="AB55" s="787">
        <v>3940.51</v>
      </c>
      <c r="AC55" s="787">
        <v>166923.43000000002</v>
      </c>
      <c r="AD55" s="787">
        <v>0</v>
      </c>
      <c r="AE55" s="787">
        <v>53932.33</v>
      </c>
      <c r="AF55" s="787">
        <v>7338</v>
      </c>
      <c r="AG55" s="787">
        <v>6762.78</v>
      </c>
      <c r="AH55" s="787">
        <v>0</v>
      </c>
      <c r="AI55" s="787">
        <v>0</v>
      </c>
      <c r="AJ55" s="787">
        <v>149448.19</v>
      </c>
      <c r="AK55" s="787">
        <v>0</v>
      </c>
      <c r="AL55" s="787">
        <v>68243.28</v>
      </c>
      <c r="AM55" s="787">
        <v>6332.54</v>
      </c>
      <c r="AN55" s="787">
        <v>26142.57</v>
      </c>
      <c r="AO55" s="787">
        <v>-8.000000000174623E-2</v>
      </c>
      <c r="AP55" s="787">
        <v>20244.37</v>
      </c>
      <c r="AQ55" s="787">
        <v>126906.28</v>
      </c>
      <c r="AR55" s="787">
        <v>0</v>
      </c>
      <c r="AS55" s="787">
        <v>0</v>
      </c>
      <c r="AT55" s="787">
        <v>0</v>
      </c>
      <c r="AU55" s="787">
        <v>0</v>
      </c>
      <c r="AV55" s="787">
        <v>31.78</v>
      </c>
      <c r="AW55" s="787">
        <v>0</v>
      </c>
      <c r="AX55" s="787">
        <v>0</v>
      </c>
      <c r="AY55" s="787">
        <v>0</v>
      </c>
      <c r="AZ55" s="787">
        <v>49825.95</v>
      </c>
      <c r="BA55" s="787">
        <v>1119.25</v>
      </c>
      <c r="BB55" s="787">
        <v>5396</v>
      </c>
      <c r="BC55" s="787">
        <v>136710.34</v>
      </c>
      <c r="BD55" s="787">
        <v>101905.09</v>
      </c>
      <c r="BE55" s="787">
        <v>14159.77</v>
      </c>
      <c r="BF55" s="787">
        <v>170729.34</v>
      </c>
      <c r="BG55" s="787">
        <v>0</v>
      </c>
      <c r="BH55" s="787">
        <v>0</v>
      </c>
      <c r="BI55" s="787">
        <v>0</v>
      </c>
      <c r="BJ55" s="787">
        <f t="shared" si="2"/>
        <v>3176666.459999999</v>
      </c>
      <c r="BK55" s="787"/>
      <c r="BL55" s="787"/>
      <c r="BM55" s="787"/>
      <c r="BN55" s="787">
        <v>0</v>
      </c>
      <c r="BO55" s="787">
        <v>0</v>
      </c>
      <c r="BP55" s="787">
        <v>0</v>
      </c>
      <c r="BQ55" s="787">
        <f t="shared" si="3"/>
        <v>0</v>
      </c>
      <c r="BR55" s="787">
        <v>0</v>
      </c>
      <c r="BS55" s="787">
        <v>0</v>
      </c>
      <c r="BT55" s="787">
        <v>0</v>
      </c>
      <c r="BU55" s="787">
        <v>0</v>
      </c>
      <c r="BV55" s="787">
        <v>0</v>
      </c>
      <c r="BW55" s="787">
        <v>0</v>
      </c>
      <c r="BX55" s="787">
        <v>0</v>
      </c>
      <c r="BY55" s="787">
        <v>0</v>
      </c>
      <c r="BZ55" s="787">
        <f t="shared" si="4"/>
        <v>0</v>
      </c>
      <c r="CA55" s="787"/>
      <c r="CB55" s="787"/>
      <c r="CC55" s="787"/>
      <c r="CD55" s="787">
        <v>0</v>
      </c>
      <c r="CE55" s="787">
        <v>0</v>
      </c>
      <c r="CF55" s="787">
        <f t="shared" si="5"/>
        <v>0</v>
      </c>
      <c r="CG55" s="787">
        <v>0</v>
      </c>
      <c r="CH55" s="787">
        <v>0</v>
      </c>
      <c r="CI55" s="787">
        <f t="shared" si="6"/>
        <v>0</v>
      </c>
      <c r="CJ55" s="787"/>
      <c r="CK55" s="787"/>
      <c r="CL55" s="787"/>
      <c r="CM55" s="787"/>
      <c r="CN55" s="787"/>
      <c r="CO55" s="787"/>
      <c r="CP55" s="787"/>
      <c r="CQ55" s="787"/>
      <c r="CR55" s="787"/>
      <c r="CS55" s="787"/>
      <c r="CT55" s="787"/>
      <c r="CU55" s="787"/>
      <c r="CV55" s="787"/>
      <c r="CW55" s="787"/>
      <c r="CX55" s="787"/>
      <c r="CY55" s="787"/>
      <c r="CZ55" s="787"/>
      <c r="DA55" s="787"/>
      <c r="DB55" s="787"/>
      <c r="DC55" s="787"/>
      <c r="DD55" s="787"/>
      <c r="DE55" s="787"/>
      <c r="DF55" s="787"/>
      <c r="DG55" s="787"/>
      <c r="DH55" s="787"/>
      <c r="DI55" s="787"/>
      <c r="DJ55" s="787"/>
      <c r="DK55" s="787"/>
      <c r="DL55" s="787"/>
      <c r="DM55" s="787"/>
      <c r="DN55" s="787"/>
      <c r="DO55" s="787"/>
      <c r="DP55" s="787"/>
      <c r="DQ55" s="787"/>
      <c r="DR55" s="787"/>
      <c r="DS55" s="787"/>
      <c r="DT55" s="787"/>
      <c r="DU55" s="787"/>
      <c r="DV55" s="787"/>
      <c r="DW55" s="787"/>
      <c r="DX55" s="787"/>
      <c r="DY55" s="787"/>
      <c r="DZ55" s="787"/>
      <c r="EA55" s="787"/>
    </row>
    <row r="56" spans="1:131" ht="15.6">
      <c r="A56" s="782" t="s">
        <v>1347</v>
      </c>
      <c r="B56" s="782" t="s">
        <v>625</v>
      </c>
      <c r="C56" s="783">
        <v>3321</v>
      </c>
      <c r="D56" s="784" t="s">
        <v>626</v>
      </c>
      <c r="E56" s="785" t="s">
        <v>521</v>
      </c>
      <c r="F56" s="786">
        <v>46094</v>
      </c>
      <c r="G56" s="785" t="s">
        <v>5</v>
      </c>
      <c r="H56" s="785" t="str">
        <f t="shared" si="0"/>
        <v>AX01T</v>
      </c>
      <c r="I56" s="787">
        <v>0</v>
      </c>
      <c r="J56" s="787">
        <v>0</v>
      </c>
      <c r="K56" s="787">
        <v>0</v>
      </c>
      <c r="L56" s="787">
        <v>0</v>
      </c>
      <c r="M56" s="787">
        <v>0</v>
      </c>
      <c r="N56" s="787">
        <v>0</v>
      </c>
      <c r="O56" s="787">
        <v>0</v>
      </c>
      <c r="P56" s="787">
        <v>0</v>
      </c>
      <c r="Q56" s="787">
        <v>15596.219999999998</v>
      </c>
      <c r="R56" s="787">
        <v>321.70999999999998</v>
      </c>
      <c r="S56" s="787">
        <v>0</v>
      </c>
      <c r="T56" s="787">
        <v>0</v>
      </c>
      <c r="U56" s="787">
        <v>5463.29</v>
      </c>
      <c r="V56" s="787">
        <v>23077.05</v>
      </c>
      <c r="W56" s="787">
        <v>0</v>
      </c>
      <c r="X56" s="787">
        <f t="shared" si="1"/>
        <v>44458.27</v>
      </c>
      <c r="Y56" s="787">
        <v>1138944.6100000001</v>
      </c>
      <c r="Z56" s="787">
        <v>0</v>
      </c>
      <c r="AA56" s="787">
        <v>436182.95</v>
      </c>
      <c r="AB56" s="787">
        <v>64336.480000000003</v>
      </c>
      <c r="AC56" s="787">
        <v>105800.18</v>
      </c>
      <c r="AD56" s="787">
        <v>0</v>
      </c>
      <c r="AE56" s="787">
        <v>28605.39</v>
      </c>
      <c r="AF56" s="787">
        <v>0</v>
      </c>
      <c r="AG56" s="787">
        <v>10125.1</v>
      </c>
      <c r="AH56" s="787">
        <v>0</v>
      </c>
      <c r="AI56" s="787">
        <v>0</v>
      </c>
      <c r="AJ56" s="787">
        <v>33250.36</v>
      </c>
      <c r="AK56" s="787">
        <v>10814.5</v>
      </c>
      <c r="AL56" s="787">
        <v>9299.2800000000007</v>
      </c>
      <c r="AM56" s="787">
        <v>5445.18</v>
      </c>
      <c r="AN56" s="787">
        <v>29409.9</v>
      </c>
      <c r="AO56" s="787">
        <v>312.99999999999955</v>
      </c>
      <c r="AP56" s="787">
        <v>31582.68</v>
      </c>
      <c r="AQ56" s="787">
        <v>114879.59</v>
      </c>
      <c r="AR56" s="787">
        <v>17029.71</v>
      </c>
      <c r="AS56" s="787">
        <v>9205</v>
      </c>
      <c r="AT56" s="787">
        <v>3687.8</v>
      </c>
      <c r="AU56" s="787">
        <v>9613.44</v>
      </c>
      <c r="AV56" s="787">
        <v>9354</v>
      </c>
      <c r="AW56" s="787">
        <v>2743.9</v>
      </c>
      <c r="AX56" s="787">
        <v>28117.9</v>
      </c>
      <c r="AY56" s="787">
        <v>0</v>
      </c>
      <c r="AZ56" s="787">
        <v>5989.5</v>
      </c>
      <c r="BA56" s="787">
        <v>6288.52</v>
      </c>
      <c r="BB56" s="787">
        <v>4622.5</v>
      </c>
      <c r="BC56" s="787">
        <v>174103.15</v>
      </c>
      <c r="BD56" s="787">
        <v>176809.45</v>
      </c>
      <c r="BE56" s="787">
        <v>43827.58</v>
      </c>
      <c r="BF56" s="787">
        <v>22964.769999999997</v>
      </c>
      <c r="BG56" s="787">
        <v>0</v>
      </c>
      <c r="BH56" s="787">
        <v>0</v>
      </c>
      <c r="BI56" s="787">
        <v>0</v>
      </c>
      <c r="BJ56" s="787">
        <f t="shared" si="2"/>
        <v>2533346.42</v>
      </c>
      <c r="BK56" s="787"/>
      <c r="BL56" s="787"/>
      <c r="BM56" s="787"/>
      <c r="BN56" s="787">
        <v>10256</v>
      </c>
      <c r="BO56" s="787">
        <v>0</v>
      </c>
      <c r="BP56" s="787">
        <v>0</v>
      </c>
      <c r="BQ56" s="787">
        <f t="shared" si="3"/>
        <v>10256</v>
      </c>
      <c r="BR56" s="787">
        <v>0</v>
      </c>
      <c r="BS56" s="787">
        <v>0</v>
      </c>
      <c r="BT56" s="787">
        <v>0</v>
      </c>
      <c r="BU56" s="787">
        <v>0</v>
      </c>
      <c r="BV56" s="787">
        <v>0</v>
      </c>
      <c r="BW56" s="787">
        <v>0</v>
      </c>
      <c r="BX56" s="787">
        <v>0</v>
      </c>
      <c r="BY56" s="787">
        <v>0</v>
      </c>
      <c r="BZ56" s="787">
        <f t="shared" si="4"/>
        <v>0</v>
      </c>
      <c r="CA56" s="787"/>
      <c r="CB56" s="787"/>
      <c r="CC56" s="787"/>
      <c r="CD56" s="787">
        <v>0</v>
      </c>
      <c r="CE56" s="787">
        <v>0</v>
      </c>
      <c r="CF56" s="787">
        <f t="shared" si="5"/>
        <v>0</v>
      </c>
      <c r="CG56" s="787">
        <v>0</v>
      </c>
      <c r="CH56" s="787">
        <v>0</v>
      </c>
      <c r="CI56" s="787">
        <f t="shared" si="6"/>
        <v>0</v>
      </c>
      <c r="CJ56" s="787"/>
      <c r="CK56" s="787"/>
      <c r="CL56" s="787"/>
      <c r="CM56" s="787"/>
      <c r="CN56" s="787"/>
      <c r="CO56" s="787"/>
      <c r="CP56" s="787"/>
      <c r="CQ56" s="787"/>
      <c r="CR56" s="787"/>
      <c r="CS56" s="787">
        <v>647140.32999999996</v>
      </c>
      <c r="CT56" s="787">
        <v>154120.91</v>
      </c>
      <c r="CU56" s="787">
        <v>0</v>
      </c>
      <c r="CV56" s="787">
        <v>493019.41999999993</v>
      </c>
      <c r="CW56" s="787">
        <v>0</v>
      </c>
      <c r="CX56" s="787">
        <v>8457.7900000000009</v>
      </c>
      <c r="CY56" s="787">
        <v>2231.71</v>
      </c>
      <c r="CZ56" s="787">
        <v>0</v>
      </c>
      <c r="DA56" s="787">
        <v>0</v>
      </c>
      <c r="DB56" s="787">
        <v>503708.91999999993</v>
      </c>
      <c r="DC56" s="787">
        <v>0</v>
      </c>
      <c r="DD56" s="787">
        <v>0</v>
      </c>
      <c r="DE56" s="787">
        <v>0</v>
      </c>
      <c r="DF56" s="787">
        <v>0</v>
      </c>
      <c r="DG56" s="787"/>
      <c r="DH56" s="787"/>
      <c r="DI56" s="787"/>
      <c r="DJ56" s="787">
        <v>0</v>
      </c>
      <c r="DK56" s="787">
        <v>0</v>
      </c>
      <c r="DL56" s="787">
        <v>0</v>
      </c>
      <c r="DM56" s="787">
        <v>0</v>
      </c>
      <c r="DN56" s="787">
        <v>0</v>
      </c>
      <c r="DO56" s="787">
        <v>0</v>
      </c>
      <c r="DP56" s="787">
        <v>-26592.15</v>
      </c>
      <c r="DQ56" s="787">
        <v>-47016.9</v>
      </c>
      <c r="DR56" s="787">
        <v>0</v>
      </c>
      <c r="DS56" s="787">
        <v>0</v>
      </c>
      <c r="DT56" s="787">
        <v>-73609.05</v>
      </c>
      <c r="DU56" s="787">
        <v>0</v>
      </c>
      <c r="DV56" s="787">
        <v>0</v>
      </c>
      <c r="DW56" s="787">
        <v>0</v>
      </c>
      <c r="DX56" s="787">
        <v>0</v>
      </c>
      <c r="DY56" s="787">
        <v>0</v>
      </c>
      <c r="DZ56" s="787">
        <v>-23090.46</v>
      </c>
      <c r="EA56" s="787">
        <v>-1.4625451993197203E-2</v>
      </c>
    </row>
    <row r="57" spans="1:131" ht="15.6">
      <c r="A57" s="782" t="s">
        <v>1348</v>
      </c>
      <c r="B57" s="782" t="s">
        <v>627</v>
      </c>
      <c r="C57" s="783">
        <v>1026</v>
      </c>
      <c r="D57" s="784" t="s">
        <v>628</v>
      </c>
      <c r="E57" s="785" t="s">
        <v>521</v>
      </c>
      <c r="F57" s="786">
        <v>46094</v>
      </c>
      <c r="G57" s="785" t="s">
        <v>5</v>
      </c>
      <c r="H57" s="785" t="str">
        <f t="shared" si="0"/>
        <v>AX01X</v>
      </c>
      <c r="I57" s="787">
        <v>0</v>
      </c>
      <c r="J57" s="787">
        <v>0</v>
      </c>
      <c r="K57" s="787">
        <v>1.8703601090237498E-3</v>
      </c>
      <c r="L57" s="787">
        <v>0</v>
      </c>
      <c r="M57" s="787">
        <v>0</v>
      </c>
      <c r="N57" s="787">
        <v>0</v>
      </c>
      <c r="O57" s="787">
        <v>21500</v>
      </c>
      <c r="P57" s="787">
        <v>19271.29</v>
      </c>
      <c r="Q57" s="787">
        <v>56137.979999999996</v>
      </c>
      <c r="R57" s="787">
        <v>0</v>
      </c>
      <c r="S57" s="787">
        <v>0</v>
      </c>
      <c r="T57" s="787">
        <v>0</v>
      </c>
      <c r="U57" s="787">
        <v>11764.52</v>
      </c>
      <c r="V57" s="787">
        <v>0</v>
      </c>
      <c r="W57" s="787">
        <v>0</v>
      </c>
      <c r="X57" s="787">
        <f t="shared" si="1"/>
        <v>108673.7918703601</v>
      </c>
      <c r="Y57" s="787">
        <v>252658.77000000002</v>
      </c>
      <c r="Z57" s="787">
        <v>0</v>
      </c>
      <c r="AA57" s="787">
        <v>287253.89999999997</v>
      </c>
      <c r="AB57" s="787">
        <v>24943.13</v>
      </c>
      <c r="AC57" s="787">
        <v>73648.87000000001</v>
      </c>
      <c r="AD57" s="787">
        <v>0</v>
      </c>
      <c r="AE57" s="787">
        <v>31813.18</v>
      </c>
      <c r="AF57" s="787">
        <v>1191.0999999999999</v>
      </c>
      <c r="AG57" s="787">
        <v>0</v>
      </c>
      <c r="AH57" s="787">
        <v>0</v>
      </c>
      <c r="AI57" s="787">
        <v>0</v>
      </c>
      <c r="AJ57" s="787">
        <v>7365</v>
      </c>
      <c r="AK57" s="787">
        <v>0</v>
      </c>
      <c r="AL57" s="787">
        <v>2954.6</v>
      </c>
      <c r="AM57" s="787">
        <v>4961.5</v>
      </c>
      <c r="AN57" s="787">
        <v>12697.98</v>
      </c>
      <c r="AO57" s="787">
        <v>0</v>
      </c>
      <c r="AP57" s="787">
        <v>58598.13</v>
      </c>
      <c r="AQ57" s="787">
        <v>11060.14</v>
      </c>
      <c r="AR57" s="787">
        <v>0</v>
      </c>
      <c r="AS57" s="787">
        <v>0</v>
      </c>
      <c r="AT57" s="787">
        <v>0</v>
      </c>
      <c r="AU57" s="787">
        <v>0</v>
      </c>
      <c r="AV57" s="787">
        <v>0</v>
      </c>
      <c r="AW57" s="787">
        <v>0</v>
      </c>
      <c r="AX57" s="787">
        <v>0</v>
      </c>
      <c r="AY57" s="787">
        <v>0</v>
      </c>
      <c r="AZ57" s="787">
        <v>13970.94</v>
      </c>
      <c r="BA57" s="787">
        <v>0</v>
      </c>
      <c r="BB57" s="787">
        <v>0</v>
      </c>
      <c r="BC57" s="787">
        <v>12669.12</v>
      </c>
      <c r="BD57" s="787">
        <v>50344.13</v>
      </c>
      <c r="BE57" s="787">
        <v>0</v>
      </c>
      <c r="BF57" s="787">
        <v>51309.24</v>
      </c>
      <c r="BG57" s="787">
        <v>0</v>
      </c>
      <c r="BH57" s="787">
        <v>0</v>
      </c>
      <c r="BI57" s="787">
        <v>0</v>
      </c>
      <c r="BJ57" s="787">
        <f t="shared" si="2"/>
        <v>897439.72999999986</v>
      </c>
      <c r="BK57" s="787"/>
      <c r="BL57" s="787"/>
      <c r="BM57" s="787"/>
      <c r="BN57" s="787">
        <v>0</v>
      </c>
      <c r="BO57" s="787">
        <v>0</v>
      </c>
      <c r="BP57" s="787">
        <v>0</v>
      </c>
      <c r="BQ57" s="787">
        <f t="shared" si="3"/>
        <v>0</v>
      </c>
      <c r="BR57" s="787">
        <v>0</v>
      </c>
      <c r="BS57" s="787">
        <v>0</v>
      </c>
      <c r="BT57" s="787">
        <v>0</v>
      </c>
      <c r="BU57" s="787">
        <v>0</v>
      </c>
      <c r="BV57" s="787">
        <v>0</v>
      </c>
      <c r="BW57" s="787">
        <v>0</v>
      </c>
      <c r="BX57" s="787">
        <v>0</v>
      </c>
      <c r="BY57" s="787">
        <v>0</v>
      </c>
      <c r="BZ57" s="787">
        <f t="shared" si="4"/>
        <v>0</v>
      </c>
      <c r="CA57" s="787"/>
      <c r="CB57" s="787"/>
      <c r="CC57" s="787"/>
      <c r="CD57" s="787">
        <v>0</v>
      </c>
      <c r="CE57" s="787">
        <v>0</v>
      </c>
      <c r="CF57" s="787">
        <f t="shared" si="5"/>
        <v>0</v>
      </c>
      <c r="CG57" s="787">
        <v>0</v>
      </c>
      <c r="CH57" s="787">
        <v>0</v>
      </c>
      <c r="CI57" s="787">
        <f t="shared" si="6"/>
        <v>0</v>
      </c>
      <c r="CJ57" s="787"/>
      <c r="CK57" s="787"/>
      <c r="CL57" s="787"/>
      <c r="CM57" s="787"/>
      <c r="CN57" s="787"/>
      <c r="CO57" s="787"/>
      <c r="CP57" s="787"/>
      <c r="CQ57" s="787"/>
      <c r="CR57" s="787"/>
      <c r="CS57" s="787"/>
      <c r="CT57" s="787"/>
      <c r="CU57" s="787"/>
      <c r="CV57" s="787"/>
      <c r="CW57" s="787"/>
      <c r="CX57" s="787"/>
      <c r="CY57" s="787"/>
      <c r="CZ57" s="787"/>
      <c r="DA57" s="787"/>
      <c r="DB57" s="787"/>
      <c r="DC57" s="787"/>
      <c r="DD57" s="787"/>
      <c r="DE57" s="787"/>
      <c r="DF57" s="787"/>
      <c r="DG57" s="787"/>
      <c r="DH57" s="787"/>
      <c r="DI57" s="787"/>
      <c r="DJ57" s="787"/>
      <c r="DK57" s="787"/>
      <c r="DL57" s="787"/>
      <c r="DM57" s="787"/>
      <c r="DN57" s="787"/>
      <c r="DO57" s="787"/>
      <c r="DP57" s="787"/>
      <c r="DQ57" s="787"/>
      <c r="DR57" s="787"/>
      <c r="DS57" s="787"/>
      <c r="DT57" s="787"/>
      <c r="DU57" s="787"/>
      <c r="DV57" s="787"/>
      <c r="DW57" s="787"/>
      <c r="DX57" s="787"/>
      <c r="DY57" s="787"/>
      <c r="DZ57" s="787"/>
      <c r="EA57" s="787"/>
    </row>
    <row r="58" spans="1:131" ht="15.6">
      <c r="A58" s="782" t="s">
        <v>1349</v>
      </c>
      <c r="B58" s="782" t="s">
        <v>629</v>
      </c>
      <c r="C58" s="783">
        <v>2294</v>
      </c>
      <c r="D58" s="784" t="s">
        <v>630</v>
      </c>
      <c r="E58" s="785" t="s">
        <v>521</v>
      </c>
      <c r="F58" s="786">
        <v>46081</v>
      </c>
      <c r="G58" s="785" t="s">
        <v>5</v>
      </c>
      <c r="H58" s="785" t="str">
        <f t="shared" si="0"/>
        <v>AX01W</v>
      </c>
      <c r="I58" s="787">
        <v>0</v>
      </c>
      <c r="J58" s="787">
        <v>0</v>
      </c>
      <c r="K58" s="787">
        <v>0</v>
      </c>
      <c r="L58" s="787">
        <v>0</v>
      </c>
      <c r="M58" s="787">
        <v>700</v>
      </c>
      <c r="N58" s="787">
        <v>0</v>
      </c>
      <c r="O58" s="787">
        <v>3300</v>
      </c>
      <c r="P58" s="787">
        <v>0</v>
      </c>
      <c r="Q58" s="787">
        <v>1038</v>
      </c>
      <c r="R58" s="787">
        <v>16066.23</v>
      </c>
      <c r="S58" s="787">
        <v>0</v>
      </c>
      <c r="T58" s="787">
        <v>0</v>
      </c>
      <c r="U58" s="787">
        <v>11002.76</v>
      </c>
      <c r="V58" s="787">
        <v>13985</v>
      </c>
      <c r="W58" s="787">
        <v>0</v>
      </c>
      <c r="X58" s="787">
        <f t="shared" si="1"/>
        <v>46091.99</v>
      </c>
      <c r="Y58" s="787">
        <v>1165197</v>
      </c>
      <c r="Z58" s="787">
        <v>0</v>
      </c>
      <c r="AA58" s="787">
        <v>390775.94</v>
      </c>
      <c r="AB58" s="787">
        <v>131985.9</v>
      </c>
      <c r="AC58" s="787">
        <v>147700.04999999999</v>
      </c>
      <c r="AD58" s="787">
        <v>0</v>
      </c>
      <c r="AE58" s="787">
        <v>64508</v>
      </c>
      <c r="AF58" s="787">
        <v>11092</v>
      </c>
      <c r="AG58" s="787">
        <v>6094</v>
      </c>
      <c r="AH58" s="787">
        <v>0</v>
      </c>
      <c r="AI58" s="787">
        <v>0</v>
      </c>
      <c r="AJ58" s="787">
        <v>42230</v>
      </c>
      <c r="AK58" s="787">
        <v>1712</v>
      </c>
      <c r="AL58" s="787">
        <v>5033</v>
      </c>
      <c r="AM58" s="787">
        <v>7046</v>
      </c>
      <c r="AN58" s="787">
        <v>51865.707000000002</v>
      </c>
      <c r="AO58" s="787">
        <v>0</v>
      </c>
      <c r="AP58" s="787">
        <v>69302</v>
      </c>
      <c r="AQ58" s="787">
        <v>71761.5</v>
      </c>
      <c r="AR58" s="787">
        <v>14697</v>
      </c>
      <c r="AS58" s="787">
        <v>0</v>
      </c>
      <c r="AT58" s="787">
        <v>4226</v>
      </c>
      <c r="AU58" s="787">
        <v>35861</v>
      </c>
      <c r="AV58" s="787">
        <v>9622</v>
      </c>
      <c r="AW58" s="787">
        <v>0</v>
      </c>
      <c r="AX58" s="787">
        <v>16439</v>
      </c>
      <c r="AY58" s="787">
        <v>0</v>
      </c>
      <c r="AZ58" s="787">
        <v>28734</v>
      </c>
      <c r="BA58" s="787">
        <v>1643</v>
      </c>
      <c r="BB58" s="787">
        <v>2992</v>
      </c>
      <c r="BC58" s="787">
        <v>149221.69</v>
      </c>
      <c r="BD58" s="787">
        <v>26123.13</v>
      </c>
      <c r="BE58" s="787">
        <v>528816.80000000005</v>
      </c>
      <c r="BF58" s="787">
        <v>23716.179999999935</v>
      </c>
      <c r="BG58" s="787">
        <v>0</v>
      </c>
      <c r="BH58" s="787">
        <v>0</v>
      </c>
      <c r="BI58" s="787">
        <v>346530.82</v>
      </c>
      <c r="BJ58" s="787">
        <f t="shared" si="2"/>
        <v>3354925.7169999997</v>
      </c>
      <c r="BK58" s="787"/>
      <c r="BL58" s="787"/>
      <c r="BM58" s="787"/>
      <c r="BN58" s="787">
        <v>0</v>
      </c>
      <c r="BO58" s="787">
        <v>0</v>
      </c>
      <c r="BP58" s="787">
        <v>346530.82</v>
      </c>
      <c r="BQ58" s="787">
        <f t="shared" si="3"/>
        <v>346530.82</v>
      </c>
      <c r="BR58" s="787">
        <v>0</v>
      </c>
      <c r="BS58" s="787">
        <v>346531</v>
      </c>
      <c r="BT58" s="787">
        <v>7085</v>
      </c>
      <c r="BU58" s="787">
        <v>0</v>
      </c>
      <c r="BV58" s="787">
        <v>0</v>
      </c>
      <c r="BW58" s="787">
        <v>0</v>
      </c>
      <c r="BX58" s="787">
        <v>5515</v>
      </c>
      <c r="BY58" s="787">
        <v>0</v>
      </c>
      <c r="BZ58" s="787">
        <f t="shared" si="4"/>
        <v>359131</v>
      </c>
      <c r="CA58" s="787"/>
      <c r="CB58" s="787"/>
      <c r="CC58" s="787"/>
      <c r="CD58" s="787">
        <v>0</v>
      </c>
      <c r="CE58" s="787">
        <v>0</v>
      </c>
      <c r="CF58" s="787">
        <f t="shared" si="5"/>
        <v>0</v>
      </c>
      <c r="CG58" s="787">
        <v>0</v>
      </c>
      <c r="CH58" s="787">
        <v>0</v>
      </c>
      <c r="CI58" s="787">
        <f t="shared" si="6"/>
        <v>0</v>
      </c>
      <c r="CJ58" s="787"/>
      <c r="CK58" s="787"/>
      <c r="CL58" s="787"/>
      <c r="CM58" s="787"/>
      <c r="CN58" s="787"/>
      <c r="CO58" s="787"/>
      <c r="CP58" s="787"/>
      <c r="CQ58" s="787"/>
      <c r="CR58" s="787"/>
      <c r="CS58" s="787">
        <v>583241.12</v>
      </c>
      <c r="CT58" s="787">
        <v>118518.05</v>
      </c>
      <c r="CU58" s="787">
        <v>660</v>
      </c>
      <c r="CV58" s="787">
        <v>465383.07</v>
      </c>
      <c r="CW58" s="787">
        <v>500</v>
      </c>
      <c r="CX58" s="787">
        <v>26462.6</v>
      </c>
      <c r="CY58" s="787">
        <v>4508.7700000000004</v>
      </c>
      <c r="CZ58" s="787">
        <v>6943.08</v>
      </c>
      <c r="DA58" s="787">
        <v>-1312.4500000000007</v>
      </c>
      <c r="DB58" s="787">
        <v>502485.07</v>
      </c>
      <c r="DC58" s="787">
        <v>0</v>
      </c>
      <c r="DD58" s="787">
        <v>0</v>
      </c>
      <c r="DE58" s="787">
        <v>279527</v>
      </c>
      <c r="DF58" s="787">
        <v>279527</v>
      </c>
      <c r="DG58" s="787"/>
      <c r="DH58" s="787"/>
      <c r="DI58" s="787"/>
      <c r="DJ58" s="787">
        <v>0</v>
      </c>
      <c r="DK58" s="787">
        <v>279527</v>
      </c>
      <c r="DL58" s="787">
        <v>2052.31</v>
      </c>
      <c r="DM58" s="787">
        <v>3300</v>
      </c>
      <c r="DN58" s="787">
        <v>0</v>
      </c>
      <c r="DO58" s="787">
        <v>0</v>
      </c>
      <c r="DP58" s="787">
        <v>-243753.14</v>
      </c>
      <c r="DQ58" s="787">
        <v>-39081.69</v>
      </c>
      <c r="DR58" s="787">
        <v>0</v>
      </c>
      <c r="DS58" s="787">
        <v>0</v>
      </c>
      <c r="DT58" s="787">
        <v>-277482.52</v>
      </c>
      <c r="DU58" s="787">
        <v>0</v>
      </c>
      <c r="DV58" s="787">
        <v>0</v>
      </c>
      <c r="DW58" s="787">
        <v>0</v>
      </c>
      <c r="DX58" s="787">
        <v>0</v>
      </c>
      <c r="DY58" s="787">
        <v>0</v>
      </c>
      <c r="DZ58" s="787">
        <v>-35038</v>
      </c>
      <c r="EA58" s="787">
        <v>0.25513333454728127</v>
      </c>
    </row>
    <row r="59" spans="1:131" ht="15.6">
      <c r="A59" s="782" t="s">
        <v>1350</v>
      </c>
      <c r="B59" s="782" t="s">
        <v>631</v>
      </c>
      <c r="C59" s="783">
        <v>2486</v>
      </c>
      <c r="D59" s="784" t="s">
        <v>632</v>
      </c>
      <c r="E59" s="785" t="s">
        <v>521</v>
      </c>
      <c r="F59" s="786" t="s">
        <v>1351</v>
      </c>
      <c r="G59" s="785" t="s">
        <v>5</v>
      </c>
      <c r="H59" s="785" t="str">
        <f t="shared" si="0"/>
        <v>AX01Z</v>
      </c>
      <c r="I59" s="787">
        <v>0</v>
      </c>
      <c r="J59" s="787">
        <v>0</v>
      </c>
      <c r="K59" s="787">
        <v>0</v>
      </c>
      <c r="L59" s="787">
        <v>0</v>
      </c>
      <c r="M59" s="787">
        <v>8600</v>
      </c>
      <c r="N59" s="787">
        <v>0</v>
      </c>
      <c r="O59" s="787">
        <v>0</v>
      </c>
      <c r="P59" s="787">
        <v>0</v>
      </c>
      <c r="Q59" s="787">
        <v>4418.33</v>
      </c>
      <c r="R59" s="787">
        <v>4790.7</v>
      </c>
      <c r="S59" s="787">
        <v>0</v>
      </c>
      <c r="T59" s="787">
        <v>0</v>
      </c>
      <c r="U59" s="787">
        <v>1101.5999999999999</v>
      </c>
      <c r="V59" s="787">
        <v>3354.2</v>
      </c>
      <c r="W59" s="787">
        <v>0</v>
      </c>
      <c r="X59" s="787">
        <f t="shared" si="1"/>
        <v>22264.829999999998</v>
      </c>
      <c r="Y59" s="787">
        <v>753992.31</v>
      </c>
      <c r="Z59" s="787">
        <v>0</v>
      </c>
      <c r="AA59" s="787">
        <v>438429.56</v>
      </c>
      <c r="AB59" s="787">
        <v>82258.06</v>
      </c>
      <c r="AC59" s="787">
        <v>109779.4</v>
      </c>
      <c r="AD59" s="787">
        <v>88957.13</v>
      </c>
      <c r="AE59" s="787">
        <v>56639.76</v>
      </c>
      <c r="AF59" s="787">
        <v>4083.4</v>
      </c>
      <c r="AG59" s="787">
        <v>1852.9</v>
      </c>
      <c r="AH59" s="787">
        <v>0</v>
      </c>
      <c r="AI59" s="787">
        <v>0</v>
      </c>
      <c r="AJ59" s="787">
        <v>17200.43</v>
      </c>
      <c r="AK59" s="787">
        <v>4111.97</v>
      </c>
      <c r="AL59" s="787">
        <v>3800.66</v>
      </c>
      <c r="AM59" s="787">
        <v>7455.65</v>
      </c>
      <c r="AN59" s="787">
        <v>31674.83</v>
      </c>
      <c r="AO59" s="787">
        <v>0</v>
      </c>
      <c r="AP59" s="787">
        <v>9724.1</v>
      </c>
      <c r="AQ59" s="787">
        <v>57628.39</v>
      </c>
      <c r="AR59" s="787">
        <v>0</v>
      </c>
      <c r="AS59" s="787">
        <v>0</v>
      </c>
      <c r="AT59" s="787">
        <v>0</v>
      </c>
      <c r="AU59" s="787">
        <v>0</v>
      </c>
      <c r="AV59" s="787">
        <v>0</v>
      </c>
      <c r="AW59" s="787">
        <v>0</v>
      </c>
      <c r="AX59" s="787">
        <v>0</v>
      </c>
      <c r="AY59" s="787">
        <v>0</v>
      </c>
      <c r="AZ59" s="787">
        <v>9360.0499999999993</v>
      </c>
      <c r="BA59" s="787">
        <v>0</v>
      </c>
      <c r="BB59" s="787">
        <v>4356</v>
      </c>
      <c r="BC59" s="787">
        <v>33446.61</v>
      </c>
      <c r="BD59" s="787">
        <v>90666.65</v>
      </c>
      <c r="BE59" s="787">
        <v>2220.7200000000003</v>
      </c>
      <c r="BF59" s="787">
        <v>77033.899999999994</v>
      </c>
      <c r="BG59" s="787">
        <v>0</v>
      </c>
      <c r="BH59" s="787">
        <v>0</v>
      </c>
      <c r="BI59" s="787">
        <v>0</v>
      </c>
      <c r="BJ59" s="787">
        <f t="shared" si="2"/>
        <v>1884672.4799999995</v>
      </c>
      <c r="BK59" s="787"/>
      <c r="BL59" s="787"/>
      <c r="BM59" s="787"/>
      <c r="BN59" s="787">
        <v>0</v>
      </c>
      <c r="BO59" s="787">
        <v>0</v>
      </c>
      <c r="BP59" s="787">
        <v>0</v>
      </c>
      <c r="BQ59" s="787">
        <f t="shared" si="3"/>
        <v>0</v>
      </c>
      <c r="BR59" s="787">
        <v>0</v>
      </c>
      <c r="BS59" s="787">
        <v>0</v>
      </c>
      <c r="BT59" s="787">
        <v>0</v>
      </c>
      <c r="BU59" s="787">
        <v>0</v>
      </c>
      <c r="BV59" s="787">
        <v>0</v>
      </c>
      <c r="BW59" s="787">
        <v>0</v>
      </c>
      <c r="BX59" s="787">
        <v>0</v>
      </c>
      <c r="BY59" s="787">
        <v>0</v>
      </c>
      <c r="BZ59" s="787">
        <f t="shared" si="4"/>
        <v>0</v>
      </c>
      <c r="CA59" s="787"/>
      <c r="CB59" s="787"/>
      <c r="CC59" s="787"/>
      <c r="CD59" s="787">
        <v>0</v>
      </c>
      <c r="CE59" s="787">
        <v>0</v>
      </c>
      <c r="CF59" s="787">
        <f t="shared" si="5"/>
        <v>0</v>
      </c>
      <c r="CG59" s="787">
        <v>0</v>
      </c>
      <c r="CH59" s="787">
        <v>0</v>
      </c>
      <c r="CI59" s="787">
        <f t="shared" si="6"/>
        <v>0</v>
      </c>
      <c r="CJ59" s="787"/>
      <c r="CK59" s="787"/>
      <c r="CL59" s="787"/>
      <c r="CM59" s="787"/>
      <c r="CN59" s="787"/>
      <c r="CO59" s="787"/>
      <c r="CP59" s="787"/>
      <c r="CQ59" s="787"/>
      <c r="CR59" s="787"/>
      <c r="CS59" s="787">
        <v>369331.24</v>
      </c>
      <c r="CT59" s="787">
        <v>0</v>
      </c>
      <c r="CU59" s="787">
        <v>0</v>
      </c>
      <c r="CV59" s="787">
        <v>369331.24</v>
      </c>
      <c r="CW59" s="787">
        <v>0</v>
      </c>
      <c r="CX59" s="787">
        <v>4130.83</v>
      </c>
      <c r="CY59" s="787">
        <v>4417.46</v>
      </c>
      <c r="CZ59" s="787">
        <v>3725.04</v>
      </c>
      <c r="DA59" s="787">
        <v>0</v>
      </c>
      <c r="DB59" s="787">
        <v>381604.57</v>
      </c>
      <c r="DC59" s="787">
        <v>0</v>
      </c>
      <c r="DD59" s="787">
        <v>0</v>
      </c>
      <c r="DE59" s="787">
        <v>0</v>
      </c>
      <c r="DF59" s="787">
        <v>0</v>
      </c>
      <c r="DG59" s="787"/>
      <c r="DH59" s="787"/>
      <c r="DI59" s="787"/>
      <c r="DJ59" s="787">
        <v>0</v>
      </c>
      <c r="DK59" s="787">
        <v>0</v>
      </c>
      <c r="DL59" s="787">
        <v>0</v>
      </c>
      <c r="DM59" s="787">
        <v>0</v>
      </c>
      <c r="DN59" s="787">
        <v>0</v>
      </c>
      <c r="DO59" s="787">
        <v>0</v>
      </c>
      <c r="DP59" s="787">
        <v>-11075</v>
      </c>
      <c r="DQ59" s="787">
        <v>0</v>
      </c>
      <c r="DR59" s="787">
        <v>0</v>
      </c>
      <c r="DS59" s="787">
        <v>0</v>
      </c>
      <c r="DT59" s="787">
        <v>-11075</v>
      </c>
      <c r="DU59" s="787">
        <v>0</v>
      </c>
      <c r="DV59" s="787">
        <v>0</v>
      </c>
      <c r="DW59" s="787">
        <v>0</v>
      </c>
      <c r="DX59" s="787">
        <v>0</v>
      </c>
      <c r="DY59" s="787">
        <v>0</v>
      </c>
      <c r="DZ59" s="787">
        <v>-156973.33000000002</v>
      </c>
      <c r="EA59" s="787">
        <v>-2.232616109540686E-2</v>
      </c>
    </row>
    <row r="60" spans="1:131" ht="15.6">
      <c r="A60" s="782" t="s">
        <v>1352</v>
      </c>
      <c r="B60" s="782" t="s">
        <v>633</v>
      </c>
      <c r="C60" s="783">
        <v>3435</v>
      </c>
      <c r="D60" s="784" t="s">
        <v>634</v>
      </c>
      <c r="E60" s="785" t="s">
        <v>521</v>
      </c>
      <c r="F60" s="786">
        <v>46094</v>
      </c>
      <c r="G60" s="785" t="s">
        <v>5</v>
      </c>
      <c r="H60" s="785" t="str">
        <f t="shared" si="0"/>
        <v>AX020</v>
      </c>
      <c r="I60" s="787">
        <v>0</v>
      </c>
      <c r="J60" s="787">
        <v>0</v>
      </c>
      <c r="K60" s="787">
        <v>16947</v>
      </c>
      <c r="L60" s="787">
        <v>0</v>
      </c>
      <c r="M60" s="787">
        <v>8600</v>
      </c>
      <c r="N60" s="787">
        <v>0</v>
      </c>
      <c r="O60" s="787">
        <v>21479</v>
      </c>
      <c r="P60" s="787">
        <v>85336.12</v>
      </c>
      <c r="Q60" s="787">
        <v>229648</v>
      </c>
      <c r="R60" s="787">
        <v>16864</v>
      </c>
      <c r="S60" s="787">
        <v>0</v>
      </c>
      <c r="T60" s="787">
        <v>0</v>
      </c>
      <c r="U60" s="787">
        <v>30473</v>
      </c>
      <c r="V60" s="787">
        <v>0</v>
      </c>
      <c r="W60" s="787">
        <v>0</v>
      </c>
      <c r="X60" s="787">
        <f t="shared" si="1"/>
        <v>409347.12</v>
      </c>
      <c r="Y60" s="787">
        <v>1401290</v>
      </c>
      <c r="Z60" s="787">
        <v>0</v>
      </c>
      <c r="AA60" s="787">
        <v>417840</v>
      </c>
      <c r="AB60" s="787">
        <v>103892</v>
      </c>
      <c r="AC60" s="787">
        <v>149858</v>
      </c>
      <c r="AD60" s="787">
        <v>0</v>
      </c>
      <c r="AE60" s="787">
        <v>77810</v>
      </c>
      <c r="AF60" s="787">
        <v>1223</v>
      </c>
      <c r="AG60" s="787">
        <v>3274</v>
      </c>
      <c r="AH60" s="787">
        <v>0</v>
      </c>
      <c r="AI60" s="787">
        <v>0</v>
      </c>
      <c r="AJ60" s="787">
        <v>6429</v>
      </c>
      <c r="AK60" s="787">
        <v>3721</v>
      </c>
      <c r="AL60" s="787">
        <v>7127</v>
      </c>
      <c r="AM60" s="787">
        <v>14514.46</v>
      </c>
      <c r="AN60" s="787">
        <v>45386</v>
      </c>
      <c r="AO60" s="787">
        <v>0</v>
      </c>
      <c r="AP60" s="787">
        <v>42862.38</v>
      </c>
      <c r="AQ60" s="787">
        <v>77829.08</v>
      </c>
      <c r="AR60" s="787">
        <v>4170</v>
      </c>
      <c r="AS60" s="787">
        <v>0</v>
      </c>
      <c r="AT60" s="787">
        <v>1470</v>
      </c>
      <c r="AU60" s="787">
        <v>21645</v>
      </c>
      <c r="AV60" s="787">
        <v>0</v>
      </c>
      <c r="AW60" s="787">
        <v>0</v>
      </c>
      <c r="AX60" s="787">
        <v>0</v>
      </c>
      <c r="AY60" s="787">
        <v>0</v>
      </c>
      <c r="AZ60" s="787">
        <v>28713</v>
      </c>
      <c r="BA60" s="787">
        <v>781</v>
      </c>
      <c r="BB60" s="787">
        <v>0</v>
      </c>
      <c r="BC60" s="787">
        <v>265493.51</v>
      </c>
      <c r="BD60" s="787">
        <v>21686</v>
      </c>
      <c r="BE60" s="787">
        <v>105305</v>
      </c>
      <c r="BF60" s="787">
        <v>106941</v>
      </c>
      <c r="BG60" s="787">
        <v>0</v>
      </c>
      <c r="BH60" s="787">
        <v>0</v>
      </c>
      <c r="BI60" s="787">
        <v>0</v>
      </c>
      <c r="BJ60" s="787">
        <f t="shared" si="2"/>
        <v>2909260.4299999997</v>
      </c>
      <c r="BK60" s="787"/>
      <c r="BL60" s="787"/>
      <c r="BM60" s="787"/>
      <c r="BN60" s="787">
        <v>0</v>
      </c>
      <c r="BO60" s="787">
        <v>0</v>
      </c>
      <c r="BP60" s="787">
        <v>0</v>
      </c>
      <c r="BQ60" s="787">
        <f t="shared" si="3"/>
        <v>0</v>
      </c>
      <c r="BR60" s="787">
        <v>0</v>
      </c>
      <c r="BS60" s="787">
        <v>11951</v>
      </c>
      <c r="BT60" s="787">
        <v>0</v>
      </c>
      <c r="BU60" s="787">
        <v>0</v>
      </c>
      <c r="BV60" s="787">
        <v>0</v>
      </c>
      <c r="BW60" s="787">
        <v>785</v>
      </c>
      <c r="BX60" s="787">
        <v>1888</v>
      </c>
      <c r="BY60" s="787">
        <v>0</v>
      </c>
      <c r="BZ60" s="787">
        <f t="shared" si="4"/>
        <v>14624</v>
      </c>
      <c r="CA60" s="787"/>
      <c r="CB60" s="787"/>
      <c r="CC60" s="787"/>
      <c r="CD60" s="787">
        <v>0</v>
      </c>
      <c r="CE60" s="787">
        <v>0</v>
      </c>
      <c r="CF60" s="787">
        <f t="shared" si="5"/>
        <v>0</v>
      </c>
      <c r="CG60" s="787">
        <v>0</v>
      </c>
      <c r="CH60" s="787">
        <v>0</v>
      </c>
      <c r="CI60" s="787">
        <f t="shared" si="6"/>
        <v>0</v>
      </c>
      <c r="CJ60" s="787"/>
      <c r="CK60" s="787"/>
      <c r="CL60" s="787"/>
      <c r="CM60" s="787"/>
      <c r="CN60" s="787"/>
      <c r="CO60" s="787"/>
      <c r="CP60" s="787"/>
      <c r="CQ60" s="787"/>
      <c r="CR60" s="787"/>
      <c r="CS60" s="787"/>
      <c r="CT60" s="787"/>
      <c r="CU60" s="787"/>
      <c r="CV60" s="787"/>
      <c r="CW60" s="787"/>
      <c r="CX60" s="787"/>
      <c r="CY60" s="787"/>
      <c r="CZ60" s="787"/>
      <c r="DA60" s="787"/>
      <c r="DB60" s="787"/>
      <c r="DC60" s="787"/>
      <c r="DD60" s="787"/>
      <c r="DE60" s="787"/>
      <c r="DF60" s="787"/>
      <c r="DG60" s="787"/>
      <c r="DH60" s="787"/>
      <c r="DI60" s="787"/>
      <c r="DJ60" s="787"/>
      <c r="DK60" s="787"/>
      <c r="DL60" s="787"/>
      <c r="DM60" s="787"/>
      <c r="DN60" s="787"/>
      <c r="DO60" s="787"/>
      <c r="DP60" s="787"/>
      <c r="DQ60" s="787"/>
      <c r="DR60" s="787"/>
      <c r="DS60" s="787"/>
      <c r="DT60" s="787"/>
      <c r="DU60" s="787"/>
      <c r="DV60" s="787"/>
      <c r="DW60" s="787"/>
      <c r="DX60" s="787"/>
      <c r="DY60" s="787"/>
      <c r="DZ60" s="787"/>
      <c r="EA60" s="787"/>
    </row>
    <row r="61" spans="1:131" ht="15.6">
      <c r="A61" s="782" t="s">
        <v>1353</v>
      </c>
      <c r="B61" s="782" t="s">
        <v>635</v>
      </c>
      <c r="C61" s="783">
        <v>7050</v>
      </c>
      <c r="D61" s="784" t="s">
        <v>636</v>
      </c>
      <c r="E61" s="785" t="s">
        <v>521</v>
      </c>
      <c r="F61" s="786">
        <v>46094</v>
      </c>
      <c r="G61" s="785" t="s">
        <v>5</v>
      </c>
      <c r="H61" s="785" t="str">
        <f t="shared" si="0"/>
        <v>AX021</v>
      </c>
      <c r="I61" s="787">
        <v>0</v>
      </c>
      <c r="J61" s="787">
        <v>0</v>
      </c>
      <c r="K61" s="787">
        <v>0</v>
      </c>
      <c r="L61" s="787">
        <v>0</v>
      </c>
      <c r="M61" s="787">
        <v>0</v>
      </c>
      <c r="N61" s="787">
        <v>0</v>
      </c>
      <c r="O61" s="787">
        <v>0</v>
      </c>
      <c r="P61" s="787">
        <v>0</v>
      </c>
      <c r="Q61" s="787">
        <v>55140.34</v>
      </c>
      <c r="R61" s="787">
        <v>11660.89</v>
      </c>
      <c r="S61" s="787">
        <v>0</v>
      </c>
      <c r="T61" s="787">
        <v>0</v>
      </c>
      <c r="U61" s="787">
        <v>445</v>
      </c>
      <c r="V61" s="787">
        <v>0</v>
      </c>
      <c r="W61" s="787">
        <v>0</v>
      </c>
      <c r="X61" s="787">
        <f t="shared" si="1"/>
        <v>67246.23</v>
      </c>
      <c r="Y61" s="787">
        <v>1268363.06</v>
      </c>
      <c r="Z61" s="787">
        <v>0</v>
      </c>
      <c r="AA61" s="787">
        <v>1215480.6200000001</v>
      </c>
      <c r="AB61" s="787">
        <v>0</v>
      </c>
      <c r="AC61" s="787">
        <v>211854.13</v>
      </c>
      <c r="AD61" s="787">
        <v>0</v>
      </c>
      <c r="AE61" s="787">
        <v>23777.69</v>
      </c>
      <c r="AF61" s="787">
        <v>10106.86</v>
      </c>
      <c r="AG61" s="787">
        <v>11265.37</v>
      </c>
      <c r="AH61" s="787">
        <v>0</v>
      </c>
      <c r="AI61" s="787">
        <v>0</v>
      </c>
      <c r="AJ61" s="787">
        <v>61878.61</v>
      </c>
      <c r="AK61" s="787">
        <v>2074.42</v>
      </c>
      <c r="AL61" s="787">
        <v>49249.46</v>
      </c>
      <c r="AM61" s="787">
        <v>2445.06</v>
      </c>
      <c r="AN61" s="787">
        <v>26101.45</v>
      </c>
      <c r="AO61" s="787">
        <v>0</v>
      </c>
      <c r="AP61" s="787">
        <v>22406.74</v>
      </c>
      <c r="AQ61" s="787">
        <v>62064.14</v>
      </c>
      <c r="AR61" s="787">
        <v>552</v>
      </c>
      <c r="AS61" s="787">
        <v>0</v>
      </c>
      <c r="AT61" s="787">
        <v>0</v>
      </c>
      <c r="AU61" s="787">
        <v>0</v>
      </c>
      <c r="AV61" s="787">
        <v>27652.66</v>
      </c>
      <c r="AW61" s="787">
        <v>3062.54</v>
      </c>
      <c r="AX61" s="787">
        <v>0</v>
      </c>
      <c r="AY61" s="787">
        <v>0</v>
      </c>
      <c r="AZ61" s="787">
        <v>14781.1</v>
      </c>
      <c r="BA61" s="787">
        <v>0</v>
      </c>
      <c r="BB61" s="787">
        <v>0</v>
      </c>
      <c r="BC61" s="787">
        <v>84245.53</v>
      </c>
      <c r="BD61" s="787">
        <v>292551.31</v>
      </c>
      <c r="BE61" s="787">
        <v>21260.010000000002</v>
      </c>
      <c r="BF61" s="787">
        <v>181534.03</v>
      </c>
      <c r="BG61" s="787">
        <v>0</v>
      </c>
      <c r="BH61" s="787">
        <v>0</v>
      </c>
      <c r="BI61" s="787">
        <v>0</v>
      </c>
      <c r="BJ61" s="787">
        <f t="shared" si="2"/>
        <v>3592706.79</v>
      </c>
      <c r="BK61" s="787"/>
      <c r="BL61" s="787"/>
      <c r="BM61" s="787"/>
      <c r="BN61" s="787">
        <v>0</v>
      </c>
      <c r="BO61" s="787">
        <v>0</v>
      </c>
      <c r="BP61" s="787">
        <v>0</v>
      </c>
      <c r="BQ61" s="787">
        <f t="shared" si="3"/>
        <v>0</v>
      </c>
      <c r="BR61" s="787">
        <v>0</v>
      </c>
      <c r="BS61" s="787">
        <v>15055.21</v>
      </c>
      <c r="BT61" s="787">
        <v>0</v>
      </c>
      <c r="BU61" s="787">
        <v>0</v>
      </c>
      <c r="BV61" s="787">
        <v>0</v>
      </c>
      <c r="BW61" s="787">
        <v>0</v>
      </c>
      <c r="BX61" s="787">
        <v>0</v>
      </c>
      <c r="BY61" s="787">
        <v>0</v>
      </c>
      <c r="BZ61" s="787">
        <f t="shared" si="4"/>
        <v>15055.21</v>
      </c>
      <c r="CA61" s="787"/>
      <c r="CB61" s="787"/>
      <c r="CC61" s="787"/>
      <c r="CD61" s="787">
        <v>0</v>
      </c>
      <c r="CE61" s="787">
        <v>0</v>
      </c>
      <c r="CF61" s="787">
        <f t="shared" si="5"/>
        <v>0</v>
      </c>
      <c r="CG61" s="787">
        <v>0</v>
      </c>
      <c r="CH61" s="787">
        <v>0</v>
      </c>
      <c r="CI61" s="787">
        <f t="shared" si="6"/>
        <v>0</v>
      </c>
      <c r="CJ61" s="787"/>
      <c r="CK61" s="787"/>
      <c r="CL61" s="787"/>
      <c r="CM61" s="787"/>
      <c r="CN61" s="787"/>
      <c r="CO61" s="787"/>
      <c r="CP61" s="787"/>
      <c r="CQ61" s="787"/>
      <c r="CR61" s="787"/>
      <c r="CS61" s="787">
        <v>766012.99</v>
      </c>
      <c r="CT61" s="787">
        <v>49327.87</v>
      </c>
      <c r="CU61" s="787">
        <v>0</v>
      </c>
      <c r="CV61" s="787">
        <v>716685.12</v>
      </c>
      <c r="CW61" s="787">
        <v>0</v>
      </c>
      <c r="CX61" s="787">
        <v>14580.66</v>
      </c>
      <c r="CY61" s="787">
        <v>7508.74</v>
      </c>
      <c r="CZ61" s="787">
        <v>0</v>
      </c>
      <c r="DA61" s="787">
        <v>0</v>
      </c>
      <c r="DB61" s="787">
        <v>738774.52</v>
      </c>
      <c r="DC61" s="787">
        <v>301904.33</v>
      </c>
      <c r="DD61" s="787">
        <v>0</v>
      </c>
      <c r="DE61" s="787">
        <v>0</v>
      </c>
      <c r="DF61" s="787">
        <v>301904.33</v>
      </c>
      <c r="DG61" s="787"/>
      <c r="DH61" s="787"/>
      <c r="DI61" s="787"/>
      <c r="DJ61" s="787">
        <v>0</v>
      </c>
      <c r="DK61" s="787">
        <v>301904.33</v>
      </c>
      <c r="DL61" s="787">
        <v>1050</v>
      </c>
      <c r="DM61" s="787">
        <v>0</v>
      </c>
      <c r="DN61" s="787">
        <v>0</v>
      </c>
      <c r="DO61" s="787">
        <v>0</v>
      </c>
      <c r="DP61" s="787">
        <v>-27225.79</v>
      </c>
      <c r="DQ61" s="787">
        <v>-879.2</v>
      </c>
      <c r="DR61" s="787">
        <v>0</v>
      </c>
      <c r="DS61" s="787">
        <v>0</v>
      </c>
      <c r="DT61" s="787">
        <v>-27054.99</v>
      </c>
      <c r="DU61" s="787">
        <v>0</v>
      </c>
      <c r="DV61" s="787">
        <v>0</v>
      </c>
      <c r="DW61" s="787">
        <v>0</v>
      </c>
      <c r="DX61" s="787">
        <v>0</v>
      </c>
      <c r="DY61" s="787">
        <v>0</v>
      </c>
      <c r="DZ61" s="787">
        <v>-225154.34</v>
      </c>
      <c r="EA61" s="787">
        <v>0.15863580058794469</v>
      </c>
    </row>
    <row r="62" spans="1:131" ht="15.6">
      <c r="A62" s="782" t="s">
        <v>1354</v>
      </c>
      <c r="B62" s="782" t="s">
        <v>637</v>
      </c>
      <c r="C62" s="783">
        <v>1006</v>
      </c>
      <c r="D62" s="784" t="s">
        <v>638</v>
      </c>
      <c r="E62" s="785" t="s">
        <v>521</v>
      </c>
      <c r="F62" s="786">
        <v>46093</v>
      </c>
      <c r="G62" s="785" t="s">
        <v>5</v>
      </c>
      <c r="H62" s="785" t="str">
        <f t="shared" si="0"/>
        <v>AX023</v>
      </c>
      <c r="I62" s="787">
        <v>0</v>
      </c>
      <c r="J62" s="787">
        <v>0</v>
      </c>
      <c r="K62" s="787">
        <v>0</v>
      </c>
      <c r="L62" s="787">
        <v>0</v>
      </c>
      <c r="M62" s="787">
        <v>0</v>
      </c>
      <c r="N62" s="787">
        <v>52750</v>
      </c>
      <c r="O62" s="787">
        <v>0</v>
      </c>
      <c r="P62" s="787">
        <v>0</v>
      </c>
      <c r="Q62" s="787">
        <v>29991</v>
      </c>
      <c r="R62" s="787">
        <v>0</v>
      </c>
      <c r="S62" s="787">
        <v>0</v>
      </c>
      <c r="T62" s="787">
        <v>0</v>
      </c>
      <c r="U62" s="787">
        <v>0</v>
      </c>
      <c r="V62" s="787">
        <v>0</v>
      </c>
      <c r="W62" s="787">
        <v>0</v>
      </c>
      <c r="X62" s="787">
        <f t="shared" si="1"/>
        <v>82741</v>
      </c>
      <c r="Y62" s="787">
        <v>282263.58</v>
      </c>
      <c r="Z62" s="787">
        <v>24692</v>
      </c>
      <c r="AA62" s="787">
        <v>260303.1</v>
      </c>
      <c r="AB62" s="787">
        <v>45599.32</v>
      </c>
      <c r="AC62" s="787">
        <v>28517.41</v>
      </c>
      <c r="AD62" s="787">
        <v>0</v>
      </c>
      <c r="AE62" s="787">
        <v>25120.86</v>
      </c>
      <c r="AF62" s="787">
        <v>4624.96</v>
      </c>
      <c r="AG62" s="787">
        <v>3962.53</v>
      </c>
      <c r="AH62" s="787">
        <v>0</v>
      </c>
      <c r="AI62" s="787">
        <v>0</v>
      </c>
      <c r="AJ62" s="787">
        <v>11890.890000000001</v>
      </c>
      <c r="AK62" s="787">
        <v>0</v>
      </c>
      <c r="AL62" s="787">
        <v>1395.63</v>
      </c>
      <c r="AM62" s="787">
        <v>1661.82</v>
      </c>
      <c r="AN62" s="787">
        <v>8286.2000000000007</v>
      </c>
      <c r="AO62" s="787">
        <v>0</v>
      </c>
      <c r="AP62" s="787">
        <v>6148</v>
      </c>
      <c r="AQ62" s="787">
        <v>15430.56</v>
      </c>
      <c r="AR62" s="787">
        <v>0</v>
      </c>
      <c r="AS62" s="787">
        <v>0</v>
      </c>
      <c r="AT62" s="787">
        <v>0</v>
      </c>
      <c r="AU62" s="787">
        <v>0</v>
      </c>
      <c r="AV62" s="787">
        <v>1277.83</v>
      </c>
      <c r="AW62" s="787">
        <v>84.67</v>
      </c>
      <c r="AX62" s="787">
        <v>0</v>
      </c>
      <c r="AY62" s="787">
        <v>0</v>
      </c>
      <c r="AZ62" s="787">
        <v>9558</v>
      </c>
      <c r="BA62" s="787">
        <v>0</v>
      </c>
      <c r="BB62" s="787">
        <v>0</v>
      </c>
      <c r="BC62" s="787">
        <v>70.42</v>
      </c>
      <c r="BD62" s="787">
        <v>0</v>
      </c>
      <c r="BE62" s="787">
        <v>55221.26</v>
      </c>
      <c r="BF62" s="787">
        <v>49889.52</v>
      </c>
      <c r="BG62" s="787">
        <v>0</v>
      </c>
      <c r="BH62" s="787">
        <v>0</v>
      </c>
      <c r="BI62" s="787">
        <v>0</v>
      </c>
      <c r="BJ62" s="787">
        <f t="shared" si="2"/>
        <v>835998.56</v>
      </c>
      <c r="BK62" s="787"/>
      <c r="BL62" s="787"/>
      <c r="BM62" s="787"/>
      <c r="BN62" s="787">
        <v>0</v>
      </c>
      <c r="BO62" s="787">
        <v>0</v>
      </c>
      <c r="BP62" s="787">
        <v>0</v>
      </c>
      <c r="BQ62" s="787">
        <f t="shared" si="3"/>
        <v>0</v>
      </c>
      <c r="BR62" s="787">
        <v>0</v>
      </c>
      <c r="BS62" s="787">
        <v>0</v>
      </c>
      <c r="BT62" s="787">
        <v>0</v>
      </c>
      <c r="BU62" s="787">
        <v>0</v>
      </c>
      <c r="BV62" s="787">
        <v>0</v>
      </c>
      <c r="BW62" s="787">
        <v>0</v>
      </c>
      <c r="BX62" s="787">
        <v>0</v>
      </c>
      <c r="BY62" s="787">
        <v>0</v>
      </c>
      <c r="BZ62" s="787">
        <f t="shared" si="4"/>
        <v>0</v>
      </c>
      <c r="CA62" s="787"/>
      <c r="CB62" s="787"/>
      <c r="CC62" s="787"/>
      <c r="CD62" s="787">
        <v>0</v>
      </c>
      <c r="CE62" s="787">
        <v>0</v>
      </c>
      <c r="CF62" s="787">
        <f t="shared" si="5"/>
        <v>0</v>
      </c>
      <c r="CG62" s="787">
        <v>0</v>
      </c>
      <c r="CH62" s="787">
        <v>0</v>
      </c>
      <c r="CI62" s="787">
        <f t="shared" si="6"/>
        <v>0</v>
      </c>
      <c r="CJ62" s="787"/>
      <c r="CK62" s="787"/>
      <c r="CL62" s="787"/>
      <c r="CM62" s="787"/>
      <c r="CN62" s="787"/>
      <c r="CO62" s="787"/>
      <c r="CP62" s="787"/>
      <c r="CQ62" s="787"/>
      <c r="CR62" s="787"/>
      <c r="CS62" s="787"/>
      <c r="CT62" s="787"/>
      <c r="CU62" s="787"/>
      <c r="CV62" s="787"/>
      <c r="CW62" s="787"/>
      <c r="CX62" s="787"/>
      <c r="CY62" s="787"/>
      <c r="CZ62" s="787"/>
      <c r="DA62" s="787"/>
      <c r="DB62" s="787"/>
      <c r="DC62" s="787"/>
      <c r="DD62" s="787"/>
      <c r="DE62" s="787"/>
      <c r="DF62" s="787"/>
      <c r="DG62" s="787"/>
      <c r="DH62" s="787"/>
      <c r="DI62" s="787"/>
      <c r="DJ62" s="787"/>
      <c r="DK62" s="787"/>
      <c r="DL62" s="787"/>
      <c r="DM62" s="787"/>
      <c r="DN62" s="787"/>
      <c r="DO62" s="787"/>
      <c r="DP62" s="787"/>
      <c r="DQ62" s="787"/>
      <c r="DR62" s="787"/>
      <c r="DS62" s="787"/>
      <c r="DT62" s="787"/>
      <c r="DU62" s="787"/>
      <c r="DV62" s="787"/>
      <c r="DW62" s="787"/>
      <c r="DX62" s="787"/>
      <c r="DY62" s="787"/>
      <c r="DZ62" s="787"/>
      <c r="EA62" s="787"/>
    </row>
    <row r="63" spans="1:131" ht="15.6">
      <c r="A63" s="782" t="s">
        <v>1355</v>
      </c>
      <c r="B63" s="782" t="s">
        <v>886</v>
      </c>
      <c r="C63" s="783">
        <v>2079</v>
      </c>
      <c r="D63" s="784" t="s">
        <v>887</v>
      </c>
      <c r="E63" s="785" t="s">
        <v>521</v>
      </c>
      <c r="F63" s="786">
        <v>46094</v>
      </c>
      <c r="G63" s="785" t="s">
        <v>5</v>
      </c>
      <c r="H63" s="785" t="str">
        <f t="shared" si="0"/>
        <v>AX025</v>
      </c>
      <c r="I63" s="787">
        <v>0</v>
      </c>
      <c r="J63" s="787">
        <v>0</v>
      </c>
      <c r="K63" s="787">
        <v>0</v>
      </c>
      <c r="L63" s="787">
        <v>0</v>
      </c>
      <c r="M63" s="787">
        <v>0</v>
      </c>
      <c r="N63" s="787">
        <v>0</v>
      </c>
      <c r="O63" s="787">
        <v>0</v>
      </c>
      <c r="P63" s="787">
        <v>0</v>
      </c>
      <c r="Q63" s="787">
        <v>6387</v>
      </c>
      <c r="R63" s="787">
        <v>0</v>
      </c>
      <c r="S63" s="787">
        <v>0</v>
      </c>
      <c r="T63" s="787">
        <v>0</v>
      </c>
      <c r="U63" s="787">
        <v>2652.81</v>
      </c>
      <c r="V63" s="787">
        <v>7963.27</v>
      </c>
      <c r="W63" s="787">
        <v>0</v>
      </c>
      <c r="X63" s="787">
        <f t="shared" si="1"/>
        <v>17003.080000000002</v>
      </c>
      <c r="Y63" s="787">
        <v>754088.88</v>
      </c>
      <c r="Z63" s="787">
        <v>29078.720000000001</v>
      </c>
      <c r="AA63" s="787">
        <v>344805.38</v>
      </c>
      <c r="AB63" s="787">
        <v>27786.69</v>
      </c>
      <c r="AC63" s="787">
        <v>188036.88</v>
      </c>
      <c r="AD63" s="787">
        <v>0</v>
      </c>
      <c r="AE63" s="787">
        <v>33557.949999999997</v>
      </c>
      <c r="AF63" s="787">
        <v>2675.66</v>
      </c>
      <c r="AG63" s="787">
        <v>2176.4</v>
      </c>
      <c r="AH63" s="787">
        <v>0</v>
      </c>
      <c r="AI63" s="787">
        <v>0</v>
      </c>
      <c r="AJ63" s="787">
        <v>41352.559999999998</v>
      </c>
      <c r="AK63" s="787">
        <v>0</v>
      </c>
      <c r="AL63" s="787">
        <v>52573.63</v>
      </c>
      <c r="AM63" s="787">
        <v>37953.11</v>
      </c>
      <c r="AN63" s="787">
        <v>15293.83</v>
      </c>
      <c r="AO63" s="787">
        <v>0</v>
      </c>
      <c r="AP63" s="787">
        <v>6150.99</v>
      </c>
      <c r="AQ63" s="787">
        <v>92458.819999999992</v>
      </c>
      <c r="AR63" s="787">
        <v>0</v>
      </c>
      <c r="AS63" s="787">
        <v>0</v>
      </c>
      <c r="AT63" s="787">
        <v>32665.07</v>
      </c>
      <c r="AU63" s="787">
        <v>14952.48</v>
      </c>
      <c r="AV63" s="787">
        <v>258</v>
      </c>
      <c r="AW63" s="787">
        <v>23652.560000000001</v>
      </c>
      <c r="AX63" s="787">
        <v>19210.88</v>
      </c>
      <c r="AY63" s="787">
        <v>0</v>
      </c>
      <c r="AZ63" s="787">
        <v>37270.83</v>
      </c>
      <c r="BA63" s="787">
        <v>0</v>
      </c>
      <c r="BB63" s="787">
        <v>4175</v>
      </c>
      <c r="BC63" s="787">
        <v>138427.72</v>
      </c>
      <c r="BD63" s="787">
        <v>352762.79</v>
      </c>
      <c r="BE63" s="787">
        <v>59808.25</v>
      </c>
      <c r="BF63" s="787">
        <v>238710.66</v>
      </c>
      <c r="BG63" s="787">
        <v>0</v>
      </c>
      <c r="BH63" s="787">
        <v>0</v>
      </c>
      <c r="BI63" s="787">
        <v>0</v>
      </c>
      <c r="BJ63" s="787">
        <f t="shared" si="2"/>
        <v>2549883.7399999998</v>
      </c>
      <c r="BK63" s="787"/>
      <c r="BL63" s="787"/>
      <c r="BM63" s="787"/>
      <c r="BN63" s="787">
        <v>0</v>
      </c>
      <c r="BO63" s="787">
        <v>0</v>
      </c>
      <c r="BP63" s="787">
        <v>0</v>
      </c>
      <c r="BQ63" s="787">
        <f t="shared" si="3"/>
        <v>0</v>
      </c>
      <c r="BR63" s="787">
        <v>0</v>
      </c>
      <c r="BS63" s="787">
        <v>0</v>
      </c>
      <c r="BT63" s="787">
        <v>0</v>
      </c>
      <c r="BU63" s="787">
        <v>0</v>
      </c>
      <c r="BV63" s="787">
        <v>0</v>
      </c>
      <c r="BW63" s="787">
        <v>0</v>
      </c>
      <c r="BX63" s="787">
        <v>0</v>
      </c>
      <c r="BY63" s="787">
        <v>0</v>
      </c>
      <c r="BZ63" s="787">
        <f t="shared" si="4"/>
        <v>0</v>
      </c>
      <c r="CA63" s="787"/>
      <c r="CB63" s="787"/>
      <c r="CC63" s="787"/>
      <c r="CD63" s="787">
        <v>0</v>
      </c>
      <c r="CE63" s="787">
        <v>0</v>
      </c>
      <c r="CF63" s="787">
        <f t="shared" si="5"/>
        <v>0</v>
      </c>
      <c r="CG63" s="787">
        <v>0</v>
      </c>
      <c r="CH63" s="787">
        <v>0</v>
      </c>
      <c r="CI63" s="787">
        <f t="shared" si="6"/>
        <v>0</v>
      </c>
      <c r="CJ63" s="787"/>
      <c r="CK63" s="787"/>
      <c r="CL63" s="787"/>
      <c r="CM63" s="787"/>
      <c r="CN63" s="787"/>
      <c r="CO63" s="787"/>
      <c r="CP63" s="787"/>
      <c r="CQ63" s="787"/>
      <c r="CR63" s="787"/>
      <c r="CS63" s="787"/>
      <c r="CT63" s="787"/>
      <c r="CU63" s="787"/>
      <c r="CV63" s="787"/>
      <c r="CW63" s="787"/>
      <c r="CX63" s="787"/>
      <c r="CY63" s="787"/>
      <c r="CZ63" s="787"/>
      <c r="DA63" s="787"/>
      <c r="DB63" s="787"/>
      <c r="DC63" s="787"/>
      <c r="DD63" s="787"/>
      <c r="DE63" s="787"/>
      <c r="DF63" s="787"/>
      <c r="DG63" s="787"/>
      <c r="DH63" s="787"/>
      <c r="DI63" s="787"/>
      <c r="DJ63" s="787"/>
      <c r="DK63" s="787"/>
      <c r="DL63" s="787"/>
      <c r="DM63" s="787"/>
      <c r="DN63" s="787"/>
      <c r="DO63" s="787"/>
      <c r="DP63" s="787"/>
      <c r="DQ63" s="787"/>
      <c r="DR63" s="787"/>
      <c r="DS63" s="787"/>
      <c r="DT63" s="787"/>
      <c r="DU63" s="787"/>
      <c r="DV63" s="787"/>
      <c r="DW63" s="787"/>
      <c r="DX63" s="787"/>
      <c r="DY63" s="787"/>
      <c r="DZ63" s="787"/>
      <c r="EA63" s="787"/>
    </row>
    <row r="64" spans="1:131" ht="15.6">
      <c r="A64" s="782" t="s">
        <v>1356</v>
      </c>
      <c r="B64" s="782" t="s">
        <v>639</v>
      </c>
      <c r="C64" s="783">
        <v>2081</v>
      </c>
      <c r="D64" s="784" t="s">
        <v>640</v>
      </c>
      <c r="E64" s="785" t="s">
        <v>521</v>
      </c>
      <c r="F64" s="786">
        <v>46094</v>
      </c>
      <c r="G64" s="785" t="s">
        <v>5</v>
      </c>
      <c r="H64" s="785" t="str">
        <f t="shared" si="0"/>
        <v>AX026</v>
      </c>
      <c r="I64" s="787">
        <v>0</v>
      </c>
      <c r="J64" s="787">
        <v>0</v>
      </c>
      <c r="K64" s="787">
        <v>0</v>
      </c>
      <c r="L64" s="787">
        <v>0</v>
      </c>
      <c r="M64" s="787">
        <v>0</v>
      </c>
      <c r="N64" s="787">
        <v>0</v>
      </c>
      <c r="O64" s="787">
        <v>0</v>
      </c>
      <c r="P64" s="787">
        <v>187.5</v>
      </c>
      <c r="Q64" s="787">
        <v>46589.120000000003</v>
      </c>
      <c r="R64" s="787">
        <v>12197</v>
      </c>
      <c r="S64" s="787">
        <v>0</v>
      </c>
      <c r="T64" s="787">
        <v>0</v>
      </c>
      <c r="U64" s="787">
        <v>45023.3</v>
      </c>
      <c r="V64" s="787">
        <v>0</v>
      </c>
      <c r="W64" s="787">
        <v>0</v>
      </c>
      <c r="X64" s="787">
        <f t="shared" si="1"/>
        <v>103996.92000000001</v>
      </c>
      <c r="Y64" s="787">
        <v>1298497.5</v>
      </c>
      <c r="Z64" s="787">
        <v>0</v>
      </c>
      <c r="AA64" s="787">
        <v>357365.84</v>
      </c>
      <c r="AB64" s="787">
        <v>42788.37</v>
      </c>
      <c r="AC64" s="787">
        <v>174646.07</v>
      </c>
      <c r="AD64" s="787">
        <v>0</v>
      </c>
      <c r="AE64" s="787">
        <v>100754.3</v>
      </c>
      <c r="AF64" s="787">
        <v>8254.92</v>
      </c>
      <c r="AG64" s="787">
        <v>6517.25</v>
      </c>
      <c r="AH64" s="787">
        <v>0</v>
      </c>
      <c r="AI64" s="787">
        <v>0</v>
      </c>
      <c r="AJ64" s="787">
        <v>14587.42</v>
      </c>
      <c r="AK64" s="787">
        <v>3340</v>
      </c>
      <c r="AL64" s="787">
        <v>37680.379999999997</v>
      </c>
      <c r="AM64" s="787">
        <v>11724.75</v>
      </c>
      <c r="AN64" s="787">
        <v>21672.720000000001</v>
      </c>
      <c r="AO64" s="787">
        <v>0</v>
      </c>
      <c r="AP64" s="787">
        <v>7455.13</v>
      </c>
      <c r="AQ64" s="787">
        <v>54153.869999999995</v>
      </c>
      <c r="AR64" s="787">
        <v>0</v>
      </c>
      <c r="AS64" s="787">
        <v>0</v>
      </c>
      <c r="AT64" s="787">
        <v>3089.78</v>
      </c>
      <c r="AU64" s="787">
        <v>0</v>
      </c>
      <c r="AV64" s="787">
        <v>12757.62</v>
      </c>
      <c r="AW64" s="787">
        <v>0</v>
      </c>
      <c r="AX64" s="787">
        <v>8279</v>
      </c>
      <c r="AY64" s="787">
        <v>0</v>
      </c>
      <c r="AZ64" s="787">
        <v>48016.99</v>
      </c>
      <c r="BA64" s="787">
        <v>0</v>
      </c>
      <c r="BB64" s="787">
        <v>4356</v>
      </c>
      <c r="BC64" s="787">
        <v>104185.11</v>
      </c>
      <c r="BD64" s="787">
        <v>169738.19</v>
      </c>
      <c r="BE64" s="787">
        <v>0</v>
      </c>
      <c r="BF64" s="787">
        <v>276541.43</v>
      </c>
      <c r="BG64" s="787">
        <v>740</v>
      </c>
      <c r="BH64" s="787">
        <v>0</v>
      </c>
      <c r="BI64" s="787">
        <v>0</v>
      </c>
      <c r="BJ64" s="787">
        <f t="shared" si="2"/>
        <v>2767142.64</v>
      </c>
      <c r="BK64" s="787"/>
      <c r="BL64" s="787"/>
      <c r="BM64" s="787"/>
      <c r="BN64" s="787">
        <v>0</v>
      </c>
      <c r="BO64" s="787">
        <v>0</v>
      </c>
      <c r="BP64" s="787">
        <v>0</v>
      </c>
      <c r="BQ64" s="787">
        <f t="shared" si="3"/>
        <v>0</v>
      </c>
      <c r="BR64" s="787">
        <v>0</v>
      </c>
      <c r="BS64" s="787">
        <v>32395.64</v>
      </c>
      <c r="BT64" s="787">
        <v>0</v>
      </c>
      <c r="BU64" s="787">
        <v>0</v>
      </c>
      <c r="BV64" s="787">
        <v>0</v>
      </c>
      <c r="BW64" s="787">
        <v>0</v>
      </c>
      <c r="BX64" s="787">
        <v>1097.49</v>
      </c>
      <c r="BY64" s="787">
        <v>0</v>
      </c>
      <c r="BZ64" s="787">
        <f t="shared" si="4"/>
        <v>33493.129999999997</v>
      </c>
      <c r="CA64" s="787"/>
      <c r="CB64" s="787"/>
      <c r="CC64" s="787"/>
      <c r="CD64" s="787">
        <v>0</v>
      </c>
      <c r="CE64" s="787">
        <v>0</v>
      </c>
      <c r="CF64" s="787">
        <f t="shared" si="5"/>
        <v>0</v>
      </c>
      <c r="CG64" s="787">
        <v>0</v>
      </c>
      <c r="CH64" s="787">
        <v>0</v>
      </c>
      <c r="CI64" s="787">
        <f t="shared" si="6"/>
        <v>0</v>
      </c>
      <c r="CJ64" s="787"/>
      <c r="CK64" s="787"/>
      <c r="CL64" s="787"/>
      <c r="CM64" s="787"/>
      <c r="CN64" s="787"/>
      <c r="CO64" s="787"/>
      <c r="CP64" s="787"/>
      <c r="CQ64" s="787"/>
      <c r="CR64" s="787"/>
      <c r="CS64" s="787"/>
      <c r="CT64" s="787"/>
      <c r="CU64" s="787"/>
      <c r="CV64" s="787"/>
      <c r="CW64" s="787"/>
      <c r="CX64" s="787"/>
      <c r="CY64" s="787"/>
      <c r="CZ64" s="787"/>
      <c r="DA64" s="787"/>
      <c r="DB64" s="787"/>
      <c r="DC64" s="787"/>
      <c r="DD64" s="787"/>
      <c r="DE64" s="787"/>
      <c r="DF64" s="787"/>
      <c r="DG64" s="787"/>
      <c r="DH64" s="787"/>
      <c r="DI64" s="787"/>
      <c r="DJ64" s="787"/>
      <c r="DK64" s="787"/>
      <c r="DL64" s="787"/>
      <c r="DM64" s="787"/>
      <c r="DN64" s="787"/>
      <c r="DO64" s="787"/>
      <c r="DP64" s="787"/>
      <c r="DQ64" s="787"/>
      <c r="DR64" s="787"/>
      <c r="DS64" s="787"/>
      <c r="DT64" s="787"/>
      <c r="DU64" s="787"/>
      <c r="DV64" s="787"/>
      <c r="DW64" s="787"/>
      <c r="DX64" s="787"/>
      <c r="DY64" s="787"/>
      <c r="DZ64" s="787"/>
      <c r="EA64" s="787"/>
    </row>
    <row r="65" spans="1:131" ht="15.6">
      <c r="A65" s="782" t="s">
        <v>1357</v>
      </c>
      <c r="B65" s="782" t="s">
        <v>641</v>
      </c>
      <c r="C65" s="783">
        <v>2296</v>
      </c>
      <c r="D65" s="784" t="s">
        <v>642</v>
      </c>
      <c r="E65" s="785" t="s">
        <v>521</v>
      </c>
      <c r="F65" s="786">
        <v>46094</v>
      </c>
      <c r="G65" s="785" t="s">
        <v>5</v>
      </c>
      <c r="H65" s="785" t="str">
        <f t="shared" si="0"/>
        <v>AX027</v>
      </c>
      <c r="I65" s="787">
        <v>0</v>
      </c>
      <c r="J65" s="787">
        <v>0</v>
      </c>
      <c r="K65" s="787">
        <v>0</v>
      </c>
      <c r="L65" s="787">
        <v>0</v>
      </c>
      <c r="M65" s="787">
        <v>0</v>
      </c>
      <c r="N65" s="787">
        <v>0</v>
      </c>
      <c r="O65" s="787">
        <v>0</v>
      </c>
      <c r="P65" s="787">
        <v>68670.03</v>
      </c>
      <c r="Q65" s="787">
        <v>484.28</v>
      </c>
      <c r="R65" s="787">
        <v>0</v>
      </c>
      <c r="S65" s="787">
        <v>0</v>
      </c>
      <c r="T65" s="787">
        <v>0</v>
      </c>
      <c r="U65" s="787">
        <v>19263.07</v>
      </c>
      <c r="V65" s="787">
        <v>5385</v>
      </c>
      <c r="W65" s="787">
        <v>0</v>
      </c>
      <c r="X65" s="787">
        <f t="shared" si="1"/>
        <v>93802.38</v>
      </c>
      <c r="Y65" s="787">
        <v>873971.64</v>
      </c>
      <c r="Z65" s="787">
        <v>12731.94</v>
      </c>
      <c r="AA65" s="787">
        <v>183432.73</v>
      </c>
      <c r="AB65" s="787">
        <v>47140.99</v>
      </c>
      <c r="AC65" s="787">
        <v>74073.820000000007</v>
      </c>
      <c r="AD65" s="787">
        <v>4141.0200000000004</v>
      </c>
      <c r="AE65" s="787">
        <v>57764.17</v>
      </c>
      <c r="AF65" s="787">
        <v>56457.23</v>
      </c>
      <c r="AG65" s="787">
        <v>5638.5</v>
      </c>
      <c r="AH65" s="787">
        <v>0</v>
      </c>
      <c r="AI65" s="787">
        <v>0</v>
      </c>
      <c r="AJ65" s="787">
        <v>92522.559999999998</v>
      </c>
      <c r="AK65" s="787">
        <v>6316.9699999999993</v>
      </c>
      <c r="AL65" s="787">
        <v>1524.22</v>
      </c>
      <c r="AM65" s="787">
        <v>8695.1299999999992</v>
      </c>
      <c r="AN65" s="787">
        <v>32354.02</v>
      </c>
      <c r="AO65" s="787">
        <v>2244.0000000000036</v>
      </c>
      <c r="AP65" s="787">
        <v>19914.850000000002</v>
      </c>
      <c r="AQ65" s="787">
        <v>63514.46</v>
      </c>
      <c r="AR65" s="787">
        <v>0</v>
      </c>
      <c r="AS65" s="787">
        <v>0</v>
      </c>
      <c r="AT65" s="787">
        <v>13616.53</v>
      </c>
      <c r="AU65" s="787">
        <v>0</v>
      </c>
      <c r="AV65" s="787">
        <v>0</v>
      </c>
      <c r="AW65" s="787">
        <v>0</v>
      </c>
      <c r="AX65" s="787">
        <v>0</v>
      </c>
      <c r="AY65" s="787">
        <v>0</v>
      </c>
      <c r="AZ65" s="787">
        <v>19492.89</v>
      </c>
      <c r="BA65" s="787">
        <v>237.75</v>
      </c>
      <c r="BB65" s="787">
        <v>0</v>
      </c>
      <c r="BC65" s="787">
        <v>88001.65</v>
      </c>
      <c r="BD65" s="787">
        <v>211246.48</v>
      </c>
      <c r="BE65" s="787">
        <v>13968.48</v>
      </c>
      <c r="BF65" s="787">
        <v>152819.03</v>
      </c>
      <c r="BG65" s="787">
        <v>0</v>
      </c>
      <c r="BH65" s="787">
        <v>0</v>
      </c>
      <c r="BI65" s="787">
        <v>0</v>
      </c>
      <c r="BJ65" s="787">
        <f t="shared" si="2"/>
        <v>2041821.0599999998</v>
      </c>
      <c r="BK65" s="787"/>
      <c r="BL65" s="787"/>
      <c r="BM65" s="787"/>
      <c r="BN65" s="787">
        <v>0</v>
      </c>
      <c r="BO65" s="787">
        <v>0</v>
      </c>
      <c r="BP65" s="787">
        <v>0</v>
      </c>
      <c r="BQ65" s="787">
        <f t="shared" si="3"/>
        <v>0</v>
      </c>
      <c r="BR65" s="787">
        <v>0</v>
      </c>
      <c r="BS65" s="787">
        <v>0</v>
      </c>
      <c r="BT65" s="787">
        <v>0</v>
      </c>
      <c r="BU65" s="787">
        <v>0</v>
      </c>
      <c r="BV65" s="787">
        <v>0</v>
      </c>
      <c r="BW65" s="787">
        <v>0</v>
      </c>
      <c r="BX65" s="787">
        <v>0</v>
      </c>
      <c r="BY65" s="787">
        <v>0</v>
      </c>
      <c r="BZ65" s="787">
        <f t="shared" si="4"/>
        <v>0</v>
      </c>
      <c r="CA65" s="787"/>
      <c r="CB65" s="787"/>
      <c r="CC65" s="787"/>
      <c r="CD65" s="787">
        <v>0</v>
      </c>
      <c r="CE65" s="787">
        <v>0</v>
      </c>
      <c r="CF65" s="787">
        <f t="shared" si="5"/>
        <v>0</v>
      </c>
      <c r="CG65" s="787">
        <v>0</v>
      </c>
      <c r="CH65" s="787">
        <v>0</v>
      </c>
      <c r="CI65" s="787">
        <f t="shared" si="6"/>
        <v>0</v>
      </c>
      <c r="CJ65" s="787"/>
      <c r="CK65" s="787"/>
      <c r="CL65" s="787"/>
      <c r="CM65" s="787"/>
      <c r="CN65" s="787"/>
      <c r="CO65" s="787"/>
      <c r="CP65" s="787"/>
      <c r="CQ65" s="787"/>
      <c r="CR65" s="787"/>
      <c r="CS65" s="787"/>
      <c r="CT65" s="787"/>
      <c r="CU65" s="787"/>
      <c r="CV65" s="787"/>
      <c r="CW65" s="787"/>
      <c r="CX65" s="787"/>
      <c r="CY65" s="787"/>
      <c r="CZ65" s="787"/>
      <c r="DA65" s="787"/>
      <c r="DB65" s="787"/>
      <c r="DC65" s="787"/>
      <c r="DD65" s="787"/>
      <c r="DE65" s="787"/>
      <c r="DF65" s="787"/>
      <c r="DG65" s="787"/>
      <c r="DH65" s="787"/>
      <c r="DI65" s="787"/>
      <c r="DJ65" s="787"/>
      <c r="DK65" s="787"/>
      <c r="DL65" s="787"/>
      <c r="DM65" s="787"/>
      <c r="DN65" s="787"/>
      <c r="DO65" s="787"/>
      <c r="DP65" s="787"/>
      <c r="DQ65" s="787"/>
      <c r="DR65" s="787"/>
      <c r="DS65" s="787"/>
      <c r="DT65" s="787"/>
      <c r="DU65" s="787"/>
      <c r="DV65" s="787"/>
      <c r="DW65" s="787"/>
      <c r="DX65" s="787"/>
      <c r="DY65" s="787"/>
      <c r="DZ65" s="787"/>
      <c r="EA65" s="787"/>
    </row>
    <row r="66" spans="1:131" ht="15.6">
      <c r="A66" s="782" t="s">
        <v>1358</v>
      </c>
      <c r="B66" s="782" t="s">
        <v>644</v>
      </c>
      <c r="C66" s="783">
        <v>1015</v>
      </c>
      <c r="D66" s="784" t="s">
        <v>645</v>
      </c>
      <c r="E66" s="785" t="s">
        <v>521</v>
      </c>
      <c r="F66" s="786" t="s">
        <v>1305</v>
      </c>
      <c r="G66" s="785" t="s">
        <v>5</v>
      </c>
      <c r="H66" s="785" t="str">
        <f t="shared" si="0"/>
        <v>AX028</v>
      </c>
      <c r="I66" s="787">
        <v>0</v>
      </c>
      <c r="J66" s="787">
        <v>0</v>
      </c>
      <c r="K66" s="787">
        <v>49625.5</v>
      </c>
      <c r="L66" s="787">
        <v>0</v>
      </c>
      <c r="M66" s="787">
        <v>0</v>
      </c>
      <c r="N66" s="787">
        <v>0</v>
      </c>
      <c r="O66" s="787">
        <v>0</v>
      </c>
      <c r="P66" s="787">
        <v>0</v>
      </c>
      <c r="Q66" s="787">
        <v>30739.14</v>
      </c>
      <c r="R66" s="787">
        <v>0</v>
      </c>
      <c r="S66" s="787">
        <v>0</v>
      </c>
      <c r="T66" s="787">
        <v>0</v>
      </c>
      <c r="U66" s="787">
        <v>54502.720000000001</v>
      </c>
      <c r="V66" s="787">
        <v>0</v>
      </c>
      <c r="W66" s="787">
        <v>0</v>
      </c>
      <c r="X66" s="787">
        <f t="shared" si="1"/>
        <v>134867.35999999999</v>
      </c>
      <c r="Y66" s="787">
        <v>194149.7</v>
      </c>
      <c r="Z66" s="787">
        <v>0</v>
      </c>
      <c r="AA66" s="787">
        <v>429904.75</v>
      </c>
      <c r="AB66" s="787">
        <v>33840.57</v>
      </c>
      <c r="AC66" s="787">
        <v>44543.09</v>
      </c>
      <c r="AD66" s="787">
        <v>0</v>
      </c>
      <c r="AE66" s="787">
        <v>12149.060000000001</v>
      </c>
      <c r="AF66" s="787">
        <v>22084.780000000002</v>
      </c>
      <c r="AG66" s="787">
        <v>2446.5</v>
      </c>
      <c r="AH66" s="787">
        <v>0</v>
      </c>
      <c r="AI66" s="787">
        <v>0</v>
      </c>
      <c r="AJ66" s="787">
        <v>7742.4</v>
      </c>
      <c r="AK66" s="787">
        <v>321.70999999999998</v>
      </c>
      <c r="AL66" s="787">
        <v>1113.53</v>
      </c>
      <c r="AM66" s="787">
        <v>1909.64</v>
      </c>
      <c r="AN66" s="787">
        <v>6437.01</v>
      </c>
      <c r="AO66" s="787">
        <v>0</v>
      </c>
      <c r="AP66" s="787">
        <v>3276.6499999999996</v>
      </c>
      <c r="AQ66" s="787">
        <v>25301.33</v>
      </c>
      <c r="AR66" s="787">
        <v>0</v>
      </c>
      <c r="AS66" s="787">
        <v>0</v>
      </c>
      <c r="AT66" s="787">
        <v>0</v>
      </c>
      <c r="AU66" s="787">
        <v>0</v>
      </c>
      <c r="AV66" s="787">
        <v>0</v>
      </c>
      <c r="AW66" s="787">
        <v>0</v>
      </c>
      <c r="AX66" s="787">
        <v>0</v>
      </c>
      <c r="AY66" s="787">
        <v>0</v>
      </c>
      <c r="AZ66" s="787">
        <v>3279.24</v>
      </c>
      <c r="BA66" s="787">
        <v>0</v>
      </c>
      <c r="BB66" s="787">
        <v>0</v>
      </c>
      <c r="BC66" s="787">
        <v>1003.73</v>
      </c>
      <c r="BD66" s="787">
        <v>15846.98</v>
      </c>
      <c r="BE66" s="787">
        <v>9495.67</v>
      </c>
      <c r="BF66" s="787">
        <v>100914</v>
      </c>
      <c r="BG66" s="787">
        <v>0</v>
      </c>
      <c r="BH66" s="787">
        <v>0</v>
      </c>
      <c r="BI66" s="787">
        <v>0</v>
      </c>
      <c r="BJ66" s="787">
        <f t="shared" si="2"/>
        <v>915760.34</v>
      </c>
      <c r="BK66" s="787"/>
      <c r="BL66" s="787"/>
      <c r="BM66" s="787"/>
      <c r="BN66" s="787">
        <v>0</v>
      </c>
      <c r="BO66" s="787">
        <v>0</v>
      </c>
      <c r="BP66" s="787">
        <v>0</v>
      </c>
      <c r="BQ66" s="787">
        <f t="shared" si="3"/>
        <v>0</v>
      </c>
      <c r="BR66" s="787">
        <v>0</v>
      </c>
      <c r="BS66" s="787">
        <v>4424.3</v>
      </c>
      <c r="BT66" s="787">
        <v>0</v>
      </c>
      <c r="BU66" s="787">
        <v>0</v>
      </c>
      <c r="BV66" s="787">
        <v>0</v>
      </c>
      <c r="BW66" s="787">
        <v>0</v>
      </c>
      <c r="BX66" s="787">
        <v>1950</v>
      </c>
      <c r="BY66" s="787">
        <v>0</v>
      </c>
      <c r="BZ66" s="787">
        <f t="shared" si="4"/>
        <v>6374.3</v>
      </c>
      <c r="CA66" s="787"/>
      <c r="CB66" s="787"/>
      <c r="CC66" s="787"/>
      <c r="CD66" s="787">
        <v>0</v>
      </c>
      <c r="CE66" s="787">
        <v>0</v>
      </c>
      <c r="CF66" s="787">
        <f t="shared" si="5"/>
        <v>0</v>
      </c>
      <c r="CG66" s="787">
        <v>0</v>
      </c>
      <c r="CH66" s="787">
        <v>0</v>
      </c>
      <c r="CI66" s="787">
        <f t="shared" si="6"/>
        <v>0</v>
      </c>
      <c r="CJ66" s="787"/>
      <c r="CK66" s="787"/>
      <c r="CL66" s="787"/>
      <c r="CM66" s="787"/>
      <c r="CN66" s="787"/>
      <c r="CO66" s="787"/>
      <c r="CP66" s="787"/>
      <c r="CQ66" s="787"/>
      <c r="CR66" s="787"/>
      <c r="CS66" s="787"/>
      <c r="CT66" s="787"/>
      <c r="CU66" s="787"/>
      <c r="CV66" s="787"/>
      <c r="CW66" s="787"/>
      <c r="CX66" s="787"/>
      <c r="CY66" s="787"/>
      <c r="CZ66" s="787"/>
      <c r="DA66" s="787"/>
      <c r="DB66" s="787"/>
      <c r="DC66" s="787"/>
      <c r="DD66" s="787"/>
      <c r="DE66" s="787"/>
      <c r="DF66" s="787"/>
      <c r="DG66" s="787"/>
      <c r="DH66" s="787"/>
      <c r="DI66" s="787"/>
      <c r="DJ66" s="787"/>
      <c r="DK66" s="787"/>
      <c r="DL66" s="787"/>
      <c r="DM66" s="787"/>
      <c r="DN66" s="787"/>
      <c r="DO66" s="787"/>
      <c r="DP66" s="787"/>
      <c r="DQ66" s="787"/>
      <c r="DR66" s="787"/>
      <c r="DS66" s="787"/>
      <c r="DT66" s="787"/>
      <c r="DU66" s="787"/>
      <c r="DV66" s="787"/>
      <c r="DW66" s="787"/>
      <c r="DX66" s="787"/>
      <c r="DY66" s="787"/>
      <c r="DZ66" s="787"/>
      <c r="EA66" s="787"/>
    </row>
    <row r="67" spans="1:131" ht="15.6">
      <c r="A67" s="782" t="s">
        <v>1359</v>
      </c>
      <c r="B67" s="782" t="s">
        <v>646</v>
      </c>
      <c r="C67" s="783">
        <v>1022</v>
      </c>
      <c r="D67" s="784" t="s">
        <v>647</v>
      </c>
      <c r="E67" s="785" t="s">
        <v>521</v>
      </c>
      <c r="F67" s="786" t="s">
        <v>1322</v>
      </c>
      <c r="G67" s="785" t="s">
        <v>5</v>
      </c>
      <c r="H67" s="785" t="str">
        <f t="shared" si="0"/>
        <v>AX029</v>
      </c>
      <c r="I67" s="787">
        <v>0</v>
      </c>
      <c r="J67" s="787">
        <v>0</v>
      </c>
      <c r="K67" s="787">
        <v>0</v>
      </c>
      <c r="L67" s="787">
        <v>0</v>
      </c>
      <c r="M67" s="787">
        <v>0</v>
      </c>
      <c r="N67" s="787">
        <v>0</v>
      </c>
      <c r="O67" s="787">
        <v>0</v>
      </c>
      <c r="P67" s="787">
        <v>0</v>
      </c>
      <c r="Q67" s="787">
        <v>50.6</v>
      </c>
      <c r="R67" s="787">
        <v>2780</v>
      </c>
      <c r="S67" s="787">
        <v>0</v>
      </c>
      <c r="T67" s="787">
        <v>0</v>
      </c>
      <c r="U67" s="787">
        <v>6286</v>
      </c>
      <c r="V67" s="787">
        <v>65995.3</v>
      </c>
      <c r="W67" s="787">
        <v>0</v>
      </c>
      <c r="X67" s="787">
        <f t="shared" si="1"/>
        <v>75111.900000000009</v>
      </c>
      <c r="Y67" s="787">
        <v>214978.16</v>
      </c>
      <c r="Z67" s="787">
        <v>0</v>
      </c>
      <c r="AA67" s="787">
        <v>118745.48</v>
      </c>
      <c r="AB67" s="787">
        <v>0</v>
      </c>
      <c r="AC67" s="787">
        <v>35730.06</v>
      </c>
      <c r="AD67" s="787">
        <v>0</v>
      </c>
      <c r="AE67" s="787">
        <v>83072.41</v>
      </c>
      <c r="AF67" s="787">
        <v>1954.87</v>
      </c>
      <c r="AG67" s="787">
        <v>2353.14</v>
      </c>
      <c r="AH67" s="787">
        <v>0</v>
      </c>
      <c r="AI67" s="787">
        <v>0</v>
      </c>
      <c r="AJ67" s="787">
        <v>1179</v>
      </c>
      <c r="AK67" s="787">
        <v>3227.65</v>
      </c>
      <c r="AL67" s="787">
        <v>13983.07</v>
      </c>
      <c r="AM67" s="787">
        <v>1513.85</v>
      </c>
      <c r="AN67" s="787">
        <v>6142.76</v>
      </c>
      <c r="AO67" s="787">
        <v>0</v>
      </c>
      <c r="AP67" s="787">
        <v>16049.46</v>
      </c>
      <c r="AQ67" s="787">
        <v>16720.05</v>
      </c>
      <c r="AR67" s="787">
        <v>0</v>
      </c>
      <c r="AS67" s="787">
        <v>0</v>
      </c>
      <c r="AT67" s="787">
        <v>0</v>
      </c>
      <c r="AU67" s="787">
        <v>116.67</v>
      </c>
      <c r="AV67" s="787">
        <v>0</v>
      </c>
      <c r="AW67" s="787">
        <v>0</v>
      </c>
      <c r="AX67" s="787">
        <v>0</v>
      </c>
      <c r="AY67" s="787">
        <v>0</v>
      </c>
      <c r="AZ67" s="787">
        <v>2959.04</v>
      </c>
      <c r="BA67" s="787">
        <v>0</v>
      </c>
      <c r="BB67" s="787">
        <v>0</v>
      </c>
      <c r="BC67" s="787">
        <v>1664.39</v>
      </c>
      <c r="BD67" s="787">
        <v>77472.13</v>
      </c>
      <c r="BE67" s="787">
        <v>0</v>
      </c>
      <c r="BF67" s="787">
        <v>56328</v>
      </c>
      <c r="BG67" s="787">
        <v>0</v>
      </c>
      <c r="BH67" s="787">
        <v>0</v>
      </c>
      <c r="BI67" s="787">
        <v>0</v>
      </c>
      <c r="BJ67" s="787">
        <f t="shared" si="2"/>
        <v>654190.18999999994</v>
      </c>
      <c r="BK67" s="787"/>
      <c r="BL67" s="787"/>
      <c r="BM67" s="787"/>
      <c r="BN67" s="787">
        <v>0</v>
      </c>
      <c r="BO67" s="787">
        <v>0</v>
      </c>
      <c r="BP67" s="787">
        <v>0</v>
      </c>
      <c r="BQ67" s="787">
        <f t="shared" si="3"/>
        <v>0</v>
      </c>
      <c r="BR67" s="787">
        <v>0</v>
      </c>
      <c r="BS67" s="787">
        <v>0</v>
      </c>
      <c r="BT67" s="787">
        <v>0</v>
      </c>
      <c r="BU67" s="787">
        <v>0</v>
      </c>
      <c r="BV67" s="787">
        <v>0</v>
      </c>
      <c r="BW67" s="787">
        <v>0</v>
      </c>
      <c r="BX67" s="787">
        <v>0</v>
      </c>
      <c r="BY67" s="787">
        <v>0</v>
      </c>
      <c r="BZ67" s="787">
        <f t="shared" si="4"/>
        <v>0</v>
      </c>
      <c r="CA67" s="787"/>
      <c r="CB67" s="787"/>
      <c r="CC67" s="787"/>
      <c r="CD67" s="787">
        <v>0</v>
      </c>
      <c r="CE67" s="787">
        <v>0</v>
      </c>
      <c r="CF67" s="787">
        <f t="shared" si="5"/>
        <v>0</v>
      </c>
      <c r="CG67" s="787">
        <v>0</v>
      </c>
      <c r="CH67" s="787">
        <v>0</v>
      </c>
      <c r="CI67" s="787">
        <f t="shared" si="6"/>
        <v>0</v>
      </c>
      <c r="CJ67" s="787"/>
      <c r="CK67" s="787"/>
      <c r="CL67" s="787"/>
      <c r="CM67" s="787"/>
      <c r="CN67" s="787"/>
      <c r="CO67" s="787"/>
      <c r="CP67" s="787"/>
      <c r="CQ67" s="787"/>
      <c r="CR67" s="787"/>
      <c r="CS67" s="787">
        <v>517442.54</v>
      </c>
      <c r="CT67" s="787">
        <v>7220.18</v>
      </c>
      <c r="CU67" s="787">
        <v>2483.33</v>
      </c>
      <c r="CV67" s="787">
        <v>512705.69</v>
      </c>
      <c r="CW67" s="787">
        <v>0</v>
      </c>
      <c r="CX67" s="787">
        <v>1435.08</v>
      </c>
      <c r="CY67" s="787">
        <v>992.36</v>
      </c>
      <c r="CZ67" s="787">
        <v>0</v>
      </c>
      <c r="DA67" s="787">
        <v>0</v>
      </c>
      <c r="DB67" s="787">
        <v>515133.13</v>
      </c>
      <c r="DC67" s="787">
        <v>0</v>
      </c>
      <c r="DD67" s="787">
        <v>0</v>
      </c>
      <c r="DE67" s="787">
        <v>0</v>
      </c>
      <c r="DF67" s="787">
        <v>0</v>
      </c>
      <c r="DG67" s="787"/>
      <c r="DH67" s="787"/>
      <c r="DI67" s="787"/>
      <c r="DJ67" s="787">
        <v>0</v>
      </c>
      <c r="DK67" s="787">
        <v>0</v>
      </c>
      <c r="DL67" s="787">
        <v>0</v>
      </c>
      <c r="DM67" s="787">
        <v>0</v>
      </c>
      <c r="DN67" s="787">
        <v>0</v>
      </c>
      <c r="DO67" s="787">
        <v>0</v>
      </c>
      <c r="DP67" s="787">
        <v>0</v>
      </c>
      <c r="DQ67" s="787">
        <v>0</v>
      </c>
      <c r="DR67" s="787">
        <v>0</v>
      </c>
      <c r="DS67" s="787">
        <v>0</v>
      </c>
      <c r="DT67" s="787">
        <v>0</v>
      </c>
      <c r="DU67" s="787">
        <v>0</v>
      </c>
      <c r="DV67" s="787">
        <v>0</v>
      </c>
      <c r="DW67" s="787">
        <v>0</v>
      </c>
      <c r="DX67" s="787">
        <v>0</v>
      </c>
      <c r="DY67" s="787">
        <v>0</v>
      </c>
      <c r="DZ67" s="787">
        <v>-36547.910000000003</v>
      </c>
      <c r="EA67" s="787">
        <v>0.38274988357443362</v>
      </c>
    </row>
    <row r="68" spans="1:131" ht="15.6">
      <c r="A68" s="782" t="s">
        <v>1360</v>
      </c>
      <c r="B68" s="782" t="s">
        <v>648</v>
      </c>
      <c r="C68" s="783">
        <v>2087</v>
      </c>
      <c r="D68" s="784" t="s">
        <v>649</v>
      </c>
      <c r="E68" s="785" t="s">
        <v>521</v>
      </c>
      <c r="F68" s="786">
        <v>46094</v>
      </c>
      <c r="G68" s="785" t="s">
        <v>5</v>
      </c>
      <c r="H68" s="785" t="str">
        <f t="shared" si="0"/>
        <v>AX02C</v>
      </c>
      <c r="I68" s="787">
        <v>0</v>
      </c>
      <c r="J68" s="787">
        <v>0</v>
      </c>
      <c r="K68" s="787">
        <v>0</v>
      </c>
      <c r="L68" s="787">
        <v>0</v>
      </c>
      <c r="M68" s="787">
        <v>0</v>
      </c>
      <c r="N68" s="787">
        <v>0</v>
      </c>
      <c r="O68" s="787">
        <v>0</v>
      </c>
      <c r="P68" s="787">
        <v>0</v>
      </c>
      <c r="Q68" s="787">
        <v>55223.12000000001</v>
      </c>
      <c r="R68" s="787">
        <v>0</v>
      </c>
      <c r="S68" s="787">
        <v>0</v>
      </c>
      <c r="T68" s="787">
        <v>0</v>
      </c>
      <c r="U68" s="787">
        <v>5902</v>
      </c>
      <c r="V68" s="787">
        <v>1057.79</v>
      </c>
      <c r="W68" s="787">
        <v>0</v>
      </c>
      <c r="X68" s="787">
        <f t="shared" si="1"/>
        <v>62182.910000000011</v>
      </c>
      <c r="Y68" s="787">
        <v>1258504.3999999999</v>
      </c>
      <c r="Z68" s="787">
        <v>0</v>
      </c>
      <c r="AA68" s="787">
        <v>572946.37</v>
      </c>
      <c r="AB68" s="787">
        <v>52344.649999999994</v>
      </c>
      <c r="AC68" s="787">
        <v>61933.14</v>
      </c>
      <c r="AD68" s="787">
        <v>0</v>
      </c>
      <c r="AE68" s="787">
        <v>75215.040000000008</v>
      </c>
      <c r="AF68" s="787">
        <v>4821</v>
      </c>
      <c r="AG68" s="787">
        <v>35</v>
      </c>
      <c r="AH68" s="787">
        <v>0</v>
      </c>
      <c r="AI68" s="787">
        <v>0</v>
      </c>
      <c r="AJ68" s="787">
        <v>37068.089999999997</v>
      </c>
      <c r="AK68" s="787">
        <v>4383.84</v>
      </c>
      <c r="AL68" s="787">
        <v>4140.21</v>
      </c>
      <c r="AM68" s="787">
        <v>11872.32</v>
      </c>
      <c r="AN68" s="787">
        <v>36332.11</v>
      </c>
      <c r="AO68" s="787">
        <v>0</v>
      </c>
      <c r="AP68" s="787">
        <v>14000.95</v>
      </c>
      <c r="AQ68" s="787">
        <v>60151.29</v>
      </c>
      <c r="AR68" s="787">
        <v>0</v>
      </c>
      <c r="AS68" s="787">
        <v>0</v>
      </c>
      <c r="AT68" s="787">
        <v>0</v>
      </c>
      <c r="AU68" s="787">
        <v>0</v>
      </c>
      <c r="AV68" s="787">
        <v>0</v>
      </c>
      <c r="AW68" s="787">
        <v>0</v>
      </c>
      <c r="AX68" s="787">
        <v>0</v>
      </c>
      <c r="AY68" s="787">
        <v>0</v>
      </c>
      <c r="AZ68" s="787">
        <v>8568.67</v>
      </c>
      <c r="BA68" s="787">
        <v>0</v>
      </c>
      <c r="BB68" s="787">
        <v>5730</v>
      </c>
      <c r="BC68" s="787">
        <v>214062.25</v>
      </c>
      <c r="BD68" s="787">
        <v>68004.33</v>
      </c>
      <c r="BE68" s="787">
        <v>736.76000000000022</v>
      </c>
      <c r="BF68" s="787">
        <v>85709.5</v>
      </c>
      <c r="BG68" s="787">
        <v>0</v>
      </c>
      <c r="BH68" s="787">
        <v>0</v>
      </c>
      <c r="BI68" s="787">
        <v>0</v>
      </c>
      <c r="BJ68" s="787">
        <f t="shared" si="2"/>
        <v>2576559.92</v>
      </c>
      <c r="BK68" s="787"/>
      <c r="BL68" s="787"/>
      <c r="BM68" s="787"/>
      <c r="BN68" s="787">
        <v>0</v>
      </c>
      <c r="BO68" s="787">
        <v>0</v>
      </c>
      <c r="BP68" s="787">
        <v>0</v>
      </c>
      <c r="BQ68" s="787">
        <f t="shared" si="3"/>
        <v>0</v>
      </c>
      <c r="BR68" s="787">
        <v>0</v>
      </c>
      <c r="BS68" s="787">
        <v>0</v>
      </c>
      <c r="BT68" s="787">
        <v>0</v>
      </c>
      <c r="BU68" s="787">
        <v>0</v>
      </c>
      <c r="BV68" s="787">
        <v>0</v>
      </c>
      <c r="BW68" s="787">
        <v>0</v>
      </c>
      <c r="BX68" s="787">
        <v>0</v>
      </c>
      <c r="BY68" s="787">
        <v>0</v>
      </c>
      <c r="BZ68" s="787">
        <f t="shared" si="4"/>
        <v>0</v>
      </c>
      <c r="CA68" s="787"/>
      <c r="CB68" s="787"/>
      <c r="CC68" s="787"/>
      <c r="CD68" s="787">
        <v>0</v>
      </c>
      <c r="CE68" s="787">
        <v>0</v>
      </c>
      <c r="CF68" s="787">
        <f t="shared" si="5"/>
        <v>0</v>
      </c>
      <c r="CG68" s="787">
        <v>0</v>
      </c>
      <c r="CH68" s="787">
        <v>0</v>
      </c>
      <c r="CI68" s="787">
        <f t="shared" si="6"/>
        <v>0</v>
      </c>
      <c r="CJ68" s="787"/>
      <c r="CK68" s="787"/>
      <c r="CL68" s="787"/>
      <c r="CM68" s="787"/>
      <c r="CN68" s="787"/>
      <c r="CO68" s="787"/>
      <c r="CP68" s="787"/>
      <c r="CQ68" s="787"/>
      <c r="CR68" s="787"/>
      <c r="CS68" s="787">
        <v>625598.97</v>
      </c>
      <c r="CT68" s="787">
        <v>0</v>
      </c>
      <c r="CU68" s="787">
        <v>0</v>
      </c>
      <c r="CV68" s="787">
        <v>625598.97</v>
      </c>
      <c r="CW68" s="787">
        <v>0</v>
      </c>
      <c r="CX68" s="787">
        <v>6999.12</v>
      </c>
      <c r="CY68" s="787">
        <v>1096.1500000000001</v>
      </c>
      <c r="CZ68" s="787">
        <v>0</v>
      </c>
      <c r="DA68" s="787">
        <v>0</v>
      </c>
      <c r="DB68" s="787">
        <v>633694.24</v>
      </c>
      <c r="DC68" s="787">
        <v>0</v>
      </c>
      <c r="DD68" s="787">
        <v>0</v>
      </c>
      <c r="DE68" s="787">
        <v>0</v>
      </c>
      <c r="DF68" s="787">
        <v>0</v>
      </c>
      <c r="DG68" s="787"/>
      <c r="DH68" s="787"/>
      <c r="DI68" s="787"/>
      <c r="DJ68" s="787">
        <v>0</v>
      </c>
      <c r="DK68" s="787">
        <v>0</v>
      </c>
      <c r="DL68" s="787">
        <v>0</v>
      </c>
      <c r="DM68" s="787">
        <v>0</v>
      </c>
      <c r="DN68" s="787">
        <v>0</v>
      </c>
      <c r="DO68" s="787">
        <v>0</v>
      </c>
      <c r="DP68" s="787">
        <v>-167003.65</v>
      </c>
      <c r="DQ68" s="787">
        <v>-42690.52</v>
      </c>
      <c r="DR68" s="787">
        <v>0</v>
      </c>
      <c r="DS68" s="787">
        <v>0</v>
      </c>
      <c r="DT68" s="787">
        <v>-209694.16999999998</v>
      </c>
      <c r="DU68" s="787">
        <v>0</v>
      </c>
      <c r="DV68" s="787">
        <v>0</v>
      </c>
      <c r="DW68" s="787">
        <v>0</v>
      </c>
      <c r="DX68" s="787">
        <v>0</v>
      </c>
      <c r="DY68" s="787">
        <v>0</v>
      </c>
      <c r="DZ68" s="787">
        <v>0</v>
      </c>
      <c r="EA68" s="787">
        <v>-0.33946030744118616</v>
      </c>
    </row>
    <row r="69" spans="1:131" ht="15.6">
      <c r="A69" s="782" t="s">
        <v>1361</v>
      </c>
      <c r="B69" s="782" t="s">
        <v>650</v>
      </c>
      <c r="C69" s="783">
        <v>2466</v>
      </c>
      <c r="D69" s="784" t="s">
        <v>651</v>
      </c>
      <c r="E69" s="785" t="s">
        <v>521</v>
      </c>
      <c r="F69" s="786">
        <v>46090</v>
      </c>
      <c r="G69" s="785" t="s">
        <v>5</v>
      </c>
      <c r="H69" s="785" t="str">
        <f t="shared" si="0"/>
        <v>AX02D</v>
      </c>
      <c r="I69" s="787">
        <v>0</v>
      </c>
      <c r="J69" s="787">
        <v>0</v>
      </c>
      <c r="K69" s="787">
        <v>0</v>
      </c>
      <c r="L69" s="787">
        <v>0</v>
      </c>
      <c r="M69" s="787">
        <v>600</v>
      </c>
      <c r="N69" s="787">
        <v>0</v>
      </c>
      <c r="O69" s="787">
        <v>0</v>
      </c>
      <c r="P69" s="787">
        <v>0</v>
      </c>
      <c r="Q69" s="787">
        <v>27285</v>
      </c>
      <c r="R69" s="787">
        <v>0</v>
      </c>
      <c r="S69" s="787">
        <v>0</v>
      </c>
      <c r="T69" s="787">
        <v>0</v>
      </c>
      <c r="U69" s="787">
        <v>8815.9</v>
      </c>
      <c r="V69" s="787">
        <v>24721.88</v>
      </c>
      <c r="W69" s="787">
        <v>0</v>
      </c>
      <c r="X69" s="787">
        <f t="shared" si="1"/>
        <v>61422.78</v>
      </c>
      <c r="Y69" s="787">
        <v>2007061.08</v>
      </c>
      <c r="Z69" s="787">
        <v>0</v>
      </c>
      <c r="AA69" s="787">
        <v>496307.96</v>
      </c>
      <c r="AB69" s="787">
        <v>225168.78</v>
      </c>
      <c r="AC69" s="787">
        <v>174153.18</v>
      </c>
      <c r="AD69" s="787">
        <v>173177.73</v>
      </c>
      <c r="AE69" s="787">
        <v>174861.67</v>
      </c>
      <c r="AF69" s="787">
        <v>3281.12</v>
      </c>
      <c r="AG69" s="787">
        <v>2815.86</v>
      </c>
      <c r="AH69" s="787">
        <v>0</v>
      </c>
      <c r="AI69" s="787">
        <v>0</v>
      </c>
      <c r="AJ69" s="787">
        <v>190033.3</v>
      </c>
      <c r="AK69" s="787">
        <v>2417.0500000000002</v>
      </c>
      <c r="AL69" s="787">
        <v>16936.560000000001</v>
      </c>
      <c r="AM69" s="787">
        <v>21920.46</v>
      </c>
      <c r="AN69" s="787">
        <v>93938.17</v>
      </c>
      <c r="AO69" s="787">
        <v>0</v>
      </c>
      <c r="AP69" s="787">
        <v>54821.85</v>
      </c>
      <c r="AQ69" s="787">
        <v>157906.86000000002</v>
      </c>
      <c r="AR69" s="787">
        <v>0</v>
      </c>
      <c r="AS69" s="787">
        <v>0</v>
      </c>
      <c r="AT69" s="787">
        <v>28910.68</v>
      </c>
      <c r="AU69" s="787">
        <v>0</v>
      </c>
      <c r="AV69" s="787">
        <v>22827.52</v>
      </c>
      <c r="AW69" s="787">
        <v>4308</v>
      </c>
      <c r="AX69" s="787">
        <v>0</v>
      </c>
      <c r="AY69" s="787">
        <v>0</v>
      </c>
      <c r="AZ69" s="787">
        <v>50182.559999999998</v>
      </c>
      <c r="BA69" s="787">
        <v>0</v>
      </c>
      <c r="BB69" s="787">
        <v>28068</v>
      </c>
      <c r="BC69" s="787">
        <v>188187.41999999998</v>
      </c>
      <c r="BD69" s="787">
        <v>200871.21</v>
      </c>
      <c r="BE69" s="787">
        <v>53374.239999999998</v>
      </c>
      <c r="BF69" s="787">
        <v>376992.05</v>
      </c>
      <c r="BG69" s="787">
        <v>0</v>
      </c>
      <c r="BH69" s="787">
        <v>0</v>
      </c>
      <c r="BI69" s="787">
        <v>0</v>
      </c>
      <c r="BJ69" s="787">
        <f t="shared" si="2"/>
        <v>4748523.3099999996</v>
      </c>
      <c r="BK69" s="787"/>
      <c r="BL69" s="787"/>
      <c r="BM69" s="787"/>
      <c r="BN69" s="787">
        <v>0</v>
      </c>
      <c r="BO69" s="787">
        <v>0</v>
      </c>
      <c r="BP69" s="787">
        <v>0</v>
      </c>
      <c r="BQ69" s="787">
        <f t="shared" si="3"/>
        <v>0</v>
      </c>
      <c r="BR69" s="787">
        <v>0</v>
      </c>
      <c r="BS69" s="787">
        <v>1400</v>
      </c>
      <c r="BT69" s="787">
        <v>0</v>
      </c>
      <c r="BU69" s="787">
        <v>0</v>
      </c>
      <c r="BV69" s="787">
        <v>0</v>
      </c>
      <c r="BW69" s="787">
        <v>0</v>
      </c>
      <c r="BX69" s="787">
        <v>0</v>
      </c>
      <c r="BY69" s="787">
        <v>0</v>
      </c>
      <c r="BZ69" s="787">
        <f t="shared" si="4"/>
        <v>1400</v>
      </c>
      <c r="CA69" s="787"/>
      <c r="CB69" s="787"/>
      <c r="CC69" s="787"/>
      <c r="CD69" s="787">
        <v>0</v>
      </c>
      <c r="CE69" s="787">
        <v>0</v>
      </c>
      <c r="CF69" s="787">
        <f t="shared" si="5"/>
        <v>0</v>
      </c>
      <c r="CG69" s="787">
        <v>0</v>
      </c>
      <c r="CH69" s="787">
        <v>0</v>
      </c>
      <c r="CI69" s="787">
        <f t="shared" si="6"/>
        <v>0</v>
      </c>
      <c r="CJ69" s="787"/>
      <c r="CK69" s="787"/>
      <c r="CL69" s="787"/>
      <c r="CM69" s="787"/>
      <c r="CN69" s="787"/>
      <c r="CO69" s="787"/>
      <c r="CP69" s="787"/>
      <c r="CQ69" s="787"/>
      <c r="CR69" s="787"/>
      <c r="CS69" s="787">
        <v>1488411.59</v>
      </c>
      <c r="CT69" s="787">
        <v>39707.279999999999</v>
      </c>
      <c r="CU69" s="787">
        <v>652.80999999999995</v>
      </c>
      <c r="CV69" s="787">
        <v>1449357.12</v>
      </c>
      <c r="CW69" s="787">
        <v>0</v>
      </c>
      <c r="CX69" s="787">
        <v>18740.71</v>
      </c>
      <c r="CY69" s="787">
        <v>7919.03</v>
      </c>
      <c r="CZ69" s="787">
        <v>0</v>
      </c>
      <c r="DA69" s="787">
        <v>0</v>
      </c>
      <c r="DB69" s="787">
        <v>1476016.86</v>
      </c>
      <c r="DC69" s="787">
        <v>0</v>
      </c>
      <c r="DD69" s="787">
        <v>0</v>
      </c>
      <c r="DE69" s="787">
        <v>0</v>
      </c>
      <c r="DF69" s="787">
        <v>0</v>
      </c>
      <c r="DG69" s="787"/>
      <c r="DH69" s="787"/>
      <c r="DI69" s="787"/>
      <c r="DJ69" s="787">
        <v>0</v>
      </c>
      <c r="DK69" s="787">
        <v>0</v>
      </c>
      <c r="DL69" s="787">
        <v>0</v>
      </c>
      <c r="DM69" s="787">
        <v>0</v>
      </c>
      <c r="DN69" s="787">
        <v>0</v>
      </c>
      <c r="DO69" s="787">
        <v>0</v>
      </c>
      <c r="DP69" s="787">
        <v>-377358.96</v>
      </c>
      <c r="DQ69" s="787">
        <v>-113202.66</v>
      </c>
      <c r="DR69" s="787">
        <v>0</v>
      </c>
      <c r="DS69" s="787">
        <v>0</v>
      </c>
      <c r="DT69" s="787">
        <v>-490561.62</v>
      </c>
      <c r="DU69" s="787">
        <v>0</v>
      </c>
      <c r="DV69" s="787">
        <v>0</v>
      </c>
      <c r="DW69" s="787">
        <v>-58733</v>
      </c>
      <c r="DX69" s="787">
        <v>0</v>
      </c>
      <c r="DY69" s="787">
        <v>0</v>
      </c>
      <c r="DZ69" s="787">
        <v>0</v>
      </c>
      <c r="EA69" s="787">
        <v>-0.27555420610588044</v>
      </c>
    </row>
    <row r="70" spans="1:131" ht="15.6">
      <c r="A70" s="782" t="s">
        <v>1362</v>
      </c>
      <c r="B70" s="782" t="s">
        <v>888</v>
      </c>
      <c r="C70" s="783">
        <v>2091</v>
      </c>
      <c r="D70" s="784" t="s">
        <v>889</v>
      </c>
      <c r="E70" s="785" t="s">
        <v>521</v>
      </c>
      <c r="F70" s="786">
        <v>46094</v>
      </c>
      <c r="G70" s="785" t="s">
        <v>5</v>
      </c>
      <c r="H70" s="785" t="str">
        <f t="shared" si="0"/>
        <v>AX02F</v>
      </c>
      <c r="I70" s="787">
        <v>0</v>
      </c>
      <c r="J70" s="787">
        <v>0</v>
      </c>
      <c r="K70" s="787">
        <v>143085</v>
      </c>
      <c r="L70" s="787">
        <v>0</v>
      </c>
      <c r="M70" s="787">
        <v>7500</v>
      </c>
      <c r="N70" s="787">
        <v>0</v>
      </c>
      <c r="O70" s="787">
        <v>5688</v>
      </c>
      <c r="P70" s="787">
        <v>34013.800000000003</v>
      </c>
      <c r="Q70" s="787">
        <v>10976.759999999998</v>
      </c>
      <c r="R70" s="787">
        <v>26343.1</v>
      </c>
      <c r="S70" s="787">
        <v>0</v>
      </c>
      <c r="T70" s="787">
        <v>0</v>
      </c>
      <c r="U70" s="787">
        <v>3932.42</v>
      </c>
      <c r="V70" s="787">
        <v>1192.8499999999999</v>
      </c>
      <c r="W70" s="787">
        <v>0</v>
      </c>
      <c r="X70" s="787">
        <f t="shared" si="1"/>
        <v>232731.93000000002</v>
      </c>
      <c r="Y70" s="787">
        <v>793369.97</v>
      </c>
      <c r="Z70" s="787">
        <v>0</v>
      </c>
      <c r="AA70" s="787">
        <v>416801.36</v>
      </c>
      <c r="AB70" s="787">
        <v>54743.773999999998</v>
      </c>
      <c r="AC70" s="787">
        <v>109740.47</v>
      </c>
      <c r="AD70" s="787">
        <v>8405.07</v>
      </c>
      <c r="AE70" s="787">
        <v>41425.699999999997</v>
      </c>
      <c r="AF70" s="787">
        <v>3842</v>
      </c>
      <c r="AG70" s="787">
        <v>3175.73</v>
      </c>
      <c r="AH70" s="787">
        <v>0</v>
      </c>
      <c r="AI70" s="787">
        <v>0</v>
      </c>
      <c r="AJ70" s="787">
        <v>12904.7</v>
      </c>
      <c r="AK70" s="787">
        <v>107.22</v>
      </c>
      <c r="AL70" s="787">
        <v>23828.84</v>
      </c>
      <c r="AM70" s="787">
        <v>12087.12</v>
      </c>
      <c r="AN70" s="787">
        <v>58734.649999999994</v>
      </c>
      <c r="AO70" s="787">
        <v>0</v>
      </c>
      <c r="AP70" s="787">
        <v>15714.150000000001</v>
      </c>
      <c r="AQ70" s="787">
        <v>43295</v>
      </c>
      <c r="AR70" s="787">
        <v>13042</v>
      </c>
      <c r="AS70" s="787">
        <v>0</v>
      </c>
      <c r="AT70" s="787">
        <v>4401.3100000000004</v>
      </c>
      <c r="AU70" s="787">
        <v>13425.800000000001</v>
      </c>
      <c r="AV70" s="787">
        <v>295</v>
      </c>
      <c r="AW70" s="787">
        <v>3449</v>
      </c>
      <c r="AX70" s="787">
        <v>6075</v>
      </c>
      <c r="AY70" s="787">
        <v>0</v>
      </c>
      <c r="AZ70" s="787">
        <v>15105.12</v>
      </c>
      <c r="BA70" s="787">
        <v>0</v>
      </c>
      <c r="BB70" s="787">
        <v>1331</v>
      </c>
      <c r="BC70" s="787">
        <v>69597.14</v>
      </c>
      <c r="BD70" s="787">
        <v>37702</v>
      </c>
      <c r="BE70" s="787">
        <v>66150</v>
      </c>
      <c r="BF70" s="787">
        <v>18408</v>
      </c>
      <c r="BG70" s="787">
        <v>0</v>
      </c>
      <c r="BH70" s="787">
        <v>0</v>
      </c>
      <c r="BI70" s="787">
        <v>0</v>
      </c>
      <c r="BJ70" s="787">
        <f t="shared" si="2"/>
        <v>1847157.1240000001</v>
      </c>
      <c r="BK70" s="787"/>
      <c r="BL70" s="787"/>
      <c r="BM70" s="787"/>
      <c r="BN70" s="787">
        <v>0</v>
      </c>
      <c r="BO70" s="787">
        <v>0</v>
      </c>
      <c r="BP70" s="787">
        <v>0</v>
      </c>
      <c r="BQ70" s="787">
        <f t="shared" si="3"/>
        <v>0</v>
      </c>
      <c r="BR70" s="787">
        <v>0</v>
      </c>
      <c r="BS70" s="787">
        <v>0</v>
      </c>
      <c r="BT70" s="787">
        <v>0</v>
      </c>
      <c r="BU70" s="787">
        <v>0</v>
      </c>
      <c r="BV70" s="787">
        <v>4176</v>
      </c>
      <c r="BW70" s="787">
        <v>0</v>
      </c>
      <c r="BX70" s="787">
        <v>0</v>
      </c>
      <c r="BY70" s="787">
        <v>0</v>
      </c>
      <c r="BZ70" s="787">
        <f t="shared" si="4"/>
        <v>4176</v>
      </c>
      <c r="CA70" s="787"/>
      <c r="CB70" s="787"/>
      <c r="CC70" s="787"/>
      <c r="CD70" s="787">
        <v>0</v>
      </c>
      <c r="CE70" s="787">
        <v>0</v>
      </c>
      <c r="CF70" s="787">
        <f t="shared" si="5"/>
        <v>0</v>
      </c>
      <c r="CG70" s="787">
        <v>0</v>
      </c>
      <c r="CH70" s="787">
        <v>0</v>
      </c>
      <c r="CI70" s="787">
        <f t="shared" si="6"/>
        <v>0</v>
      </c>
      <c r="CJ70" s="787"/>
      <c r="CK70" s="787"/>
      <c r="CL70" s="787"/>
      <c r="CM70" s="787"/>
      <c r="CN70" s="787"/>
      <c r="CO70" s="787"/>
      <c r="CP70" s="787"/>
      <c r="CQ70" s="787"/>
      <c r="CR70" s="787"/>
      <c r="CS70" s="787">
        <v>137453.35</v>
      </c>
      <c r="CT70" s="787">
        <v>0</v>
      </c>
      <c r="CU70" s="787">
        <v>0</v>
      </c>
      <c r="CV70" s="787">
        <v>137453.35</v>
      </c>
      <c r="CW70" s="787">
        <v>1007</v>
      </c>
      <c r="CX70" s="787">
        <v>4634.17</v>
      </c>
      <c r="CY70" s="787">
        <v>2220.8000000000002</v>
      </c>
      <c r="CZ70" s="787">
        <v>3798.03</v>
      </c>
      <c r="DA70" s="787">
        <v>0</v>
      </c>
      <c r="DB70" s="787">
        <v>149113.35</v>
      </c>
      <c r="DC70" s="787">
        <v>0</v>
      </c>
      <c r="DD70" s="787">
        <v>0</v>
      </c>
      <c r="DE70" s="787">
        <v>0</v>
      </c>
      <c r="DF70" s="787">
        <v>0</v>
      </c>
      <c r="DG70" s="787"/>
      <c r="DH70" s="787"/>
      <c r="DI70" s="787"/>
      <c r="DJ70" s="787">
        <v>0</v>
      </c>
      <c r="DK70" s="787">
        <v>0</v>
      </c>
      <c r="DL70" s="787">
        <v>29303.73</v>
      </c>
      <c r="DM70" s="787">
        <v>0</v>
      </c>
      <c r="DN70" s="787">
        <v>0</v>
      </c>
      <c r="DO70" s="787">
        <v>0</v>
      </c>
      <c r="DP70" s="787">
        <v>-148468.78</v>
      </c>
      <c r="DQ70" s="787">
        <v>-2752.64</v>
      </c>
      <c r="DR70" s="787">
        <v>0</v>
      </c>
      <c r="DS70" s="787">
        <v>0</v>
      </c>
      <c r="DT70" s="787">
        <v>-121917.69</v>
      </c>
      <c r="DU70" s="787">
        <v>264</v>
      </c>
      <c r="DV70" s="787">
        <v>0</v>
      </c>
      <c r="DW70" s="787">
        <v>-1803</v>
      </c>
      <c r="DX70" s="787">
        <v>-695141</v>
      </c>
      <c r="DY70" s="787">
        <v>0</v>
      </c>
      <c r="DZ70" s="787">
        <v>-25264.23</v>
      </c>
      <c r="EA70" s="787">
        <v>-7.4937563622370362E-3</v>
      </c>
    </row>
    <row r="71" spans="1:131" ht="15.6">
      <c r="A71" s="782" t="s">
        <v>1363</v>
      </c>
      <c r="B71" s="782" t="s">
        <v>652</v>
      </c>
      <c r="C71" s="783">
        <v>2093</v>
      </c>
      <c r="D71" s="784" t="s">
        <v>653</v>
      </c>
      <c r="E71" s="785" t="s">
        <v>521</v>
      </c>
      <c r="F71" s="786">
        <v>46094</v>
      </c>
      <c r="G71" s="785" t="s">
        <v>5</v>
      </c>
      <c r="H71" s="785" t="str">
        <f t="shared" si="0"/>
        <v>AX02G</v>
      </c>
      <c r="I71" s="787">
        <v>0</v>
      </c>
      <c r="J71" s="787">
        <v>0</v>
      </c>
      <c r="K71" s="787">
        <v>24930</v>
      </c>
      <c r="L71" s="787">
        <v>0</v>
      </c>
      <c r="M71" s="787">
        <v>0</v>
      </c>
      <c r="N71" s="787">
        <v>0</v>
      </c>
      <c r="O71" s="787">
        <v>0</v>
      </c>
      <c r="P71" s="787">
        <v>0</v>
      </c>
      <c r="Q71" s="787">
        <v>51834</v>
      </c>
      <c r="R71" s="787">
        <v>22294</v>
      </c>
      <c r="S71" s="787">
        <v>0</v>
      </c>
      <c r="T71" s="787">
        <v>0</v>
      </c>
      <c r="U71" s="787">
        <v>34930</v>
      </c>
      <c r="V71" s="787">
        <v>0</v>
      </c>
      <c r="W71" s="787">
        <v>0</v>
      </c>
      <c r="X71" s="787">
        <f t="shared" si="1"/>
        <v>133988</v>
      </c>
      <c r="Y71" s="787">
        <v>1243661</v>
      </c>
      <c r="Z71" s="787">
        <v>255008</v>
      </c>
      <c r="AA71" s="787">
        <v>320702</v>
      </c>
      <c r="AB71" s="787">
        <v>85321</v>
      </c>
      <c r="AC71" s="787">
        <v>144642</v>
      </c>
      <c r="AD71" s="787">
        <v>0</v>
      </c>
      <c r="AE71" s="787">
        <v>74436</v>
      </c>
      <c r="AF71" s="787">
        <v>6694</v>
      </c>
      <c r="AG71" s="787">
        <v>8192</v>
      </c>
      <c r="AH71" s="787">
        <v>0</v>
      </c>
      <c r="AI71" s="787">
        <v>6191</v>
      </c>
      <c r="AJ71" s="787">
        <v>75879</v>
      </c>
      <c r="AK71" s="787">
        <v>4856</v>
      </c>
      <c r="AL71" s="787">
        <v>6265</v>
      </c>
      <c r="AM71" s="787">
        <v>21515</v>
      </c>
      <c r="AN71" s="787">
        <v>32599</v>
      </c>
      <c r="AO71" s="787">
        <v>0</v>
      </c>
      <c r="AP71" s="787">
        <v>16316.12</v>
      </c>
      <c r="AQ71" s="787">
        <v>111621</v>
      </c>
      <c r="AR71" s="787">
        <v>5460</v>
      </c>
      <c r="AS71" s="787">
        <v>0</v>
      </c>
      <c r="AT71" s="787">
        <v>16584</v>
      </c>
      <c r="AU71" s="787">
        <v>22325</v>
      </c>
      <c r="AV71" s="787">
        <v>8464</v>
      </c>
      <c r="AW71" s="787">
        <v>0</v>
      </c>
      <c r="AX71" s="787">
        <v>14923</v>
      </c>
      <c r="AY71" s="787">
        <v>0</v>
      </c>
      <c r="AZ71" s="787">
        <v>16073</v>
      </c>
      <c r="BA71" s="787">
        <v>0</v>
      </c>
      <c r="BB71" s="787">
        <v>0</v>
      </c>
      <c r="BC71" s="787">
        <v>192657.47</v>
      </c>
      <c r="BD71" s="787">
        <v>0</v>
      </c>
      <c r="BE71" s="787">
        <v>50349</v>
      </c>
      <c r="BF71" s="787">
        <v>23937</v>
      </c>
      <c r="BG71" s="787">
        <v>0</v>
      </c>
      <c r="BH71" s="787">
        <v>0</v>
      </c>
      <c r="BI71" s="787">
        <v>0</v>
      </c>
      <c r="BJ71" s="787">
        <f t="shared" si="2"/>
        <v>2764670.5900000003</v>
      </c>
      <c r="BK71" s="787"/>
      <c r="BL71" s="787"/>
      <c r="BM71" s="787"/>
      <c r="BN71" s="787">
        <v>0</v>
      </c>
      <c r="BO71" s="787">
        <v>0</v>
      </c>
      <c r="BP71" s="787">
        <v>0</v>
      </c>
      <c r="BQ71" s="787">
        <f t="shared" si="3"/>
        <v>0</v>
      </c>
      <c r="BR71" s="787">
        <v>0</v>
      </c>
      <c r="BS71" s="787">
        <v>0</v>
      </c>
      <c r="BT71" s="787">
        <v>18545</v>
      </c>
      <c r="BU71" s="787">
        <v>0</v>
      </c>
      <c r="BV71" s="787">
        <v>0</v>
      </c>
      <c r="BW71" s="787">
        <v>0</v>
      </c>
      <c r="BX71" s="787">
        <v>7286</v>
      </c>
      <c r="BY71" s="787">
        <v>0</v>
      </c>
      <c r="BZ71" s="787">
        <f t="shared" si="4"/>
        <v>25831</v>
      </c>
      <c r="CA71" s="787"/>
      <c r="CB71" s="787"/>
      <c r="CC71" s="787"/>
      <c r="CD71" s="787">
        <v>0</v>
      </c>
      <c r="CE71" s="787">
        <v>0</v>
      </c>
      <c r="CF71" s="787">
        <f t="shared" si="5"/>
        <v>0</v>
      </c>
      <c r="CG71" s="787">
        <v>0</v>
      </c>
      <c r="CH71" s="787">
        <v>0</v>
      </c>
      <c r="CI71" s="787">
        <f t="shared" si="6"/>
        <v>0</v>
      </c>
      <c r="CJ71" s="787"/>
      <c r="CK71" s="787"/>
      <c r="CL71" s="787"/>
      <c r="CM71" s="787"/>
      <c r="CN71" s="787"/>
      <c r="CO71" s="787"/>
      <c r="CP71" s="787"/>
      <c r="CQ71" s="787"/>
      <c r="CR71" s="787"/>
      <c r="CS71" s="787">
        <v>888789</v>
      </c>
      <c r="CT71" s="787">
        <v>89822</v>
      </c>
      <c r="CU71" s="787">
        <v>0</v>
      </c>
      <c r="CV71" s="787">
        <v>798967</v>
      </c>
      <c r="CW71" s="787">
        <v>0</v>
      </c>
      <c r="CX71" s="787">
        <v>10136</v>
      </c>
      <c r="CY71" s="787">
        <v>10376</v>
      </c>
      <c r="CZ71" s="787">
        <v>0</v>
      </c>
      <c r="DA71" s="787">
        <v>0</v>
      </c>
      <c r="DB71" s="787">
        <v>819479</v>
      </c>
      <c r="DC71" s="787">
        <v>0</v>
      </c>
      <c r="DD71" s="787">
        <v>0</v>
      </c>
      <c r="DE71" s="787">
        <v>0</v>
      </c>
      <c r="DF71" s="787">
        <v>0</v>
      </c>
      <c r="DG71" s="787"/>
      <c r="DH71" s="787"/>
      <c r="DI71" s="787"/>
      <c r="DJ71" s="787">
        <v>0</v>
      </c>
      <c r="DK71" s="787">
        <v>0</v>
      </c>
      <c r="DL71" s="787">
        <v>0</v>
      </c>
      <c r="DM71" s="787">
        <v>0</v>
      </c>
      <c r="DN71" s="787">
        <v>0</v>
      </c>
      <c r="DO71" s="787">
        <v>0</v>
      </c>
      <c r="DP71" s="787">
        <v>-209080</v>
      </c>
      <c r="DQ71" s="787">
        <v>-48916.59</v>
      </c>
      <c r="DR71" s="787">
        <v>0</v>
      </c>
      <c r="DS71" s="787">
        <v>0</v>
      </c>
      <c r="DT71" s="787">
        <v>-257996.59</v>
      </c>
      <c r="DU71" s="787">
        <v>0</v>
      </c>
      <c r="DV71" s="787">
        <v>0</v>
      </c>
      <c r="DW71" s="787">
        <v>0</v>
      </c>
      <c r="DX71" s="787">
        <v>0</v>
      </c>
      <c r="DY71" s="787">
        <v>0</v>
      </c>
      <c r="DZ71" s="787">
        <v>0</v>
      </c>
      <c r="EA71" s="787">
        <v>-0.14120443409774452</v>
      </c>
    </row>
    <row r="72" spans="1:131" ht="15.6">
      <c r="A72" s="782" t="s">
        <v>1364</v>
      </c>
      <c r="B72" s="782" t="s">
        <v>654</v>
      </c>
      <c r="C72" s="783">
        <v>2092</v>
      </c>
      <c r="D72" s="784" t="s">
        <v>655</v>
      </c>
      <c r="E72" s="785" t="s">
        <v>521</v>
      </c>
      <c r="F72" s="786">
        <v>46087</v>
      </c>
      <c r="G72" s="785" t="s">
        <v>5</v>
      </c>
      <c r="H72" s="785" t="str">
        <f t="shared" si="0"/>
        <v>AX02H</v>
      </c>
      <c r="I72" s="787">
        <v>0</v>
      </c>
      <c r="J72" s="787">
        <v>0</v>
      </c>
      <c r="K72" s="787">
        <v>7553.3500000000058</v>
      </c>
      <c r="L72" s="787">
        <v>0</v>
      </c>
      <c r="M72" s="787">
        <v>0</v>
      </c>
      <c r="N72" s="787">
        <v>0</v>
      </c>
      <c r="O72" s="787">
        <v>0</v>
      </c>
      <c r="P72" s="787">
        <v>0</v>
      </c>
      <c r="Q72" s="787">
        <v>34004.26</v>
      </c>
      <c r="R72" s="787">
        <v>70073.25</v>
      </c>
      <c r="S72" s="787">
        <v>0</v>
      </c>
      <c r="T72" s="787">
        <v>0</v>
      </c>
      <c r="U72" s="787">
        <v>38476.949999999997</v>
      </c>
      <c r="V72" s="787">
        <v>134965.29999999999</v>
      </c>
      <c r="W72" s="787">
        <v>0</v>
      </c>
      <c r="X72" s="787">
        <f t="shared" si="1"/>
        <v>285073.11</v>
      </c>
      <c r="Y72" s="787">
        <v>1690203.87</v>
      </c>
      <c r="Z72" s="787">
        <v>0</v>
      </c>
      <c r="AA72" s="787">
        <v>189852.21000000002</v>
      </c>
      <c r="AB72" s="787">
        <v>105011.31</v>
      </c>
      <c r="AC72" s="787">
        <v>208815.56</v>
      </c>
      <c r="AD72" s="787">
        <v>0</v>
      </c>
      <c r="AE72" s="787">
        <v>84643.42</v>
      </c>
      <c r="AF72" s="787">
        <v>7538.01</v>
      </c>
      <c r="AG72" s="787">
        <v>170</v>
      </c>
      <c r="AH72" s="787">
        <v>0</v>
      </c>
      <c r="AI72" s="787">
        <v>0</v>
      </c>
      <c r="AJ72" s="787">
        <v>193994.08</v>
      </c>
      <c r="AK72" s="787">
        <v>4110.66</v>
      </c>
      <c r="AL72" s="787">
        <v>1450.29</v>
      </c>
      <c r="AM72" s="787">
        <v>13398.08</v>
      </c>
      <c r="AN72" s="787">
        <v>80108.739999999991</v>
      </c>
      <c r="AO72" s="787">
        <v>0</v>
      </c>
      <c r="AP72" s="787">
        <v>8086.14</v>
      </c>
      <c r="AQ72" s="787">
        <v>86372.09</v>
      </c>
      <c r="AR72" s="787">
        <v>0</v>
      </c>
      <c r="AS72" s="787">
        <v>0</v>
      </c>
      <c r="AT72" s="787">
        <v>0</v>
      </c>
      <c r="AU72" s="787">
        <v>0</v>
      </c>
      <c r="AV72" s="787">
        <v>32498.59</v>
      </c>
      <c r="AW72" s="787">
        <v>0</v>
      </c>
      <c r="AX72" s="787">
        <v>0</v>
      </c>
      <c r="AY72" s="787">
        <v>0</v>
      </c>
      <c r="AZ72" s="787">
        <v>20620.259999999998</v>
      </c>
      <c r="BA72" s="787">
        <v>0</v>
      </c>
      <c r="BB72" s="787">
        <v>13031.88</v>
      </c>
      <c r="BC72" s="787">
        <v>147712.66999999998</v>
      </c>
      <c r="BD72" s="787">
        <v>52532.56</v>
      </c>
      <c r="BE72" s="787">
        <v>0</v>
      </c>
      <c r="BF72" s="787">
        <v>283934.89</v>
      </c>
      <c r="BG72" s="787">
        <v>0</v>
      </c>
      <c r="BH72" s="787">
        <v>0</v>
      </c>
      <c r="BI72" s="787">
        <v>0</v>
      </c>
      <c r="BJ72" s="787">
        <f t="shared" si="2"/>
        <v>3224085.31</v>
      </c>
      <c r="BK72" s="787"/>
      <c r="BL72" s="787"/>
      <c r="BM72" s="787"/>
      <c r="BN72" s="787">
        <v>0</v>
      </c>
      <c r="BO72" s="787">
        <v>0</v>
      </c>
      <c r="BP72" s="787">
        <v>0</v>
      </c>
      <c r="BQ72" s="787">
        <f t="shared" si="3"/>
        <v>0</v>
      </c>
      <c r="BR72" s="787">
        <v>0</v>
      </c>
      <c r="BS72" s="787">
        <v>18811</v>
      </c>
      <c r="BT72" s="787">
        <v>0</v>
      </c>
      <c r="BU72" s="787">
        <v>0</v>
      </c>
      <c r="BV72" s="787">
        <v>0</v>
      </c>
      <c r="BW72" s="787">
        <v>0</v>
      </c>
      <c r="BX72" s="787">
        <v>0</v>
      </c>
      <c r="BY72" s="787">
        <v>0</v>
      </c>
      <c r="BZ72" s="787">
        <f t="shared" si="4"/>
        <v>18811</v>
      </c>
      <c r="CA72" s="787"/>
      <c r="CB72" s="787"/>
      <c r="CC72" s="787"/>
      <c r="CD72" s="787">
        <v>0</v>
      </c>
      <c r="CE72" s="787">
        <v>0</v>
      </c>
      <c r="CF72" s="787">
        <f t="shared" si="5"/>
        <v>0</v>
      </c>
      <c r="CG72" s="787">
        <v>0</v>
      </c>
      <c r="CH72" s="787">
        <v>0</v>
      </c>
      <c r="CI72" s="787">
        <f t="shared" si="6"/>
        <v>0</v>
      </c>
      <c r="CJ72" s="787"/>
      <c r="CK72" s="787"/>
      <c r="CL72" s="787"/>
      <c r="CM72" s="787"/>
      <c r="CN72" s="787"/>
      <c r="CO72" s="787"/>
      <c r="CP72" s="787"/>
      <c r="CQ72" s="787"/>
      <c r="CR72" s="787"/>
      <c r="CS72" s="787"/>
      <c r="CT72" s="787"/>
      <c r="CU72" s="787"/>
      <c r="CV72" s="787"/>
      <c r="CW72" s="787"/>
      <c r="CX72" s="787"/>
      <c r="CY72" s="787"/>
      <c r="CZ72" s="787"/>
      <c r="DA72" s="787"/>
      <c r="DB72" s="787"/>
      <c r="DC72" s="787"/>
      <c r="DD72" s="787"/>
      <c r="DE72" s="787"/>
      <c r="DF72" s="787"/>
      <c r="DG72" s="787"/>
      <c r="DH72" s="787"/>
      <c r="DI72" s="787"/>
      <c r="DJ72" s="787"/>
      <c r="DK72" s="787"/>
      <c r="DL72" s="787"/>
      <c r="DM72" s="787"/>
      <c r="DN72" s="787"/>
      <c r="DO72" s="787"/>
      <c r="DP72" s="787"/>
      <c r="DQ72" s="787"/>
      <c r="DR72" s="787"/>
      <c r="DS72" s="787"/>
      <c r="DT72" s="787"/>
      <c r="DU72" s="787"/>
      <c r="DV72" s="787"/>
      <c r="DW72" s="787"/>
      <c r="DX72" s="787"/>
      <c r="DY72" s="787"/>
      <c r="DZ72" s="787"/>
      <c r="EA72" s="787"/>
    </row>
    <row r="73" spans="1:131" ht="15.6">
      <c r="A73" s="782" t="s">
        <v>1365</v>
      </c>
      <c r="B73" s="782" t="s">
        <v>656</v>
      </c>
      <c r="C73" s="783">
        <v>7006</v>
      </c>
      <c r="D73" s="784" t="s">
        <v>657</v>
      </c>
      <c r="E73" s="785" t="s">
        <v>521</v>
      </c>
      <c r="F73" s="786">
        <v>46093</v>
      </c>
      <c r="G73" s="785" t="s">
        <v>5</v>
      </c>
      <c r="H73" s="785" t="str">
        <f t="shared" ref="H73:H136" si="7">B73</f>
        <v>AX02K</v>
      </c>
      <c r="I73" s="787">
        <v>0</v>
      </c>
      <c r="J73" s="787">
        <v>0</v>
      </c>
      <c r="K73" s="787">
        <v>191537</v>
      </c>
      <c r="L73" s="787">
        <v>0</v>
      </c>
      <c r="M73" s="787">
        <v>0</v>
      </c>
      <c r="N73" s="787">
        <v>0</v>
      </c>
      <c r="O73" s="787">
        <v>3800</v>
      </c>
      <c r="P73" s="787">
        <v>0</v>
      </c>
      <c r="Q73" s="787">
        <v>62.97</v>
      </c>
      <c r="R73" s="787">
        <v>15865.31</v>
      </c>
      <c r="S73" s="787">
        <v>0</v>
      </c>
      <c r="T73" s="787">
        <v>0</v>
      </c>
      <c r="U73" s="787">
        <v>626.63</v>
      </c>
      <c r="V73" s="787">
        <v>82657.06</v>
      </c>
      <c r="W73" s="787">
        <v>0</v>
      </c>
      <c r="X73" s="787">
        <f t="shared" ref="X73:X136" si="8">SUM(I73:W73)</f>
        <v>294548.96999999997</v>
      </c>
      <c r="Y73" s="787">
        <v>1574107.15</v>
      </c>
      <c r="Z73" s="787">
        <v>0</v>
      </c>
      <c r="AA73" s="787">
        <v>2103075.0699999998</v>
      </c>
      <c r="AB73" s="787">
        <v>90266.72</v>
      </c>
      <c r="AC73" s="787">
        <v>322344.17</v>
      </c>
      <c r="AD73" s="787">
        <v>0</v>
      </c>
      <c r="AE73" s="787">
        <v>191587.5</v>
      </c>
      <c r="AF73" s="787">
        <v>4415.07</v>
      </c>
      <c r="AG73" s="787">
        <v>15379.1</v>
      </c>
      <c r="AH73" s="787">
        <v>0</v>
      </c>
      <c r="AI73" s="787">
        <v>0</v>
      </c>
      <c r="AJ73" s="787">
        <v>76452.23000000001</v>
      </c>
      <c r="AK73" s="787">
        <v>0</v>
      </c>
      <c r="AL73" s="787">
        <v>72387.180000000008</v>
      </c>
      <c r="AM73" s="787">
        <v>24645.55</v>
      </c>
      <c r="AN73" s="787">
        <v>32606.079999999998</v>
      </c>
      <c r="AO73" s="787">
        <v>0</v>
      </c>
      <c r="AP73" s="787">
        <v>44758.1</v>
      </c>
      <c r="AQ73" s="787">
        <v>27605.31</v>
      </c>
      <c r="AR73" s="787">
        <v>88322.87</v>
      </c>
      <c r="AS73" s="787">
        <v>0</v>
      </c>
      <c r="AT73" s="787">
        <v>0</v>
      </c>
      <c r="AU73" s="787">
        <v>0</v>
      </c>
      <c r="AV73" s="787">
        <v>0</v>
      </c>
      <c r="AW73" s="787">
        <v>0</v>
      </c>
      <c r="AX73" s="787">
        <v>0</v>
      </c>
      <c r="AY73" s="787">
        <v>0</v>
      </c>
      <c r="AZ73" s="787">
        <v>62668.57</v>
      </c>
      <c r="BA73" s="787">
        <v>0</v>
      </c>
      <c r="BB73" s="787">
        <v>4517</v>
      </c>
      <c r="BC73" s="787">
        <v>168076.66999999998</v>
      </c>
      <c r="BD73" s="787">
        <v>107944.86</v>
      </c>
      <c r="BE73" s="787">
        <v>0</v>
      </c>
      <c r="BF73" s="787">
        <v>1265556.44</v>
      </c>
      <c r="BG73" s="787">
        <v>0</v>
      </c>
      <c r="BH73" s="787">
        <v>0</v>
      </c>
      <c r="BI73" s="787">
        <v>0</v>
      </c>
      <c r="BJ73" s="787">
        <f t="shared" ref="BJ73:BJ136" si="9">SUM(Y73:BI73)</f>
        <v>6276715.6399999987</v>
      </c>
      <c r="BK73" s="787"/>
      <c r="BL73" s="787"/>
      <c r="BM73" s="787"/>
      <c r="BN73" s="787">
        <v>0</v>
      </c>
      <c r="BO73" s="787">
        <v>0</v>
      </c>
      <c r="BP73" s="787">
        <v>0</v>
      </c>
      <c r="BQ73" s="787">
        <f t="shared" ref="BQ73:BQ136" si="10">SUM(BN73:BP73)</f>
        <v>0</v>
      </c>
      <c r="BR73" s="787">
        <v>73906.720000000001</v>
      </c>
      <c r="BS73" s="787">
        <v>0</v>
      </c>
      <c r="BT73" s="787">
        <v>0</v>
      </c>
      <c r="BU73" s="787">
        <v>0</v>
      </c>
      <c r="BV73" s="787">
        <v>0</v>
      </c>
      <c r="BW73" s="787">
        <v>0</v>
      </c>
      <c r="BX73" s="787">
        <v>0</v>
      </c>
      <c r="BY73" s="787">
        <v>0</v>
      </c>
      <c r="BZ73" s="787">
        <f t="shared" ref="BZ73:BZ136" si="11">SUM(BR73:BY73)</f>
        <v>73906.720000000001</v>
      </c>
      <c r="CA73" s="787"/>
      <c r="CB73" s="787"/>
      <c r="CC73" s="787"/>
      <c r="CD73" s="787">
        <v>0</v>
      </c>
      <c r="CE73" s="787">
        <v>0</v>
      </c>
      <c r="CF73" s="787">
        <f t="shared" ref="CF73:CF136" si="12">SUM(CD73:CE73)</f>
        <v>0</v>
      </c>
      <c r="CG73" s="787">
        <v>0</v>
      </c>
      <c r="CH73" s="787">
        <v>0</v>
      </c>
      <c r="CI73" s="787">
        <f t="shared" ref="CI73:CI136" si="13">SUM(CG73:CH73)</f>
        <v>0</v>
      </c>
      <c r="CJ73" s="787"/>
      <c r="CK73" s="787"/>
      <c r="CL73" s="787"/>
      <c r="CM73" s="787"/>
      <c r="CN73" s="787"/>
      <c r="CO73" s="787"/>
      <c r="CP73" s="787"/>
      <c r="CQ73" s="787"/>
      <c r="CR73" s="787"/>
      <c r="CS73" s="787">
        <v>445357.35</v>
      </c>
      <c r="CT73" s="787">
        <v>442982.54</v>
      </c>
      <c r="CU73" s="787">
        <v>0</v>
      </c>
      <c r="CV73" s="787">
        <v>2374.8099999999977</v>
      </c>
      <c r="CW73" s="787">
        <v>0</v>
      </c>
      <c r="CX73" s="787">
        <v>49257.57</v>
      </c>
      <c r="CY73" s="787">
        <v>16964.330000000002</v>
      </c>
      <c r="CZ73" s="787">
        <v>0</v>
      </c>
      <c r="DA73" s="787">
        <v>0</v>
      </c>
      <c r="DB73" s="787">
        <v>68596.709999999992</v>
      </c>
      <c r="DC73" s="787">
        <v>0</v>
      </c>
      <c r="DD73" s="787">
        <v>0</v>
      </c>
      <c r="DE73" s="787">
        <v>0</v>
      </c>
      <c r="DF73" s="787">
        <v>0</v>
      </c>
      <c r="DG73" s="787"/>
      <c r="DH73" s="787"/>
      <c r="DI73" s="787"/>
      <c r="DJ73" s="787">
        <v>-500000</v>
      </c>
      <c r="DK73" s="787">
        <v>-500000</v>
      </c>
      <c r="DL73" s="787">
        <v>191537</v>
      </c>
      <c r="DM73" s="787">
        <v>0</v>
      </c>
      <c r="DN73" s="787">
        <v>0</v>
      </c>
      <c r="DO73" s="787">
        <v>0</v>
      </c>
      <c r="DP73" s="787">
        <v>-87866.73</v>
      </c>
      <c r="DQ73" s="787">
        <v>-35726.949999999997</v>
      </c>
      <c r="DR73" s="787">
        <v>0</v>
      </c>
      <c r="DS73" s="787">
        <v>0</v>
      </c>
      <c r="DT73" s="787">
        <v>67943.320000000007</v>
      </c>
      <c r="DU73" s="787">
        <v>0</v>
      </c>
      <c r="DV73" s="787">
        <v>0</v>
      </c>
      <c r="DW73" s="787">
        <v>0</v>
      </c>
      <c r="DX73" s="787">
        <v>0</v>
      </c>
      <c r="DY73" s="787">
        <v>0</v>
      </c>
      <c r="DZ73" s="787">
        <v>-62408.68</v>
      </c>
      <c r="EA73" s="787">
        <v>0.24259099323535338</v>
      </c>
    </row>
    <row r="74" spans="1:131" ht="15.6">
      <c r="A74" s="782" t="s">
        <v>1366</v>
      </c>
      <c r="B74" s="782" t="s">
        <v>890</v>
      </c>
      <c r="C74" s="783">
        <v>2477</v>
      </c>
      <c r="D74" s="784" t="s">
        <v>891</v>
      </c>
      <c r="E74" s="785"/>
      <c r="F74" s="786"/>
      <c r="G74" s="785"/>
      <c r="H74" s="785" t="str">
        <f t="shared" si="7"/>
        <v>AX02L</v>
      </c>
      <c r="I74" s="787">
        <v>0</v>
      </c>
      <c r="J74" s="787">
        <v>0</v>
      </c>
      <c r="K74" s="787">
        <v>0</v>
      </c>
      <c r="L74" s="787">
        <v>0</v>
      </c>
      <c r="M74" s="787">
        <v>0</v>
      </c>
      <c r="N74" s="787">
        <v>0</v>
      </c>
      <c r="O74" s="787">
        <v>0</v>
      </c>
      <c r="P74" s="787">
        <v>0</v>
      </c>
      <c r="Q74" s="787">
        <v>738281.52249999624</v>
      </c>
      <c r="R74" s="787">
        <v>0</v>
      </c>
      <c r="S74" s="787">
        <v>0</v>
      </c>
      <c r="T74" s="787">
        <v>0</v>
      </c>
      <c r="U74" s="787">
        <v>0</v>
      </c>
      <c r="V74" s="787">
        <v>0</v>
      </c>
      <c r="W74" s="787">
        <v>0</v>
      </c>
      <c r="X74" s="787">
        <f t="shared" si="8"/>
        <v>738281.52249999624</v>
      </c>
      <c r="Y74" s="787">
        <v>0</v>
      </c>
      <c r="Z74" s="787">
        <v>0</v>
      </c>
      <c r="AA74" s="787">
        <v>0</v>
      </c>
      <c r="AB74" s="787">
        <v>0</v>
      </c>
      <c r="AC74" s="787">
        <v>0</v>
      </c>
      <c r="AD74" s="787">
        <v>0</v>
      </c>
      <c r="AE74" s="787">
        <v>0</v>
      </c>
      <c r="AF74" s="787">
        <v>0</v>
      </c>
      <c r="AG74" s="787">
        <v>0</v>
      </c>
      <c r="AH74" s="787">
        <v>0</v>
      </c>
      <c r="AI74" s="787">
        <v>0</v>
      </c>
      <c r="AJ74" s="787">
        <v>0</v>
      </c>
      <c r="AK74" s="787">
        <v>0</v>
      </c>
      <c r="AL74" s="787">
        <v>0</v>
      </c>
      <c r="AM74" s="787">
        <v>0</v>
      </c>
      <c r="AN74" s="787">
        <v>0</v>
      </c>
      <c r="AO74" s="787">
        <v>0</v>
      </c>
      <c r="AP74" s="787">
        <v>5839169.2799999993</v>
      </c>
      <c r="AQ74" s="787">
        <v>0</v>
      </c>
      <c r="AR74" s="787">
        <v>0</v>
      </c>
      <c r="AS74" s="787">
        <v>0</v>
      </c>
      <c r="AT74" s="787">
        <v>0</v>
      </c>
      <c r="AU74" s="787">
        <v>0</v>
      </c>
      <c r="AV74" s="787">
        <v>0</v>
      </c>
      <c r="AW74" s="787">
        <v>0</v>
      </c>
      <c r="AX74" s="787">
        <v>0</v>
      </c>
      <c r="AY74" s="787">
        <v>0</v>
      </c>
      <c r="AZ74" s="787">
        <v>0</v>
      </c>
      <c r="BA74" s="787">
        <v>0</v>
      </c>
      <c r="BB74" s="787">
        <v>0</v>
      </c>
      <c r="BC74" s="787">
        <v>0</v>
      </c>
      <c r="BD74" s="787">
        <v>0</v>
      </c>
      <c r="BE74" s="787">
        <v>0</v>
      </c>
      <c r="BF74" s="787">
        <v>0</v>
      </c>
      <c r="BG74" s="787">
        <v>0</v>
      </c>
      <c r="BH74" s="787">
        <v>0</v>
      </c>
      <c r="BI74" s="787">
        <v>0</v>
      </c>
      <c r="BJ74" s="787">
        <f t="shared" si="9"/>
        <v>5839169.2799999993</v>
      </c>
      <c r="BK74" s="787"/>
      <c r="BL74" s="787"/>
      <c r="BM74" s="787"/>
      <c r="BN74" s="787">
        <v>0</v>
      </c>
      <c r="BO74" s="787">
        <v>0</v>
      </c>
      <c r="BP74" s="787">
        <v>0</v>
      </c>
      <c r="BQ74" s="787">
        <f t="shared" si="10"/>
        <v>0</v>
      </c>
      <c r="BR74" s="787">
        <v>0</v>
      </c>
      <c r="BS74" s="787">
        <v>0</v>
      </c>
      <c r="BT74" s="787">
        <v>0</v>
      </c>
      <c r="BU74" s="787">
        <v>0</v>
      </c>
      <c r="BV74" s="787">
        <v>0</v>
      </c>
      <c r="BW74" s="787">
        <v>0</v>
      </c>
      <c r="BX74" s="787">
        <v>0</v>
      </c>
      <c r="BY74" s="787">
        <v>0</v>
      </c>
      <c r="BZ74" s="787">
        <f t="shared" si="11"/>
        <v>0</v>
      </c>
      <c r="CA74" s="787"/>
      <c r="CB74" s="787"/>
      <c r="CC74" s="787"/>
      <c r="CD74" s="787">
        <v>0</v>
      </c>
      <c r="CE74" s="787">
        <v>0</v>
      </c>
      <c r="CF74" s="787">
        <f t="shared" si="12"/>
        <v>0</v>
      </c>
      <c r="CG74" s="787">
        <v>0</v>
      </c>
      <c r="CH74" s="787">
        <v>0</v>
      </c>
      <c r="CI74" s="787">
        <f t="shared" si="13"/>
        <v>0</v>
      </c>
      <c r="CJ74" s="787"/>
      <c r="CK74" s="787"/>
      <c r="CL74" s="787"/>
      <c r="CM74" s="787"/>
      <c r="CN74" s="787"/>
      <c r="CO74" s="787"/>
      <c r="CP74" s="787"/>
      <c r="CQ74" s="787"/>
      <c r="CR74" s="787"/>
      <c r="CS74" s="787"/>
      <c r="CT74" s="787"/>
      <c r="CU74" s="787"/>
      <c r="CV74" s="787"/>
      <c r="CW74" s="787"/>
      <c r="CX74" s="787"/>
      <c r="CY74" s="787"/>
      <c r="CZ74" s="787"/>
      <c r="DA74" s="787"/>
      <c r="DB74" s="787"/>
      <c r="DC74" s="787"/>
      <c r="DD74" s="787"/>
      <c r="DE74" s="787"/>
      <c r="DF74" s="787"/>
      <c r="DG74" s="787"/>
      <c r="DH74" s="787"/>
      <c r="DI74" s="787"/>
      <c r="DJ74" s="787"/>
      <c r="DK74" s="787"/>
      <c r="DL74" s="787"/>
      <c r="DM74" s="787"/>
      <c r="DN74" s="787"/>
      <c r="DO74" s="787"/>
      <c r="DP74" s="787"/>
      <c r="DQ74" s="787"/>
      <c r="DR74" s="787"/>
      <c r="DS74" s="787"/>
      <c r="DT74" s="787"/>
      <c r="DU74" s="787"/>
      <c r="DV74" s="787"/>
      <c r="DW74" s="787"/>
      <c r="DX74" s="787"/>
      <c r="DY74" s="787"/>
      <c r="DZ74" s="787"/>
      <c r="EA74" s="787"/>
    </row>
    <row r="75" spans="1:131" ht="15.6">
      <c r="A75" s="782" t="s">
        <v>1367</v>
      </c>
      <c r="B75" s="782" t="s">
        <v>892</v>
      </c>
      <c r="C75" s="783">
        <v>3436</v>
      </c>
      <c r="D75" s="784" t="s">
        <v>893</v>
      </c>
      <c r="E75" s="785" t="s">
        <v>521</v>
      </c>
      <c r="F75" s="786">
        <v>46094</v>
      </c>
      <c r="G75" s="785" t="s">
        <v>5</v>
      </c>
      <c r="H75" s="785" t="str">
        <f t="shared" si="7"/>
        <v>AX09P</v>
      </c>
      <c r="I75" s="787">
        <v>0</v>
      </c>
      <c r="J75" s="787">
        <v>0</v>
      </c>
      <c r="K75" s="787">
        <v>0</v>
      </c>
      <c r="L75" s="787">
        <v>0</v>
      </c>
      <c r="M75" s="787">
        <v>0</v>
      </c>
      <c r="N75" s="787">
        <v>0</v>
      </c>
      <c r="O75" s="787">
        <v>0</v>
      </c>
      <c r="P75" s="787">
        <v>0</v>
      </c>
      <c r="Q75" s="787">
        <v>0</v>
      </c>
      <c r="R75" s="787">
        <v>696.08</v>
      </c>
      <c r="S75" s="787">
        <v>0</v>
      </c>
      <c r="T75" s="787">
        <v>0</v>
      </c>
      <c r="U75" s="787">
        <v>327.49</v>
      </c>
      <c r="V75" s="787">
        <v>38652.39</v>
      </c>
      <c r="W75" s="787">
        <v>0</v>
      </c>
      <c r="X75" s="787">
        <f t="shared" si="8"/>
        <v>39675.96</v>
      </c>
      <c r="Y75" s="787">
        <v>397966.05000000005</v>
      </c>
      <c r="Z75" s="787">
        <v>0</v>
      </c>
      <c r="AA75" s="787">
        <v>192591.23</v>
      </c>
      <c r="AB75" s="787">
        <v>44021.950000000004</v>
      </c>
      <c r="AC75" s="787">
        <v>152149.35</v>
      </c>
      <c r="AD75" s="787">
        <v>827.11</v>
      </c>
      <c r="AE75" s="787">
        <v>46611.12</v>
      </c>
      <c r="AF75" s="787">
        <v>2860</v>
      </c>
      <c r="AG75" s="787">
        <v>4293.2</v>
      </c>
      <c r="AH75" s="787">
        <v>0</v>
      </c>
      <c r="AI75" s="787">
        <v>0</v>
      </c>
      <c r="AJ75" s="787">
        <v>43377.31</v>
      </c>
      <c r="AK75" s="787">
        <v>15323</v>
      </c>
      <c r="AL75" s="787">
        <v>16353.14</v>
      </c>
      <c r="AM75" s="787">
        <v>3398.96</v>
      </c>
      <c r="AN75" s="787">
        <v>23408.959999999999</v>
      </c>
      <c r="AO75" s="787">
        <v>2782.5000000000009</v>
      </c>
      <c r="AP75" s="787">
        <v>42017.350000000006</v>
      </c>
      <c r="AQ75" s="787">
        <v>44636.340000000011</v>
      </c>
      <c r="AR75" s="787">
        <v>701.05</v>
      </c>
      <c r="AS75" s="787">
        <v>0</v>
      </c>
      <c r="AT75" s="787">
        <v>0</v>
      </c>
      <c r="AU75" s="787">
        <v>1482.83</v>
      </c>
      <c r="AV75" s="787">
        <v>2119</v>
      </c>
      <c r="AW75" s="787">
        <v>833.19999999999993</v>
      </c>
      <c r="AX75" s="787">
        <v>0</v>
      </c>
      <c r="AY75" s="787">
        <v>0</v>
      </c>
      <c r="AZ75" s="787">
        <v>16958.09</v>
      </c>
      <c r="BA75" s="787">
        <v>5139.7500000000009</v>
      </c>
      <c r="BB75" s="787">
        <v>765</v>
      </c>
      <c r="BC75" s="787">
        <v>147973.09</v>
      </c>
      <c r="BD75" s="787">
        <v>302154.39999999997</v>
      </c>
      <c r="BE75" s="787">
        <v>2197.25</v>
      </c>
      <c r="BF75" s="787">
        <v>130910.06000000001</v>
      </c>
      <c r="BG75" s="787">
        <v>0</v>
      </c>
      <c r="BH75" s="787">
        <v>0</v>
      </c>
      <c r="BI75" s="787">
        <v>0</v>
      </c>
      <c r="BJ75" s="787">
        <f t="shared" si="9"/>
        <v>1643851.2899999998</v>
      </c>
      <c r="BK75" s="787"/>
      <c r="BL75" s="787"/>
      <c r="BM75" s="787"/>
      <c r="BN75" s="787">
        <v>6116.25</v>
      </c>
      <c r="BO75" s="787">
        <v>0</v>
      </c>
      <c r="BP75" s="787">
        <v>0</v>
      </c>
      <c r="BQ75" s="787">
        <f t="shared" si="10"/>
        <v>6116.25</v>
      </c>
      <c r="BR75" s="787">
        <v>0</v>
      </c>
      <c r="BS75" s="787">
        <v>0</v>
      </c>
      <c r="BT75" s="787">
        <v>0</v>
      </c>
      <c r="BU75" s="787">
        <v>0</v>
      </c>
      <c r="BV75" s="787">
        <v>0</v>
      </c>
      <c r="BW75" s="787">
        <v>0</v>
      </c>
      <c r="BX75" s="787">
        <v>0</v>
      </c>
      <c r="BY75" s="787">
        <v>0</v>
      </c>
      <c r="BZ75" s="787">
        <f t="shared" si="11"/>
        <v>0</v>
      </c>
      <c r="CA75" s="787"/>
      <c r="CB75" s="787"/>
      <c r="CC75" s="787"/>
      <c r="CD75" s="787">
        <v>0</v>
      </c>
      <c r="CE75" s="787">
        <v>0</v>
      </c>
      <c r="CF75" s="787">
        <f t="shared" si="12"/>
        <v>0</v>
      </c>
      <c r="CG75" s="787">
        <v>0</v>
      </c>
      <c r="CH75" s="787">
        <v>0</v>
      </c>
      <c r="CI75" s="787">
        <f t="shared" si="13"/>
        <v>0</v>
      </c>
      <c r="CJ75" s="787"/>
      <c r="CK75" s="787"/>
      <c r="CL75" s="787"/>
      <c r="CM75" s="787"/>
      <c r="CN75" s="787"/>
      <c r="CO75" s="787"/>
      <c r="CP75" s="787"/>
      <c r="CQ75" s="787"/>
      <c r="CR75" s="787"/>
      <c r="CS75" s="787"/>
      <c r="CT75" s="787"/>
      <c r="CU75" s="787"/>
      <c r="CV75" s="787"/>
      <c r="CW75" s="787"/>
      <c r="CX75" s="787"/>
      <c r="CY75" s="787"/>
      <c r="CZ75" s="787"/>
      <c r="DA75" s="787"/>
      <c r="DB75" s="787"/>
      <c r="DC75" s="787"/>
      <c r="DD75" s="787"/>
      <c r="DE75" s="787"/>
      <c r="DF75" s="787"/>
      <c r="DG75" s="787"/>
      <c r="DH75" s="787"/>
      <c r="DI75" s="787"/>
      <c r="DJ75" s="787"/>
      <c r="DK75" s="787"/>
      <c r="DL75" s="787"/>
      <c r="DM75" s="787"/>
      <c r="DN75" s="787"/>
      <c r="DO75" s="787"/>
      <c r="DP75" s="787"/>
      <c r="DQ75" s="787"/>
      <c r="DR75" s="787"/>
      <c r="DS75" s="787"/>
      <c r="DT75" s="787"/>
      <c r="DU75" s="787"/>
      <c r="DV75" s="787"/>
      <c r="DW75" s="787"/>
      <c r="DX75" s="787"/>
      <c r="DY75" s="787"/>
      <c r="DZ75" s="787"/>
      <c r="EA75" s="787"/>
    </row>
    <row r="76" spans="1:131" ht="15.6">
      <c r="A76" s="782" t="s">
        <v>1368</v>
      </c>
      <c r="B76" s="782" t="s">
        <v>658</v>
      </c>
      <c r="C76" s="783">
        <v>2099</v>
      </c>
      <c r="D76" s="784" t="s">
        <v>659</v>
      </c>
      <c r="E76" s="785" t="s">
        <v>521</v>
      </c>
      <c r="F76" s="786">
        <v>46094</v>
      </c>
      <c r="G76" s="785" t="s">
        <v>5</v>
      </c>
      <c r="H76" s="785" t="str">
        <f t="shared" si="7"/>
        <v>AX02M</v>
      </c>
      <c r="I76" s="787">
        <v>0</v>
      </c>
      <c r="J76" s="787">
        <v>0</v>
      </c>
      <c r="K76" s="787">
        <v>0</v>
      </c>
      <c r="L76" s="787">
        <v>0</v>
      </c>
      <c r="M76" s="787">
        <v>0</v>
      </c>
      <c r="N76" s="787">
        <v>0</v>
      </c>
      <c r="O76" s="787">
        <v>0</v>
      </c>
      <c r="P76" s="787">
        <v>0</v>
      </c>
      <c r="Q76" s="787">
        <v>7588.52</v>
      </c>
      <c r="R76" s="787">
        <v>4796.8999999999996</v>
      </c>
      <c r="S76" s="787">
        <v>0</v>
      </c>
      <c r="T76" s="787">
        <v>0</v>
      </c>
      <c r="U76" s="787">
        <v>3128</v>
      </c>
      <c r="V76" s="787">
        <v>71489.34</v>
      </c>
      <c r="W76" s="787">
        <v>1078.6099999999999</v>
      </c>
      <c r="X76" s="787">
        <f t="shared" si="8"/>
        <v>88081.37</v>
      </c>
      <c r="Y76" s="787">
        <v>1058683.5900000001</v>
      </c>
      <c r="Z76" s="787">
        <v>0</v>
      </c>
      <c r="AA76" s="787">
        <v>278626.26</v>
      </c>
      <c r="AB76" s="787">
        <v>77925.69</v>
      </c>
      <c r="AC76" s="787">
        <v>93612.26</v>
      </c>
      <c r="AD76" s="787">
        <v>55967.48</v>
      </c>
      <c r="AE76" s="787">
        <v>39732.25</v>
      </c>
      <c r="AF76" s="787">
        <v>6381.25</v>
      </c>
      <c r="AG76" s="787">
        <v>6655.09</v>
      </c>
      <c r="AH76" s="787">
        <v>0</v>
      </c>
      <c r="AI76" s="787">
        <v>0</v>
      </c>
      <c r="AJ76" s="787">
        <v>100645.08</v>
      </c>
      <c r="AK76" s="787">
        <v>8892.0400000000009</v>
      </c>
      <c r="AL76" s="787">
        <v>3349.33</v>
      </c>
      <c r="AM76" s="787">
        <v>3788.39</v>
      </c>
      <c r="AN76" s="787">
        <v>25004.530000000002</v>
      </c>
      <c r="AO76" s="787">
        <v>0</v>
      </c>
      <c r="AP76" s="787">
        <v>13292.28</v>
      </c>
      <c r="AQ76" s="787">
        <v>26339</v>
      </c>
      <c r="AR76" s="787">
        <v>5952</v>
      </c>
      <c r="AS76" s="787">
        <v>0</v>
      </c>
      <c r="AT76" s="787">
        <v>16308.16</v>
      </c>
      <c r="AU76" s="787">
        <v>22155.63</v>
      </c>
      <c r="AV76" s="787">
        <v>9571.7999999999993</v>
      </c>
      <c r="AW76" s="787">
        <v>0</v>
      </c>
      <c r="AX76" s="787">
        <v>11430</v>
      </c>
      <c r="AY76" s="787">
        <v>0</v>
      </c>
      <c r="AZ76" s="787">
        <v>10922.07</v>
      </c>
      <c r="BA76" s="787">
        <v>1690.8400000000001</v>
      </c>
      <c r="BB76" s="787">
        <v>1188</v>
      </c>
      <c r="BC76" s="787">
        <v>27821.66</v>
      </c>
      <c r="BD76" s="787">
        <v>35020.740000000005</v>
      </c>
      <c r="BE76" s="787">
        <v>52307</v>
      </c>
      <c r="BF76" s="787">
        <v>35301</v>
      </c>
      <c r="BG76" s="787">
        <v>0</v>
      </c>
      <c r="BH76" s="787">
        <v>0</v>
      </c>
      <c r="BI76" s="787">
        <v>0</v>
      </c>
      <c r="BJ76" s="787">
        <f t="shared" si="9"/>
        <v>2028563.4200000002</v>
      </c>
      <c r="BK76" s="787"/>
      <c r="BL76" s="787"/>
      <c r="BM76" s="787"/>
      <c r="BN76" s="787">
        <v>0</v>
      </c>
      <c r="BO76" s="787">
        <v>0</v>
      </c>
      <c r="BP76" s="787">
        <v>0</v>
      </c>
      <c r="BQ76" s="787">
        <f t="shared" si="10"/>
        <v>0</v>
      </c>
      <c r="BR76" s="787">
        <v>0</v>
      </c>
      <c r="BS76" s="787">
        <v>1875</v>
      </c>
      <c r="BT76" s="787">
        <v>0</v>
      </c>
      <c r="BU76" s="787">
        <v>0</v>
      </c>
      <c r="BV76" s="787">
        <v>0</v>
      </c>
      <c r="BW76" s="787">
        <v>0</v>
      </c>
      <c r="BX76" s="787">
        <v>0</v>
      </c>
      <c r="BY76" s="787">
        <v>0</v>
      </c>
      <c r="BZ76" s="787">
        <f t="shared" si="11"/>
        <v>1875</v>
      </c>
      <c r="CA76" s="787"/>
      <c r="CB76" s="787"/>
      <c r="CC76" s="787"/>
      <c r="CD76" s="787">
        <v>0</v>
      </c>
      <c r="CE76" s="787">
        <v>0</v>
      </c>
      <c r="CF76" s="787">
        <f t="shared" si="12"/>
        <v>0</v>
      </c>
      <c r="CG76" s="787">
        <v>0</v>
      </c>
      <c r="CH76" s="787">
        <v>0</v>
      </c>
      <c r="CI76" s="787">
        <f t="shared" si="13"/>
        <v>0</v>
      </c>
      <c r="CJ76" s="787"/>
      <c r="CK76" s="787"/>
      <c r="CL76" s="787"/>
      <c r="CM76" s="787"/>
      <c r="CN76" s="787"/>
      <c r="CO76" s="787"/>
      <c r="CP76" s="787"/>
      <c r="CQ76" s="787"/>
      <c r="CR76" s="787"/>
      <c r="CS76" s="787"/>
      <c r="CT76" s="787"/>
      <c r="CU76" s="787"/>
      <c r="CV76" s="787"/>
      <c r="CW76" s="787"/>
      <c r="CX76" s="787"/>
      <c r="CY76" s="787"/>
      <c r="CZ76" s="787"/>
      <c r="DA76" s="787"/>
      <c r="DB76" s="787"/>
      <c r="DC76" s="787"/>
      <c r="DD76" s="787"/>
      <c r="DE76" s="787"/>
      <c r="DF76" s="787"/>
      <c r="DG76" s="787"/>
      <c r="DH76" s="787"/>
      <c r="DI76" s="787"/>
      <c r="DJ76" s="787"/>
      <c r="DK76" s="787"/>
      <c r="DL76" s="787"/>
      <c r="DM76" s="787"/>
      <c r="DN76" s="787"/>
      <c r="DO76" s="787"/>
      <c r="DP76" s="787"/>
      <c r="DQ76" s="787"/>
      <c r="DR76" s="787"/>
      <c r="DS76" s="787"/>
      <c r="DT76" s="787"/>
      <c r="DU76" s="787"/>
      <c r="DV76" s="787"/>
      <c r="DW76" s="787"/>
      <c r="DX76" s="787"/>
      <c r="DY76" s="787"/>
      <c r="DZ76" s="787"/>
      <c r="EA76" s="787"/>
    </row>
    <row r="77" spans="1:131" ht="15.6">
      <c r="A77" s="782" t="s">
        <v>1369</v>
      </c>
      <c r="B77" s="782" t="s">
        <v>660</v>
      </c>
      <c r="C77" s="783">
        <v>1010</v>
      </c>
      <c r="D77" s="784" t="s">
        <v>661</v>
      </c>
      <c r="E77" s="785" t="s">
        <v>521</v>
      </c>
      <c r="F77" s="786" t="s">
        <v>1305</v>
      </c>
      <c r="G77" s="785" t="s">
        <v>5</v>
      </c>
      <c r="H77" s="785" t="str">
        <f t="shared" si="7"/>
        <v>AX02P</v>
      </c>
      <c r="I77" s="787">
        <v>0</v>
      </c>
      <c r="J77" s="787">
        <v>0</v>
      </c>
      <c r="K77" s="787">
        <v>0</v>
      </c>
      <c r="L77" s="787">
        <v>0</v>
      </c>
      <c r="M77" s="787">
        <v>0</v>
      </c>
      <c r="N77" s="787">
        <v>0</v>
      </c>
      <c r="O77" s="787">
        <v>0</v>
      </c>
      <c r="P77" s="787">
        <v>0</v>
      </c>
      <c r="Q77" s="787">
        <v>131083.16</v>
      </c>
      <c r="R77" s="787">
        <v>0</v>
      </c>
      <c r="S77" s="787">
        <v>0</v>
      </c>
      <c r="T77" s="787">
        <v>0</v>
      </c>
      <c r="U77" s="787">
        <v>1147.56</v>
      </c>
      <c r="V77" s="787">
        <v>0</v>
      </c>
      <c r="W77" s="787">
        <v>0</v>
      </c>
      <c r="X77" s="787">
        <f t="shared" si="8"/>
        <v>132230.72</v>
      </c>
      <c r="Y77" s="787">
        <v>243052.65</v>
      </c>
      <c r="Z77" s="787">
        <v>55943.520000000004</v>
      </c>
      <c r="AA77" s="787">
        <v>247486.23</v>
      </c>
      <c r="AB77" s="787">
        <v>0</v>
      </c>
      <c r="AC77" s="787">
        <v>101633.9</v>
      </c>
      <c r="AD77" s="787">
        <v>0</v>
      </c>
      <c r="AE77" s="787">
        <v>0</v>
      </c>
      <c r="AF77" s="787">
        <v>15449.64</v>
      </c>
      <c r="AG77" s="787">
        <v>5314.02</v>
      </c>
      <c r="AH77" s="787">
        <v>0</v>
      </c>
      <c r="AI77" s="787">
        <v>0</v>
      </c>
      <c r="AJ77" s="787">
        <v>29328.09</v>
      </c>
      <c r="AK77" s="787">
        <v>2010.03</v>
      </c>
      <c r="AL77" s="787">
        <v>1682.84</v>
      </c>
      <c r="AM77" s="787">
        <v>1133.3</v>
      </c>
      <c r="AN77" s="787">
        <v>9923.82</v>
      </c>
      <c r="AO77" s="787">
        <v>0</v>
      </c>
      <c r="AP77" s="787">
        <v>35556.01</v>
      </c>
      <c r="AQ77" s="787">
        <v>52736.57</v>
      </c>
      <c r="AR77" s="787">
        <v>0</v>
      </c>
      <c r="AS77" s="787">
        <v>0</v>
      </c>
      <c r="AT77" s="787">
        <v>0</v>
      </c>
      <c r="AU77" s="787">
        <v>0</v>
      </c>
      <c r="AV77" s="787">
        <v>0</v>
      </c>
      <c r="AW77" s="787">
        <v>0</v>
      </c>
      <c r="AX77" s="787">
        <v>0</v>
      </c>
      <c r="AY77" s="787">
        <v>0</v>
      </c>
      <c r="AZ77" s="787">
        <v>91481.87</v>
      </c>
      <c r="BA77" s="787">
        <v>0</v>
      </c>
      <c r="BB77" s="787">
        <v>0</v>
      </c>
      <c r="BC77" s="787">
        <v>7466.9900000000007</v>
      </c>
      <c r="BD77" s="787">
        <v>75333.87</v>
      </c>
      <c r="BE77" s="787">
        <v>0</v>
      </c>
      <c r="BF77" s="787">
        <v>269434.14</v>
      </c>
      <c r="BG77" s="787">
        <v>0</v>
      </c>
      <c r="BH77" s="787">
        <v>0</v>
      </c>
      <c r="BI77" s="787">
        <v>0</v>
      </c>
      <c r="BJ77" s="787">
        <f t="shared" si="9"/>
        <v>1244967.49</v>
      </c>
      <c r="BK77" s="787"/>
      <c r="BL77" s="787"/>
      <c r="BM77" s="787"/>
      <c r="BN77" s="787">
        <v>0</v>
      </c>
      <c r="BO77" s="787">
        <v>0</v>
      </c>
      <c r="BP77" s="787">
        <v>0</v>
      </c>
      <c r="BQ77" s="787">
        <f t="shared" si="10"/>
        <v>0</v>
      </c>
      <c r="BR77" s="787">
        <v>0</v>
      </c>
      <c r="BS77" s="787">
        <v>0</v>
      </c>
      <c r="BT77" s="787">
        <v>0</v>
      </c>
      <c r="BU77" s="787">
        <v>0</v>
      </c>
      <c r="BV77" s="787">
        <v>0</v>
      </c>
      <c r="BW77" s="787">
        <v>0</v>
      </c>
      <c r="BX77" s="787">
        <v>0</v>
      </c>
      <c r="BY77" s="787">
        <v>0</v>
      </c>
      <c r="BZ77" s="787">
        <f t="shared" si="11"/>
        <v>0</v>
      </c>
      <c r="CA77" s="787"/>
      <c r="CB77" s="787"/>
      <c r="CC77" s="787"/>
      <c r="CD77" s="787">
        <v>0</v>
      </c>
      <c r="CE77" s="787">
        <v>0</v>
      </c>
      <c r="CF77" s="787">
        <f t="shared" si="12"/>
        <v>0</v>
      </c>
      <c r="CG77" s="787">
        <v>0</v>
      </c>
      <c r="CH77" s="787">
        <v>0</v>
      </c>
      <c r="CI77" s="787">
        <f t="shared" si="13"/>
        <v>0</v>
      </c>
      <c r="CJ77" s="787"/>
      <c r="CK77" s="787"/>
      <c r="CL77" s="787"/>
      <c r="CM77" s="787"/>
      <c r="CN77" s="787"/>
      <c r="CO77" s="787"/>
      <c r="CP77" s="787"/>
      <c r="CQ77" s="787"/>
      <c r="CR77" s="787"/>
      <c r="CS77" s="787">
        <v>516523.96</v>
      </c>
      <c r="CT77" s="787">
        <v>16383.5</v>
      </c>
      <c r="CU77" s="787">
        <v>0</v>
      </c>
      <c r="CV77" s="787">
        <v>500140.46</v>
      </c>
      <c r="CW77" s="787">
        <v>0</v>
      </c>
      <c r="CX77" s="787">
        <v>14042.23</v>
      </c>
      <c r="CY77" s="787">
        <v>124.57</v>
      </c>
      <c r="CZ77" s="787">
        <v>0</v>
      </c>
      <c r="DA77" s="787">
        <v>0</v>
      </c>
      <c r="DB77" s="787">
        <v>514307.26</v>
      </c>
      <c r="DC77" s="787">
        <v>0</v>
      </c>
      <c r="DD77" s="787">
        <v>0</v>
      </c>
      <c r="DE77" s="787">
        <v>0</v>
      </c>
      <c r="DF77" s="787">
        <v>0</v>
      </c>
      <c r="DG77" s="787"/>
      <c r="DH77" s="787"/>
      <c r="DI77" s="787"/>
      <c r="DJ77" s="787">
        <v>0</v>
      </c>
      <c r="DK77" s="787">
        <v>0</v>
      </c>
      <c r="DL77" s="787">
        <v>0</v>
      </c>
      <c r="DM77" s="787">
        <v>0</v>
      </c>
      <c r="DN77" s="787">
        <v>0</v>
      </c>
      <c r="DO77" s="787">
        <v>0</v>
      </c>
      <c r="DP77" s="787">
        <v>-62750.86</v>
      </c>
      <c r="DQ77" s="787">
        <v>0</v>
      </c>
      <c r="DR77" s="787">
        <v>0</v>
      </c>
      <c r="DS77" s="787">
        <v>0</v>
      </c>
      <c r="DT77" s="787">
        <v>-62750.86</v>
      </c>
      <c r="DU77" s="787">
        <v>0</v>
      </c>
      <c r="DV77" s="787">
        <v>0</v>
      </c>
      <c r="DW77" s="787">
        <v>0</v>
      </c>
      <c r="DX77" s="787">
        <v>0</v>
      </c>
      <c r="DY77" s="787">
        <v>0</v>
      </c>
      <c r="DZ77" s="787">
        <v>-54351.73</v>
      </c>
      <c r="EA77" s="787">
        <v>-0.24946699908468872</v>
      </c>
    </row>
    <row r="78" spans="1:131" ht="15.6">
      <c r="A78" s="782" t="s">
        <v>1370</v>
      </c>
      <c r="B78" s="782" t="s">
        <v>662</v>
      </c>
      <c r="C78" s="783">
        <v>1021</v>
      </c>
      <c r="D78" s="784" t="s">
        <v>663</v>
      </c>
      <c r="E78" s="785" t="s">
        <v>521</v>
      </c>
      <c r="F78" s="786">
        <v>46094</v>
      </c>
      <c r="G78" s="785" t="s">
        <v>5</v>
      </c>
      <c r="H78" s="785" t="str">
        <f t="shared" si="7"/>
        <v>AX02R</v>
      </c>
      <c r="I78" s="787">
        <v>0</v>
      </c>
      <c r="J78" s="787">
        <v>0</v>
      </c>
      <c r="K78" s="787">
        <v>31668</v>
      </c>
      <c r="L78" s="787">
        <v>0</v>
      </c>
      <c r="M78" s="787">
        <v>0</v>
      </c>
      <c r="N78" s="787">
        <v>0</v>
      </c>
      <c r="O78" s="787">
        <v>0</v>
      </c>
      <c r="P78" s="787">
        <v>0</v>
      </c>
      <c r="Q78" s="787">
        <v>12429.190000000002</v>
      </c>
      <c r="R78" s="787">
        <v>3420.1</v>
      </c>
      <c r="S78" s="787">
        <v>0</v>
      </c>
      <c r="T78" s="787">
        <v>438</v>
      </c>
      <c r="U78" s="787">
        <v>0</v>
      </c>
      <c r="V78" s="787">
        <v>89.95</v>
      </c>
      <c r="W78" s="787">
        <v>0</v>
      </c>
      <c r="X78" s="787">
        <f t="shared" si="8"/>
        <v>48045.24</v>
      </c>
      <c r="Y78" s="787">
        <v>170328.3</v>
      </c>
      <c r="Z78" s="787">
        <v>0</v>
      </c>
      <c r="AA78" s="787">
        <v>128561.69</v>
      </c>
      <c r="AB78" s="787">
        <v>15341.72</v>
      </c>
      <c r="AC78" s="787">
        <v>40376.1</v>
      </c>
      <c r="AD78" s="787">
        <v>0</v>
      </c>
      <c r="AE78" s="787">
        <v>1876.07</v>
      </c>
      <c r="AF78" s="787">
        <v>25063.94</v>
      </c>
      <c r="AG78" s="787">
        <v>1949</v>
      </c>
      <c r="AH78" s="787">
        <v>0</v>
      </c>
      <c r="AI78" s="787">
        <v>0</v>
      </c>
      <c r="AJ78" s="787">
        <v>9868.27</v>
      </c>
      <c r="AK78" s="787">
        <v>44.99</v>
      </c>
      <c r="AL78" s="787">
        <v>979.52</v>
      </c>
      <c r="AM78" s="787">
        <v>1385.61</v>
      </c>
      <c r="AN78" s="787">
        <v>10281.549999999999</v>
      </c>
      <c r="AO78" s="787">
        <v>19500</v>
      </c>
      <c r="AP78" s="787">
        <v>3457.3</v>
      </c>
      <c r="AQ78" s="787">
        <v>5131.45</v>
      </c>
      <c r="AR78" s="787">
        <v>1072.3599999999999</v>
      </c>
      <c r="AS78" s="787">
        <v>0</v>
      </c>
      <c r="AT78" s="787">
        <v>0</v>
      </c>
      <c r="AU78" s="787">
        <v>656</v>
      </c>
      <c r="AV78" s="787">
        <v>0</v>
      </c>
      <c r="AW78" s="787">
        <v>50.19</v>
      </c>
      <c r="AX78" s="787">
        <v>1650</v>
      </c>
      <c r="AY78" s="787">
        <v>0</v>
      </c>
      <c r="AZ78" s="787">
        <v>23297.02</v>
      </c>
      <c r="BA78" s="787">
        <v>0</v>
      </c>
      <c r="BB78" s="787">
        <v>0</v>
      </c>
      <c r="BC78" s="787">
        <v>8861.56</v>
      </c>
      <c r="BD78" s="787">
        <v>68162.350000000006</v>
      </c>
      <c r="BE78" s="787">
        <v>6016</v>
      </c>
      <c r="BF78" s="787">
        <v>41481.11</v>
      </c>
      <c r="BG78" s="787">
        <v>0</v>
      </c>
      <c r="BH78" s="787">
        <v>0</v>
      </c>
      <c r="BI78" s="787">
        <v>0</v>
      </c>
      <c r="BJ78" s="787">
        <f t="shared" si="9"/>
        <v>585392.1</v>
      </c>
      <c r="BK78" s="787"/>
      <c r="BL78" s="787"/>
      <c r="BM78" s="787"/>
      <c r="BN78" s="787">
        <v>0</v>
      </c>
      <c r="BO78" s="787">
        <v>0</v>
      </c>
      <c r="BP78" s="787">
        <v>0</v>
      </c>
      <c r="BQ78" s="787">
        <f t="shared" si="10"/>
        <v>0</v>
      </c>
      <c r="BR78" s="787">
        <v>0</v>
      </c>
      <c r="BS78" s="787">
        <v>12738.2</v>
      </c>
      <c r="BT78" s="787">
        <v>0</v>
      </c>
      <c r="BU78" s="787">
        <v>0</v>
      </c>
      <c r="BV78" s="787">
        <v>0</v>
      </c>
      <c r="BW78" s="787">
        <v>0</v>
      </c>
      <c r="BX78" s="787">
        <v>2710</v>
      </c>
      <c r="BY78" s="787">
        <v>483</v>
      </c>
      <c r="BZ78" s="787">
        <f t="shared" si="11"/>
        <v>15931.2</v>
      </c>
      <c r="CA78" s="787"/>
      <c r="CB78" s="787"/>
      <c r="CC78" s="787"/>
      <c r="CD78" s="787">
        <v>0</v>
      </c>
      <c r="CE78" s="787">
        <v>0</v>
      </c>
      <c r="CF78" s="787">
        <f t="shared" si="12"/>
        <v>0</v>
      </c>
      <c r="CG78" s="787">
        <v>0</v>
      </c>
      <c r="CH78" s="787">
        <v>0</v>
      </c>
      <c r="CI78" s="787">
        <f t="shared" si="13"/>
        <v>0</v>
      </c>
      <c r="CJ78" s="787"/>
      <c r="CK78" s="787"/>
      <c r="CL78" s="787"/>
      <c r="CM78" s="787"/>
      <c r="CN78" s="787"/>
      <c r="CO78" s="787"/>
      <c r="CP78" s="787"/>
      <c r="CQ78" s="787"/>
      <c r="CR78" s="787"/>
      <c r="CS78" s="787">
        <v>130134.79</v>
      </c>
      <c r="CT78" s="787">
        <v>0</v>
      </c>
      <c r="CU78" s="787">
        <v>0</v>
      </c>
      <c r="CV78" s="787">
        <v>130134.79</v>
      </c>
      <c r="CW78" s="787">
        <v>0</v>
      </c>
      <c r="CX78" s="787">
        <v>2813.05</v>
      </c>
      <c r="CY78" s="787">
        <v>2034.24</v>
      </c>
      <c r="CZ78" s="787">
        <v>0</v>
      </c>
      <c r="DA78" s="787">
        <v>0</v>
      </c>
      <c r="DB78" s="787">
        <v>134982.07999999999</v>
      </c>
      <c r="DC78" s="787">
        <v>79.760000000000005</v>
      </c>
      <c r="DD78" s="787">
        <v>0</v>
      </c>
      <c r="DE78" s="787">
        <v>0</v>
      </c>
      <c r="DF78" s="787">
        <v>79.760000000000005</v>
      </c>
      <c r="DG78" s="787"/>
      <c r="DH78" s="787"/>
      <c r="DI78" s="787"/>
      <c r="DJ78" s="787">
        <v>0</v>
      </c>
      <c r="DK78" s="787">
        <v>79.760000000000005</v>
      </c>
      <c r="DL78" s="787">
        <v>0</v>
      </c>
      <c r="DM78" s="787">
        <v>0</v>
      </c>
      <c r="DN78" s="787">
        <v>0</v>
      </c>
      <c r="DO78" s="787">
        <v>0</v>
      </c>
      <c r="DP78" s="787">
        <v>-9016</v>
      </c>
      <c r="DQ78" s="787">
        <v>-26160.25</v>
      </c>
      <c r="DR78" s="787">
        <v>0</v>
      </c>
      <c r="DS78" s="787">
        <v>0</v>
      </c>
      <c r="DT78" s="787">
        <v>-35176.25</v>
      </c>
      <c r="DU78" s="787">
        <v>0</v>
      </c>
      <c r="DV78" s="787">
        <v>0</v>
      </c>
      <c r="DW78" s="787">
        <v>-998.22</v>
      </c>
      <c r="DX78" s="787">
        <v>0</v>
      </c>
      <c r="DY78" s="787">
        <v>0</v>
      </c>
      <c r="DZ78" s="787">
        <v>-29459.31</v>
      </c>
      <c r="EA78" s="787">
        <v>0.1558330851548817</v>
      </c>
    </row>
    <row r="79" spans="1:131" ht="15.6">
      <c r="A79" s="782" t="s">
        <v>1371</v>
      </c>
      <c r="B79" s="782" t="s">
        <v>664</v>
      </c>
      <c r="C79" s="783">
        <v>4201</v>
      </c>
      <c r="D79" s="784" t="s">
        <v>665</v>
      </c>
      <c r="E79" s="785" t="s">
        <v>521</v>
      </c>
      <c r="F79" s="786">
        <v>46093</v>
      </c>
      <c r="G79" s="785" t="s">
        <v>5</v>
      </c>
      <c r="H79" s="785" t="str">
        <f t="shared" si="7"/>
        <v>AX0A1</v>
      </c>
      <c r="I79" s="787">
        <v>31025</v>
      </c>
      <c r="J79" s="787">
        <v>0</v>
      </c>
      <c r="K79" s="787">
        <v>0</v>
      </c>
      <c r="L79" s="787">
        <v>0</v>
      </c>
      <c r="M79" s="787">
        <v>12599</v>
      </c>
      <c r="N79" s="787">
        <v>0</v>
      </c>
      <c r="O79" s="787">
        <v>0</v>
      </c>
      <c r="P79" s="787">
        <v>82531</v>
      </c>
      <c r="Q79" s="787">
        <v>64726</v>
      </c>
      <c r="R79" s="787">
        <v>189800</v>
      </c>
      <c r="S79" s="787">
        <v>0</v>
      </c>
      <c r="T79" s="787">
        <v>0</v>
      </c>
      <c r="U79" s="787">
        <v>6025</v>
      </c>
      <c r="V79" s="787">
        <v>0</v>
      </c>
      <c r="W79" s="787">
        <v>0</v>
      </c>
      <c r="X79" s="787">
        <f t="shared" si="8"/>
        <v>386706</v>
      </c>
      <c r="Y79" s="787">
        <v>6477718</v>
      </c>
      <c r="Z79" s="787">
        <v>0</v>
      </c>
      <c r="AA79" s="787">
        <v>1323516</v>
      </c>
      <c r="AB79" s="787">
        <v>227341</v>
      </c>
      <c r="AC79" s="787">
        <v>585857</v>
      </c>
      <c r="AD79" s="787">
        <v>0</v>
      </c>
      <c r="AE79" s="787">
        <v>26638</v>
      </c>
      <c r="AF79" s="787">
        <v>31253.25</v>
      </c>
      <c r="AG79" s="787">
        <v>56073</v>
      </c>
      <c r="AH79" s="787">
        <v>0</v>
      </c>
      <c r="AI79" s="787">
        <v>0</v>
      </c>
      <c r="AJ79" s="787">
        <v>83792.600000000006</v>
      </c>
      <c r="AK79" s="787">
        <v>21750</v>
      </c>
      <c r="AL79" s="787">
        <v>278580.07</v>
      </c>
      <c r="AM79" s="787">
        <v>17934</v>
      </c>
      <c r="AN79" s="787">
        <v>188462</v>
      </c>
      <c r="AO79" s="787">
        <v>0</v>
      </c>
      <c r="AP79" s="787">
        <v>99452</v>
      </c>
      <c r="AQ79" s="787">
        <v>185888</v>
      </c>
      <c r="AR79" s="787">
        <v>14375</v>
      </c>
      <c r="AS79" s="787">
        <v>0</v>
      </c>
      <c r="AT79" s="787">
        <v>49934</v>
      </c>
      <c r="AU79" s="787">
        <v>72757</v>
      </c>
      <c r="AV79" s="787">
        <v>6710</v>
      </c>
      <c r="AW79" s="787">
        <v>14633</v>
      </c>
      <c r="AX79" s="787">
        <v>6065</v>
      </c>
      <c r="AY79" s="787">
        <v>109292</v>
      </c>
      <c r="AZ79" s="787">
        <v>90070.22</v>
      </c>
      <c r="BA79" s="787">
        <v>5607.9999999999964</v>
      </c>
      <c r="BB79" s="787">
        <v>0</v>
      </c>
      <c r="BC79" s="787">
        <v>358844</v>
      </c>
      <c r="BD79" s="787">
        <v>72239</v>
      </c>
      <c r="BE79" s="787">
        <v>223114</v>
      </c>
      <c r="BF79" s="787">
        <v>101488</v>
      </c>
      <c r="BG79" s="787">
        <v>0</v>
      </c>
      <c r="BH79" s="787">
        <v>0</v>
      </c>
      <c r="BI79" s="787">
        <v>45532</v>
      </c>
      <c r="BJ79" s="787">
        <f t="shared" si="9"/>
        <v>10774916.140000001</v>
      </c>
      <c r="BK79" s="787"/>
      <c r="BL79" s="787"/>
      <c r="BM79" s="787"/>
      <c r="BN79" s="787">
        <v>0</v>
      </c>
      <c r="BO79" s="787">
        <v>0</v>
      </c>
      <c r="BP79" s="787">
        <v>45532</v>
      </c>
      <c r="BQ79" s="787">
        <f t="shared" si="10"/>
        <v>45532</v>
      </c>
      <c r="BR79" s="787">
        <v>0</v>
      </c>
      <c r="BS79" s="787">
        <v>26467.87</v>
      </c>
      <c r="BT79" s="787">
        <v>0</v>
      </c>
      <c r="BU79" s="787">
        <v>0</v>
      </c>
      <c r="BV79" s="787">
        <v>0</v>
      </c>
      <c r="BW79" s="787">
        <v>0</v>
      </c>
      <c r="BX79" s="787">
        <v>58354.7</v>
      </c>
      <c r="BY79" s="787">
        <v>0</v>
      </c>
      <c r="BZ79" s="787">
        <f t="shared" si="11"/>
        <v>84822.569999999992</v>
      </c>
      <c r="CA79" s="787"/>
      <c r="CB79" s="787"/>
      <c r="CC79" s="787"/>
      <c r="CD79" s="787">
        <v>0</v>
      </c>
      <c r="CE79" s="787">
        <v>0</v>
      </c>
      <c r="CF79" s="787">
        <f t="shared" si="12"/>
        <v>0</v>
      </c>
      <c r="CG79" s="787">
        <v>0</v>
      </c>
      <c r="CH79" s="787">
        <v>0</v>
      </c>
      <c r="CI79" s="787">
        <f t="shared" si="13"/>
        <v>0</v>
      </c>
      <c r="CJ79" s="787"/>
      <c r="CK79" s="787"/>
      <c r="CL79" s="787"/>
      <c r="CM79" s="787"/>
      <c r="CN79" s="787"/>
      <c r="CO79" s="787"/>
      <c r="CP79" s="787"/>
      <c r="CQ79" s="787"/>
      <c r="CR79" s="787"/>
      <c r="CS79" s="787">
        <v>50108</v>
      </c>
      <c r="CT79" s="787">
        <v>543122.55000000005</v>
      </c>
      <c r="CU79" s="787">
        <v>1281.8599999999999</v>
      </c>
      <c r="CV79" s="787">
        <v>-491732.69000000006</v>
      </c>
      <c r="CW79" s="787">
        <v>0</v>
      </c>
      <c r="CX79" s="787">
        <v>34446.480000000003</v>
      </c>
      <c r="CY79" s="787">
        <v>29932.99</v>
      </c>
      <c r="CZ79" s="787">
        <v>0</v>
      </c>
      <c r="DA79" s="787">
        <v>0</v>
      </c>
      <c r="DB79" s="787">
        <v>-427353.22000000009</v>
      </c>
      <c r="DC79" s="787">
        <v>3412564.92</v>
      </c>
      <c r="DD79" s="787">
        <v>0</v>
      </c>
      <c r="DE79" s="787">
        <v>0</v>
      </c>
      <c r="DF79" s="787">
        <v>3412564.92</v>
      </c>
      <c r="DG79" s="787"/>
      <c r="DH79" s="787"/>
      <c r="DI79" s="787"/>
      <c r="DJ79" s="787">
        <v>0</v>
      </c>
      <c r="DK79" s="787">
        <v>3412564.92</v>
      </c>
      <c r="DL79" s="787">
        <v>0</v>
      </c>
      <c r="DM79" s="787">
        <v>0</v>
      </c>
      <c r="DN79" s="787">
        <v>0</v>
      </c>
      <c r="DO79" s="787">
        <v>0</v>
      </c>
      <c r="DP79" s="787">
        <v>-154116.14000000001</v>
      </c>
      <c r="DQ79" s="787">
        <v>0</v>
      </c>
      <c r="DR79" s="787">
        <v>0</v>
      </c>
      <c r="DS79" s="787">
        <v>0</v>
      </c>
      <c r="DT79" s="787">
        <v>-154116.14000000001</v>
      </c>
      <c r="DU79" s="787">
        <v>0</v>
      </c>
      <c r="DV79" s="787">
        <v>0</v>
      </c>
      <c r="DW79" s="787">
        <v>0</v>
      </c>
      <c r="DX79" s="787">
        <v>0</v>
      </c>
      <c r="DY79" s="787">
        <v>0</v>
      </c>
      <c r="DZ79" s="787">
        <v>-360736</v>
      </c>
      <c r="EA79" s="787">
        <v>0.37699793605133891</v>
      </c>
    </row>
    <row r="80" spans="1:131" ht="15.6">
      <c r="A80" s="782" t="s">
        <v>1372</v>
      </c>
      <c r="B80" s="782" t="s">
        <v>666</v>
      </c>
      <c r="C80" s="783">
        <v>4015</v>
      </c>
      <c r="D80" s="784" t="s">
        <v>667</v>
      </c>
      <c r="E80" s="785" t="s">
        <v>521</v>
      </c>
      <c r="F80" s="786">
        <v>46093</v>
      </c>
      <c r="G80" s="785" t="s">
        <v>5</v>
      </c>
      <c r="H80" s="785" t="str">
        <f t="shared" si="7"/>
        <v>AX0A2</v>
      </c>
      <c r="I80" s="787">
        <v>22450</v>
      </c>
      <c r="J80" s="787">
        <v>0</v>
      </c>
      <c r="K80" s="787">
        <v>0</v>
      </c>
      <c r="L80" s="787">
        <v>0</v>
      </c>
      <c r="M80" s="787">
        <v>0</v>
      </c>
      <c r="N80" s="787">
        <v>0</v>
      </c>
      <c r="O80" s="787">
        <v>0</v>
      </c>
      <c r="P80" s="787">
        <v>1100</v>
      </c>
      <c r="Q80" s="787">
        <v>14505</v>
      </c>
      <c r="R80" s="787">
        <v>0</v>
      </c>
      <c r="S80" s="787">
        <v>0</v>
      </c>
      <c r="T80" s="787">
        <v>0</v>
      </c>
      <c r="U80" s="787">
        <v>0</v>
      </c>
      <c r="V80" s="787">
        <v>12973</v>
      </c>
      <c r="W80" s="787">
        <v>0</v>
      </c>
      <c r="X80" s="787">
        <f t="shared" si="8"/>
        <v>51028</v>
      </c>
      <c r="Y80" s="787">
        <v>3413684</v>
      </c>
      <c r="Z80" s="787">
        <v>0</v>
      </c>
      <c r="AA80" s="787">
        <v>749567</v>
      </c>
      <c r="AB80" s="787">
        <v>116308</v>
      </c>
      <c r="AC80" s="787">
        <v>469739</v>
      </c>
      <c r="AD80" s="787">
        <v>0</v>
      </c>
      <c r="AE80" s="787">
        <v>36128</v>
      </c>
      <c r="AF80" s="787">
        <v>48905</v>
      </c>
      <c r="AG80" s="787">
        <v>10927</v>
      </c>
      <c r="AH80" s="787">
        <v>0</v>
      </c>
      <c r="AI80" s="787">
        <v>0</v>
      </c>
      <c r="AJ80" s="787">
        <v>314015</v>
      </c>
      <c r="AK80" s="787">
        <v>10884</v>
      </c>
      <c r="AL80" s="787">
        <v>120199.08</v>
      </c>
      <c r="AM80" s="787">
        <v>17893</v>
      </c>
      <c r="AN80" s="787">
        <v>140231</v>
      </c>
      <c r="AO80" s="787">
        <v>0</v>
      </c>
      <c r="AP80" s="787">
        <v>73593</v>
      </c>
      <c r="AQ80" s="787">
        <v>178522</v>
      </c>
      <c r="AR80" s="787">
        <v>130479</v>
      </c>
      <c r="AS80" s="787">
        <v>0</v>
      </c>
      <c r="AT80" s="787">
        <v>0</v>
      </c>
      <c r="AU80" s="787">
        <v>0</v>
      </c>
      <c r="AV80" s="787">
        <v>0</v>
      </c>
      <c r="AW80" s="787">
        <v>0</v>
      </c>
      <c r="AX80" s="787">
        <v>0</v>
      </c>
      <c r="AY80" s="787">
        <v>50085</v>
      </c>
      <c r="AZ80" s="787">
        <v>86819</v>
      </c>
      <c r="BA80" s="787">
        <v>503</v>
      </c>
      <c r="BB80" s="787">
        <v>0</v>
      </c>
      <c r="BC80" s="787">
        <v>160971.28</v>
      </c>
      <c r="BD80" s="787">
        <v>247521.44</v>
      </c>
      <c r="BE80" s="787">
        <v>1200</v>
      </c>
      <c r="BF80" s="787">
        <v>84764</v>
      </c>
      <c r="BG80" s="787">
        <v>0</v>
      </c>
      <c r="BH80" s="787">
        <v>0</v>
      </c>
      <c r="BI80" s="787">
        <v>0</v>
      </c>
      <c r="BJ80" s="787">
        <f t="shared" si="9"/>
        <v>6462937.8000000007</v>
      </c>
      <c r="BK80" s="787"/>
      <c r="BL80" s="787"/>
      <c r="BM80" s="787"/>
      <c r="BN80" s="787">
        <v>0</v>
      </c>
      <c r="BO80" s="787">
        <v>0</v>
      </c>
      <c r="BP80" s="787">
        <v>0</v>
      </c>
      <c r="BQ80" s="787">
        <f t="shared" si="10"/>
        <v>0</v>
      </c>
      <c r="BR80" s="787">
        <v>0</v>
      </c>
      <c r="BS80" s="787">
        <v>9626</v>
      </c>
      <c r="BT80" s="787">
        <v>0</v>
      </c>
      <c r="BU80" s="787">
        <v>0</v>
      </c>
      <c r="BV80" s="787">
        <v>0</v>
      </c>
      <c r="BW80" s="787">
        <v>0</v>
      </c>
      <c r="BX80" s="787">
        <v>0</v>
      </c>
      <c r="BY80" s="787">
        <v>0</v>
      </c>
      <c r="BZ80" s="787">
        <f t="shared" si="11"/>
        <v>9626</v>
      </c>
      <c r="CA80" s="787"/>
      <c r="CB80" s="787"/>
      <c r="CC80" s="787"/>
      <c r="CD80" s="787">
        <v>0</v>
      </c>
      <c r="CE80" s="787">
        <v>0</v>
      </c>
      <c r="CF80" s="787">
        <f t="shared" si="12"/>
        <v>0</v>
      </c>
      <c r="CG80" s="787">
        <v>0</v>
      </c>
      <c r="CH80" s="787">
        <v>0</v>
      </c>
      <c r="CI80" s="787">
        <f t="shared" si="13"/>
        <v>0</v>
      </c>
      <c r="CJ80" s="787"/>
      <c r="CK80" s="787"/>
      <c r="CL80" s="787"/>
      <c r="CM80" s="787"/>
      <c r="CN80" s="787"/>
      <c r="CO80" s="787"/>
      <c r="CP80" s="787"/>
      <c r="CQ80" s="787"/>
      <c r="CR80" s="787"/>
      <c r="CS80" s="787">
        <v>1752397.69</v>
      </c>
      <c r="CT80" s="787">
        <v>97510.77</v>
      </c>
      <c r="CU80" s="787">
        <v>182.86</v>
      </c>
      <c r="CV80" s="787">
        <v>1655069.78</v>
      </c>
      <c r="CW80" s="787">
        <v>0</v>
      </c>
      <c r="CX80" s="787">
        <v>26566.65</v>
      </c>
      <c r="CY80" s="787">
        <v>9978.1</v>
      </c>
      <c r="CZ80" s="787">
        <v>0</v>
      </c>
      <c r="DA80" s="787">
        <v>0</v>
      </c>
      <c r="DB80" s="787">
        <v>1691614.53</v>
      </c>
      <c r="DC80" s="787">
        <v>2689.11</v>
      </c>
      <c r="DD80" s="787">
        <v>0</v>
      </c>
      <c r="DE80" s="787">
        <v>0</v>
      </c>
      <c r="DF80" s="787">
        <v>2689.11</v>
      </c>
      <c r="DG80" s="787"/>
      <c r="DH80" s="787"/>
      <c r="DI80" s="787"/>
      <c r="DJ80" s="787">
        <v>0</v>
      </c>
      <c r="DK80" s="787">
        <v>2689.11</v>
      </c>
      <c r="DL80" s="787">
        <v>0</v>
      </c>
      <c r="DM80" s="787">
        <v>0</v>
      </c>
      <c r="DN80" s="787">
        <v>0</v>
      </c>
      <c r="DO80" s="787">
        <v>0</v>
      </c>
      <c r="DP80" s="787">
        <v>-89384.8</v>
      </c>
      <c r="DQ80" s="787">
        <v>0</v>
      </c>
      <c r="DR80" s="787">
        <v>0</v>
      </c>
      <c r="DS80" s="787">
        <v>0</v>
      </c>
      <c r="DT80" s="787">
        <v>-89384.8</v>
      </c>
      <c r="DU80" s="787">
        <v>0</v>
      </c>
      <c r="DV80" s="787">
        <v>0</v>
      </c>
      <c r="DW80" s="787">
        <v>0</v>
      </c>
      <c r="DX80" s="787">
        <v>0</v>
      </c>
      <c r="DY80" s="787">
        <v>0</v>
      </c>
      <c r="DZ80" s="787">
        <v>-395683.62</v>
      </c>
      <c r="EA80" s="787">
        <v>2.705988846719265E-2</v>
      </c>
    </row>
    <row r="81" spans="1:131" ht="15.6">
      <c r="A81" s="782" t="s">
        <v>1373</v>
      </c>
      <c r="B81" s="782" t="s">
        <v>668</v>
      </c>
      <c r="C81" s="783">
        <v>3411</v>
      </c>
      <c r="D81" s="784" t="s">
        <v>669</v>
      </c>
      <c r="E81" s="785" t="s">
        <v>521</v>
      </c>
      <c r="F81" s="786">
        <v>46094</v>
      </c>
      <c r="G81" s="785" t="s">
        <v>5</v>
      </c>
      <c r="H81" s="785" t="str">
        <f t="shared" si="7"/>
        <v>AX02U</v>
      </c>
      <c r="I81" s="787">
        <v>0</v>
      </c>
      <c r="J81" s="787">
        <v>0</v>
      </c>
      <c r="K81" s="787">
        <v>0</v>
      </c>
      <c r="L81" s="787">
        <v>0</v>
      </c>
      <c r="M81" s="787">
        <v>0</v>
      </c>
      <c r="N81" s="787">
        <v>0</v>
      </c>
      <c r="O81" s="787">
        <v>4600</v>
      </c>
      <c r="P81" s="787">
        <v>6370</v>
      </c>
      <c r="Q81" s="787">
        <v>190691.31</v>
      </c>
      <c r="R81" s="787">
        <v>11182</v>
      </c>
      <c r="S81" s="787">
        <v>0</v>
      </c>
      <c r="T81" s="787">
        <v>0</v>
      </c>
      <c r="U81" s="787">
        <v>0</v>
      </c>
      <c r="V81" s="787">
        <v>0</v>
      </c>
      <c r="W81" s="787">
        <v>0</v>
      </c>
      <c r="X81" s="787">
        <f t="shared" si="8"/>
        <v>212843.31</v>
      </c>
      <c r="Y81" s="787">
        <v>749732</v>
      </c>
      <c r="Z81" s="787">
        <v>0</v>
      </c>
      <c r="AA81" s="787">
        <v>255061</v>
      </c>
      <c r="AB81" s="787">
        <v>105103</v>
      </c>
      <c r="AC81" s="787">
        <v>101266</v>
      </c>
      <c r="AD81" s="787">
        <v>0</v>
      </c>
      <c r="AE81" s="787">
        <v>0</v>
      </c>
      <c r="AF81" s="787">
        <v>0</v>
      </c>
      <c r="AG81" s="787">
        <v>6795</v>
      </c>
      <c r="AH81" s="787">
        <v>0</v>
      </c>
      <c r="AI81" s="787">
        <v>0</v>
      </c>
      <c r="AJ81" s="787">
        <v>79542</v>
      </c>
      <c r="AK81" s="787">
        <v>6424</v>
      </c>
      <c r="AL81" s="787">
        <v>3348</v>
      </c>
      <c r="AM81" s="787">
        <v>5011</v>
      </c>
      <c r="AN81" s="787">
        <v>35076</v>
      </c>
      <c r="AO81" s="787">
        <v>0</v>
      </c>
      <c r="AP81" s="787">
        <v>0</v>
      </c>
      <c r="AQ81" s="787">
        <v>57155</v>
      </c>
      <c r="AR81" s="787">
        <v>3307</v>
      </c>
      <c r="AS81" s="787">
        <v>0</v>
      </c>
      <c r="AT81" s="787">
        <v>0</v>
      </c>
      <c r="AU81" s="787">
        <v>1300</v>
      </c>
      <c r="AV81" s="787">
        <v>13005</v>
      </c>
      <c r="AW81" s="787">
        <v>0</v>
      </c>
      <c r="AX81" s="787">
        <v>27294</v>
      </c>
      <c r="AY81" s="787">
        <v>0</v>
      </c>
      <c r="AZ81" s="787">
        <v>8630</v>
      </c>
      <c r="BA81" s="787">
        <v>331</v>
      </c>
      <c r="BB81" s="787">
        <v>0</v>
      </c>
      <c r="BC81" s="787">
        <v>90546</v>
      </c>
      <c r="BD81" s="787">
        <v>315914</v>
      </c>
      <c r="BE81" s="787">
        <v>30372</v>
      </c>
      <c r="BF81" s="787">
        <v>54703</v>
      </c>
      <c r="BG81" s="787">
        <v>0</v>
      </c>
      <c r="BH81" s="787">
        <v>0</v>
      </c>
      <c r="BI81" s="787">
        <v>0</v>
      </c>
      <c r="BJ81" s="787">
        <f t="shared" si="9"/>
        <v>1949915</v>
      </c>
      <c r="BK81" s="787"/>
      <c r="BL81" s="787"/>
      <c r="BM81" s="787"/>
      <c r="BN81" s="787">
        <v>0</v>
      </c>
      <c r="BO81" s="787">
        <v>0</v>
      </c>
      <c r="BP81" s="787">
        <v>0</v>
      </c>
      <c r="BQ81" s="787">
        <f t="shared" si="10"/>
        <v>0</v>
      </c>
      <c r="BR81" s="787">
        <v>0</v>
      </c>
      <c r="BS81" s="787">
        <v>0</v>
      </c>
      <c r="BT81" s="787">
        <v>0</v>
      </c>
      <c r="BU81" s="787">
        <v>0</v>
      </c>
      <c r="BV81" s="787">
        <v>0</v>
      </c>
      <c r="BW81" s="787">
        <v>0</v>
      </c>
      <c r="BX81" s="787">
        <v>0</v>
      </c>
      <c r="BY81" s="787">
        <v>0</v>
      </c>
      <c r="BZ81" s="787">
        <f t="shared" si="11"/>
        <v>0</v>
      </c>
      <c r="CA81" s="787"/>
      <c r="CB81" s="787"/>
      <c r="CC81" s="787"/>
      <c r="CD81" s="787">
        <v>0</v>
      </c>
      <c r="CE81" s="787">
        <v>0</v>
      </c>
      <c r="CF81" s="787">
        <f t="shared" si="12"/>
        <v>0</v>
      </c>
      <c r="CG81" s="787">
        <v>0</v>
      </c>
      <c r="CH81" s="787">
        <v>0</v>
      </c>
      <c r="CI81" s="787">
        <f t="shared" si="13"/>
        <v>0</v>
      </c>
      <c r="CJ81" s="787"/>
      <c r="CK81" s="787"/>
      <c r="CL81" s="787"/>
      <c r="CM81" s="787"/>
      <c r="CN81" s="787"/>
      <c r="CO81" s="787"/>
      <c r="CP81" s="787"/>
      <c r="CQ81" s="787"/>
      <c r="CR81" s="787"/>
      <c r="CS81" s="787">
        <v>622785.1</v>
      </c>
      <c r="CT81" s="787">
        <v>0</v>
      </c>
      <c r="CU81" s="787">
        <v>0</v>
      </c>
      <c r="CV81" s="787">
        <v>622785.1</v>
      </c>
      <c r="CW81" s="787">
        <v>0</v>
      </c>
      <c r="CX81" s="787">
        <v>5694.26</v>
      </c>
      <c r="CY81" s="787">
        <v>2294.37</v>
      </c>
      <c r="CZ81" s="787">
        <v>0</v>
      </c>
      <c r="DA81" s="787">
        <v>0</v>
      </c>
      <c r="DB81" s="787">
        <v>630773.73</v>
      </c>
      <c r="DC81" s="787">
        <v>0</v>
      </c>
      <c r="DD81" s="787">
        <v>0</v>
      </c>
      <c r="DE81" s="787">
        <v>0</v>
      </c>
      <c r="DF81" s="787">
        <v>0</v>
      </c>
      <c r="DG81" s="787"/>
      <c r="DH81" s="787"/>
      <c r="DI81" s="787"/>
      <c r="DJ81" s="787">
        <v>0</v>
      </c>
      <c r="DK81" s="787">
        <v>0</v>
      </c>
      <c r="DL81" s="787">
        <v>482</v>
      </c>
      <c r="DM81" s="787">
        <v>0</v>
      </c>
      <c r="DN81" s="787">
        <v>0</v>
      </c>
      <c r="DO81" s="787">
        <v>0</v>
      </c>
      <c r="DP81" s="787">
        <v>-124484</v>
      </c>
      <c r="DQ81" s="787">
        <v>0</v>
      </c>
      <c r="DR81" s="787">
        <v>0</v>
      </c>
      <c r="DS81" s="787">
        <v>0</v>
      </c>
      <c r="DT81" s="787">
        <v>-124002</v>
      </c>
      <c r="DU81" s="787">
        <v>0</v>
      </c>
      <c r="DV81" s="787">
        <v>0</v>
      </c>
      <c r="DW81" s="787">
        <v>0</v>
      </c>
      <c r="DX81" s="787">
        <v>0</v>
      </c>
      <c r="DY81" s="787">
        <v>0</v>
      </c>
      <c r="DZ81" s="787">
        <v>0</v>
      </c>
      <c r="EA81" s="787">
        <v>0.43259421060793102</v>
      </c>
    </row>
    <row r="82" spans="1:131" ht="15.6">
      <c r="A82" s="782" t="s">
        <v>1374</v>
      </c>
      <c r="B82" s="782" t="s">
        <v>894</v>
      </c>
      <c r="C82" s="783">
        <v>2474</v>
      </c>
      <c r="D82" s="784" t="s">
        <v>895</v>
      </c>
      <c r="E82" s="785" t="s">
        <v>521</v>
      </c>
      <c r="F82" s="786">
        <v>46094</v>
      </c>
      <c r="G82" s="785" t="s">
        <v>5</v>
      </c>
      <c r="H82" s="785" t="str">
        <f t="shared" si="7"/>
        <v>AX02V</v>
      </c>
      <c r="I82" s="787">
        <v>0</v>
      </c>
      <c r="J82" s="787">
        <v>0</v>
      </c>
      <c r="K82" s="787">
        <v>0</v>
      </c>
      <c r="L82" s="787">
        <v>0</v>
      </c>
      <c r="M82" s="787">
        <v>2300</v>
      </c>
      <c r="N82" s="787">
        <v>400</v>
      </c>
      <c r="O82" s="787">
        <v>0</v>
      </c>
      <c r="P82" s="787">
        <v>28099.7</v>
      </c>
      <c r="Q82" s="787">
        <v>4690.97</v>
      </c>
      <c r="R82" s="787">
        <v>35348.47</v>
      </c>
      <c r="S82" s="787">
        <v>7000</v>
      </c>
      <c r="T82" s="787">
        <v>0</v>
      </c>
      <c r="U82" s="787">
        <v>31213.96</v>
      </c>
      <c r="V82" s="787">
        <v>13881.18</v>
      </c>
      <c r="W82" s="787">
        <v>0</v>
      </c>
      <c r="X82" s="787">
        <f t="shared" si="8"/>
        <v>122934.28</v>
      </c>
      <c r="Y82" s="787">
        <v>1426798.01</v>
      </c>
      <c r="Z82" s="787">
        <v>0</v>
      </c>
      <c r="AA82" s="787">
        <v>322602.81999999995</v>
      </c>
      <c r="AB82" s="787">
        <v>47169.38</v>
      </c>
      <c r="AC82" s="787">
        <v>143272.5</v>
      </c>
      <c r="AD82" s="787">
        <v>0</v>
      </c>
      <c r="AE82" s="787">
        <v>84565.290000000008</v>
      </c>
      <c r="AF82" s="787">
        <v>130.80000000000001</v>
      </c>
      <c r="AG82" s="787">
        <v>582</v>
      </c>
      <c r="AH82" s="787">
        <v>0</v>
      </c>
      <c r="AI82" s="787">
        <v>11879</v>
      </c>
      <c r="AJ82" s="787">
        <v>18121.57</v>
      </c>
      <c r="AK82" s="787">
        <v>2441.4899999999998</v>
      </c>
      <c r="AL82" s="787">
        <v>58386.17</v>
      </c>
      <c r="AM82" s="787">
        <v>12546.94</v>
      </c>
      <c r="AN82" s="787">
        <v>26339.308666666668</v>
      </c>
      <c r="AO82" s="787">
        <v>0</v>
      </c>
      <c r="AP82" s="787">
        <v>8051.01</v>
      </c>
      <c r="AQ82" s="787">
        <v>66178.73</v>
      </c>
      <c r="AR82" s="787">
        <v>5074</v>
      </c>
      <c r="AS82" s="787">
        <v>0</v>
      </c>
      <c r="AT82" s="787">
        <v>7442.52</v>
      </c>
      <c r="AU82" s="787">
        <v>45601.72</v>
      </c>
      <c r="AV82" s="787">
        <v>0</v>
      </c>
      <c r="AW82" s="787">
        <v>0</v>
      </c>
      <c r="AX82" s="787">
        <v>35533.58</v>
      </c>
      <c r="AY82" s="787">
        <v>0</v>
      </c>
      <c r="AZ82" s="787">
        <v>9404.32</v>
      </c>
      <c r="BA82" s="787">
        <v>0</v>
      </c>
      <c r="BB82" s="787">
        <v>3508</v>
      </c>
      <c r="BC82" s="787">
        <v>149116.47</v>
      </c>
      <c r="BD82" s="787">
        <v>49686.380000000005</v>
      </c>
      <c r="BE82" s="787">
        <v>93776.989999999991</v>
      </c>
      <c r="BF82" s="787">
        <v>25978.490000000005</v>
      </c>
      <c r="BG82" s="787">
        <v>0</v>
      </c>
      <c r="BH82" s="787">
        <v>0</v>
      </c>
      <c r="BI82" s="787">
        <v>0</v>
      </c>
      <c r="BJ82" s="787">
        <f t="shared" si="9"/>
        <v>2654187.4886666667</v>
      </c>
      <c r="BK82" s="787"/>
      <c r="BL82" s="787"/>
      <c r="BM82" s="787"/>
      <c r="BN82" s="787">
        <v>0</v>
      </c>
      <c r="BO82" s="787">
        <v>0</v>
      </c>
      <c r="BP82" s="787">
        <v>0</v>
      </c>
      <c r="BQ82" s="787">
        <f t="shared" si="10"/>
        <v>0</v>
      </c>
      <c r="BR82" s="787">
        <v>0</v>
      </c>
      <c r="BS82" s="787">
        <v>1711.4</v>
      </c>
      <c r="BT82" s="787">
        <v>0</v>
      </c>
      <c r="BU82" s="787">
        <v>0</v>
      </c>
      <c r="BV82" s="787">
        <v>0</v>
      </c>
      <c r="BW82" s="787">
        <v>0</v>
      </c>
      <c r="BX82" s="787">
        <v>23049.38</v>
      </c>
      <c r="BY82" s="787">
        <v>0</v>
      </c>
      <c r="BZ82" s="787">
        <f t="shared" si="11"/>
        <v>24760.780000000002</v>
      </c>
      <c r="CA82" s="787"/>
      <c r="CB82" s="787"/>
      <c r="CC82" s="787"/>
      <c r="CD82" s="787">
        <v>0</v>
      </c>
      <c r="CE82" s="787">
        <v>0</v>
      </c>
      <c r="CF82" s="787">
        <f t="shared" si="12"/>
        <v>0</v>
      </c>
      <c r="CG82" s="787">
        <v>0</v>
      </c>
      <c r="CH82" s="787">
        <v>0</v>
      </c>
      <c r="CI82" s="787">
        <f t="shared" si="13"/>
        <v>0</v>
      </c>
      <c r="CJ82" s="787"/>
      <c r="CK82" s="787"/>
      <c r="CL82" s="787"/>
      <c r="CM82" s="787"/>
      <c r="CN82" s="787"/>
      <c r="CO82" s="787"/>
      <c r="CP82" s="787"/>
      <c r="CQ82" s="787"/>
      <c r="CR82" s="787"/>
      <c r="CS82" s="787">
        <v>245358.94</v>
      </c>
      <c r="CT82" s="787">
        <v>5766.65</v>
      </c>
      <c r="CU82" s="787">
        <v>0</v>
      </c>
      <c r="CV82" s="787">
        <v>239592.29</v>
      </c>
      <c r="CW82" s="787">
        <v>0</v>
      </c>
      <c r="CX82" s="787">
        <v>8255.41</v>
      </c>
      <c r="CY82" s="787">
        <v>6867.29</v>
      </c>
      <c r="CZ82" s="787">
        <v>0</v>
      </c>
      <c r="DA82" s="787">
        <v>131.09000000000015</v>
      </c>
      <c r="DB82" s="787">
        <v>254846.08000000002</v>
      </c>
      <c r="DC82" s="787">
        <v>0</v>
      </c>
      <c r="DD82" s="787">
        <v>0</v>
      </c>
      <c r="DE82" s="787">
        <v>0</v>
      </c>
      <c r="DF82" s="787">
        <v>0</v>
      </c>
      <c r="DG82" s="787"/>
      <c r="DH82" s="787"/>
      <c r="DI82" s="787"/>
      <c r="DJ82" s="787">
        <v>0</v>
      </c>
      <c r="DK82" s="787">
        <v>0</v>
      </c>
      <c r="DL82" s="787">
        <v>0</v>
      </c>
      <c r="DM82" s="787">
        <v>0</v>
      </c>
      <c r="DN82" s="787">
        <v>0</v>
      </c>
      <c r="DO82" s="787">
        <v>0</v>
      </c>
      <c r="DP82" s="787">
        <v>-211142.43</v>
      </c>
      <c r="DQ82" s="787">
        <v>-4032</v>
      </c>
      <c r="DR82" s="787">
        <v>0</v>
      </c>
      <c r="DS82" s="787">
        <v>0</v>
      </c>
      <c r="DT82" s="787">
        <v>-215174.43</v>
      </c>
      <c r="DU82" s="787">
        <v>995.66</v>
      </c>
      <c r="DV82" s="787">
        <v>0</v>
      </c>
      <c r="DW82" s="787">
        <v>0</v>
      </c>
      <c r="DX82" s="787">
        <v>0</v>
      </c>
      <c r="DY82" s="787">
        <v>0</v>
      </c>
      <c r="DZ82" s="787">
        <v>-35681.620000000003</v>
      </c>
      <c r="EA82" s="787">
        <v>0.35522913765817066</v>
      </c>
    </row>
    <row r="83" spans="1:131" ht="15.6">
      <c r="A83" s="782" t="s">
        <v>1375</v>
      </c>
      <c r="B83" s="782" t="s">
        <v>670</v>
      </c>
      <c r="C83" s="783">
        <v>4223</v>
      </c>
      <c r="D83" s="784" t="s">
        <v>671</v>
      </c>
      <c r="E83" s="785" t="s">
        <v>521</v>
      </c>
      <c r="F83" s="786">
        <v>46093</v>
      </c>
      <c r="G83" s="785" t="s">
        <v>5</v>
      </c>
      <c r="H83" s="785" t="str">
        <f t="shared" si="7"/>
        <v>AX0A4</v>
      </c>
      <c r="I83" s="787">
        <v>0</v>
      </c>
      <c r="J83" s="787">
        <v>0</v>
      </c>
      <c r="K83" s="787">
        <v>0</v>
      </c>
      <c r="L83" s="787">
        <v>0</v>
      </c>
      <c r="M83" s="787">
        <v>0</v>
      </c>
      <c r="N83" s="787">
        <v>0</v>
      </c>
      <c r="O83" s="787">
        <v>0</v>
      </c>
      <c r="P83" s="787">
        <v>0</v>
      </c>
      <c r="Q83" s="787">
        <v>539262.18999999994</v>
      </c>
      <c r="R83" s="787">
        <v>101700.18</v>
      </c>
      <c r="S83" s="787">
        <v>0</v>
      </c>
      <c r="T83" s="787">
        <v>0</v>
      </c>
      <c r="U83" s="787">
        <v>20562.59</v>
      </c>
      <c r="V83" s="787">
        <v>0</v>
      </c>
      <c r="W83" s="787">
        <v>0</v>
      </c>
      <c r="X83" s="787">
        <f t="shared" si="8"/>
        <v>661524.95999999985</v>
      </c>
      <c r="Y83" s="787">
        <v>6838631.7599999998</v>
      </c>
      <c r="Z83" s="787">
        <v>0</v>
      </c>
      <c r="AA83" s="787">
        <v>500310.73000000004</v>
      </c>
      <c r="AB83" s="787">
        <v>0</v>
      </c>
      <c r="AC83" s="787">
        <v>1430243.76</v>
      </c>
      <c r="AD83" s="787">
        <v>0</v>
      </c>
      <c r="AE83" s="787">
        <v>129737.33</v>
      </c>
      <c r="AF83" s="787">
        <v>54904.61</v>
      </c>
      <c r="AG83" s="787">
        <v>39651.879999999997</v>
      </c>
      <c r="AH83" s="787">
        <v>0</v>
      </c>
      <c r="AI83" s="787">
        <v>6586.48</v>
      </c>
      <c r="AJ83" s="787">
        <v>283809.32</v>
      </c>
      <c r="AK83" s="787">
        <v>0</v>
      </c>
      <c r="AL83" s="787">
        <v>0</v>
      </c>
      <c r="AM83" s="787">
        <v>121430.49</v>
      </c>
      <c r="AN83" s="787">
        <v>386634.31</v>
      </c>
      <c r="AO83" s="787">
        <v>0</v>
      </c>
      <c r="AP83" s="787">
        <v>16562.599999999999</v>
      </c>
      <c r="AQ83" s="787">
        <v>119017.24</v>
      </c>
      <c r="AR83" s="787">
        <v>0</v>
      </c>
      <c r="AS83" s="787">
        <v>0</v>
      </c>
      <c r="AT83" s="787">
        <v>122066.87</v>
      </c>
      <c r="AU83" s="787">
        <v>0</v>
      </c>
      <c r="AV83" s="787">
        <v>0</v>
      </c>
      <c r="AW83" s="787">
        <v>3494.84</v>
      </c>
      <c r="AX83" s="787">
        <v>0</v>
      </c>
      <c r="AY83" s="787">
        <v>150056.29999999999</v>
      </c>
      <c r="AZ83" s="787">
        <v>434236.91</v>
      </c>
      <c r="BA83" s="787">
        <v>32460.18</v>
      </c>
      <c r="BB83" s="787">
        <v>0</v>
      </c>
      <c r="BC83" s="787">
        <v>576612.85</v>
      </c>
      <c r="BD83" s="787">
        <v>90126.78</v>
      </c>
      <c r="BE83" s="787">
        <v>154551.03999999998</v>
      </c>
      <c r="BF83" s="787">
        <v>131191.65</v>
      </c>
      <c r="BG83" s="787">
        <v>446408</v>
      </c>
      <c r="BH83" s="787">
        <v>0</v>
      </c>
      <c r="BI83" s="787">
        <v>0</v>
      </c>
      <c r="BJ83" s="787">
        <f t="shared" si="9"/>
        <v>12068725.93</v>
      </c>
      <c r="BK83" s="787"/>
      <c r="BL83" s="787"/>
      <c r="BM83" s="787"/>
      <c r="BN83" s="787">
        <v>0</v>
      </c>
      <c r="BO83" s="787">
        <v>0</v>
      </c>
      <c r="BP83" s="787">
        <v>0</v>
      </c>
      <c r="BQ83" s="787">
        <f t="shared" si="10"/>
        <v>0</v>
      </c>
      <c r="BR83" s="787">
        <v>0</v>
      </c>
      <c r="BS83" s="787">
        <v>0</v>
      </c>
      <c r="BT83" s="787">
        <v>0</v>
      </c>
      <c r="BU83" s="787">
        <v>0</v>
      </c>
      <c r="BV83" s="787">
        <v>0</v>
      </c>
      <c r="BW83" s="787">
        <v>0</v>
      </c>
      <c r="BX83" s="787">
        <v>0</v>
      </c>
      <c r="BY83" s="787">
        <v>0</v>
      </c>
      <c r="BZ83" s="787">
        <f t="shared" si="11"/>
        <v>0</v>
      </c>
      <c r="CA83" s="787"/>
      <c r="CB83" s="787"/>
      <c r="CC83" s="787"/>
      <c r="CD83" s="787">
        <v>0</v>
      </c>
      <c r="CE83" s="787">
        <v>0</v>
      </c>
      <c r="CF83" s="787">
        <f t="shared" si="12"/>
        <v>0</v>
      </c>
      <c r="CG83" s="787">
        <v>0</v>
      </c>
      <c r="CH83" s="787">
        <v>0</v>
      </c>
      <c r="CI83" s="787">
        <f t="shared" si="13"/>
        <v>0</v>
      </c>
      <c r="CJ83" s="787"/>
      <c r="CK83" s="787"/>
      <c r="CL83" s="787"/>
      <c r="CM83" s="787"/>
      <c r="CN83" s="787"/>
      <c r="CO83" s="787"/>
      <c r="CP83" s="787"/>
      <c r="CQ83" s="787"/>
      <c r="CR83" s="787"/>
      <c r="CS83" s="787">
        <v>324367.44</v>
      </c>
      <c r="CT83" s="787">
        <v>129145.11</v>
      </c>
      <c r="CU83" s="787">
        <v>750000</v>
      </c>
      <c r="CV83" s="787">
        <v>945222.33000000007</v>
      </c>
      <c r="CW83" s="787">
        <v>0</v>
      </c>
      <c r="CX83" s="787">
        <v>14646.37</v>
      </c>
      <c r="CY83" s="787">
        <v>17123.419999999998</v>
      </c>
      <c r="CZ83" s="787">
        <v>0</v>
      </c>
      <c r="DA83" s="787">
        <v>0</v>
      </c>
      <c r="DB83" s="787">
        <v>976992.12000000011</v>
      </c>
      <c r="DC83" s="787">
        <v>3952904.18</v>
      </c>
      <c r="DD83" s="787">
        <v>751170</v>
      </c>
      <c r="DE83" s="787">
        <v>0</v>
      </c>
      <c r="DF83" s="787">
        <v>3201734.18</v>
      </c>
      <c r="DG83" s="787"/>
      <c r="DH83" s="787"/>
      <c r="DI83" s="787"/>
      <c r="DJ83" s="787">
        <v>0</v>
      </c>
      <c r="DK83" s="787">
        <v>3201734.18</v>
      </c>
      <c r="DL83" s="787">
        <v>0</v>
      </c>
      <c r="DM83" s="787">
        <v>0</v>
      </c>
      <c r="DN83" s="787">
        <v>0</v>
      </c>
      <c r="DO83" s="787">
        <v>0</v>
      </c>
      <c r="DP83" s="787">
        <v>-842250.33</v>
      </c>
      <c r="DQ83" s="787">
        <v>-148173.85</v>
      </c>
      <c r="DR83" s="787">
        <v>0</v>
      </c>
      <c r="DS83" s="787">
        <v>0</v>
      </c>
      <c r="DT83" s="787">
        <v>-990424.17999999993</v>
      </c>
      <c r="DU83" s="787">
        <v>0</v>
      </c>
      <c r="DV83" s="787">
        <v>0</v>
      </c>
      <c r="DW83" s="787">
        <v>0</v>
      </c>
      <c r="DX83" s="787">
        <v>0</v>
      </c>
      <c r="DY83" s="787">
        <v>0</v>
      </c>
      <c r="DZ83" s="787">
        <v>-179923.94</v>
      </c>
      <c r="EA83" s="787">
        <v>-5.4038082715123892E-2</v>
      </c>
    </row>
    <row r="84" spans="1:131" ht="15.6">
      <c r="A84" s="782" t="s">
        <v>1376</v>
      </c>
      <c r="B84" s="782" t="s">
        <v>672</v>
      </c>
      <c r="C84" s="783">
        <v>3317</v>
      </c>
      <c r="D84" s="784" t="s">
        <v>673</v>
      </c>
      <c r="E84" s="785" t="s">
        <v>521</v>
      </c>
      <c r="F84" s="786" t="s">
        <v>1305</v>
      </c>
      <c r="G84" s="785" t="s">
        <v>5</v>
      </c>
      <c r="H84" s="785" t="str">
        <f t="shared" si="7"/>
        <v>AX02Y</v>
      </c>
      <c r="I84" s="787">
        <v>5500</v>
      </c>
      <c r="J84" s="787">
        <v>0</v>
      </c>
      <c r="K84" s="787">
        <v>0</v>
      </c>
      <c r="L84" s="787">
        <v>0</v>
      </c>
      <c r="M84" s="787">
        <v>0</v>
      </c>
      <c r="N84" s="787">
        <v>0</v>
      </c>
      <c r="O84" s="787">
        <v>0</v>
      </c>
      <c r="P84" s="787">
        <v>756.25</v>
      </c>
      <c r="Q84" s="787">
        <v>3191.55</v>
      </c>
      <c r="R84" s="787">
        <v>3345.7</v>
      </c>
      <c r="S84" s="787">
        <v>0</v>
      </c>
      <c r="T84" s="787">
        <v>0</v>
      </c>
      <c r="U84" s="787">
        <v>6225.3</v>
      </c>
      <c r="V84" s="787">
        <v>17697.36</v>
      </c>
      <c r="W84" s="787">
        <v>0</v>
      </c>
      <c r="X84" s="787">
        <f t="shared" si="8"/>
        <v>36716.160000000003</v>
      </c>
      <c r="Y84" s="787">
        <v>792464.95</v>
      </c>
      <c r="Z84" s="787">
        <v>0</v>
      </c>
      <c r="AA84" s="787">
        <v>341496.57</v>
      </c>
      <c r="AB84" s="787">
        <v>53725.14</v>
      </c>
      <c r="AC84" s="787">
        <v>105339.5</v>
      </c>
      <c r="AD84" s="787">
        <v>0</v>
      </c>
      <c r="AE84" s="787">
        <v>44821.99</v>
      </c>
      <c r="AF84" s="787">
        <v>7704.72</v>
      </c>
      <c r="AG84" s="787">
        <v>7058.48</v>
      </c>
      <c r="AH84" s="787">
        <v>0</v>
      </c>
      <c r="AI84" s="787">
        <v>0</v>
      </c>
      <c r="AJ84" s="787">
        <v>20460.099999999999</v>
      </c>
      <c r="AK84" s="787">
        <v>0</v>
      </c>
      <c r="AL84" s="787">
        <v>841.96</v>
      </c>
      <c r="AM84" s="787">
        <v>3760.62</v>
      </c>
      <c r="AN84" s="787">
        <v>22241.96</v>
      </c>
      <c r="AO84" s="787">
        <v>0</v>
      </c>
      <c r="AP84" s="787">
        <v>10993.93</v>
      </c>
      <c r="AQ84" s="787">
        <v>35306.1</v>
      </c>
      <c r="AR84" s="787">
        <v>423.72</v>
      </c>
      <c r="AS84" s="787">
        <v>0</v>
      </c>
      <c r="AT84" s="787">
        <v>12692.32</v>
      </c>
      <c r="AU84" s="787">
        <v>86.12</v>
      </c>
      <c r="AV84" s="787">
        <v>0</v>
      </c>
      <c r="AW84" s="787">
        <v>801</v>
      </c>
      <c r="AX84" s="787">
        <v>600</v>
      </c>
      <c r="AY84" s="787">
        <v>0</v>
      </c>
      <c r="AZ84" s="787">
        <v>28883.3</v>
      </c>
      <c r="BA84" s="787">
        <v>8788.41</v>
      </c>
      <c r="BB84" s="787">
        <v>2900</v>
      </c>
      <c r="BC84" s="787">
        <v>129036.29000000001</v>
      </c>
      <c r="BD84" s="787">
        <v>35116.120000000003</v>
      </c>
      <c r="BE84" s="787">
        <v>7785.0000000000009</v>
      </c>
      <c r="BF84" s="787">
        <v>74949.400000000009</v>
      </c>
      <c r="BG84" s="787">
        <v>0</v>
      </c>
      <c r="BH84" s="787">
        <v>0</v>
      </c>
      <c r="BI84" s="787">
        <v>0</v>
      </c>
      <c r="BJ84" s="787">
        <f t="shared" si="9"/>
        <v>1748277.7000000002</v>
      </c>
      <c r="BK84" s="787"/>
      <c r="BL84" s="787"/>
      <c r="BM84" s="787"/>
      <c r="BN84" s="787">
        <v>0</v>
      </c>
      <c r="BO84" s="787">
        <v>0</v>
      </c>
      <c r="BP84" s="787">
        <v>0</v>
      </c>
      <c r="BQ84" s="787">
        <f t="shared" si="10"/>
        <v>0</v>
      </c>
      <c r="BR84" s="787">
        <v>0</v>
      </c>
      <c r="BS84" s="787">
        <v>17652</v>
      </c>
      <c r="BT84" s="787">
        <v>0</v>
      </c>
      <c r="BU84" s="787">
        <v>0</v>
      </c>
      <c r="BV84" s="787">
        <v>0</v>
      </c>
      <c r="BW84" s="787">
        <v>0</v>
      </c>
      <c r="BX84" s="787">
        <v>0</v>
      </c>
      <c r="BY84" s="787">
        <v>7912</v>
      </c>
      <c r="BZ84" s="787">
        <f t="shared" si="11"/>
        <v>25564</v>
      </c>
      <c r="CA84" s="787"/>
      <c r="CB84" s="787"/>
      <c r="CC84" s="787"/>
      <c r="CD84" s="787">
        <v>0</v>
      </c>
      <c r="CE84" s="787">
        <v>0</v>
      </c>
      <c r="CF84" s="787">
        <f t="shared" si="12"/>
        <v>0</v>
      </c>
      <c r="CG84" s="787">
        <v>0</v>
      </c>
      <c r="CH84" s="787">
        <v>0</v>
      </c>
      <c r="CI84" s="787">
        <f t="shared" si="13"/>
        <v>0</v>
      </c>
      <c r="CJ84" s="787"/>
      <c r="CK84" s="787"/>
      <c r="CL84" s="787"/>
      <c r="CM84" s="787"/>
      <c r="CN84" s="787"/>
      <c r="CO84" s="787"/>
      <c r="CP84" s="787"/>
      <c r="CQ84" s="787"/>
      <c r="CR84" s="787"/>
      <c r="CS84" s="787">
        <v>276461.19</v>
      </c>
      <c r="CT84" s="787">
        <v>0</v>
      </c>
      <c r="CU84" s="787">
        <v>0</v>
      </c>
      <c r="CV84" s="787">
        <v>276461.19</v>
      </c>
      <c r="CW84" s="787">
        <v>1278.57</v>
      </c>
      <c r="CX84" s="787">
        <v>1486.03</v>
      </c>
      <c r="CY84" s="787">
        <v>486.98</v>
      </c>
      <c r="CZ84" s="787">
        <v>81.22</v>
      </c>
      <c r="DA84" s="787">
        <v>1040.0899999999999</v>
      </c>
      <c r="DB84" s="787">
        <v>280834.08</v>
      </c>
      <c r="DC84" s="787">
        <v>0</v>
      </c>
      <c r="DD84" s="787">
        <v>0</v>
      </c>
      <c r="DE84" s="787">
        <v>0</v>
      </c>
      <c r="DF84" s="787">
        <v>0</v>
      </c>
      <c r="DG84" s="787"/>
      <c r="DH84" s="787"/>
      <c r="DI84" s="787"/>
      <c r="DJ84" s="787">
        <v>0</v>
      </c>
      <c r="DK84" s="787">
        <v>0</v>
      </c>
      <c r="DL84" s="787">
        <v>0</v>
      </c>
      <c r="DM84" s="787">
        <v>0</v>
      </c>
      <c r="DN84" s="787">
        <v>0</v>
      </c>
      <c r="DO84" s="787">
        <v>0</v>
      </c>
      <c r="DP84" s="787">
        <v>-146178.93</v>
      </c>
      <c r="DQ84" s="787">
        <v>-24738.33</v>
      </c>
      <c r="DR84" s="787">
        <v>0</v>
      </c>
      <c r="DS84" s="787">
        <v>0</v>
      </c>
      <c r="DT84" s="787">
        <v>-170917.26</v>
      </c>
      <c r="DU84" s="787">
        <v>0</v>
      </c>
      <c r="DV84" s="787">
        <v>0</v>
      </c>
      <c r="DW84" s="787">
        <v>0</v>
      </c>
      <c r="DX84" s="787">
        <v>0</v>
      </c>
      <c r="DY84" s="787">
        <v>0</v>
      </c>
      <c r="DZ84" s="787">
        <v>-23860.49</v>
      </c>
      <c r="EA84" s="787">
        <v>-0.36506704545172397</v>
      </c>
    </row>
    <row r="85" spans="1:131" ht="15.6">
      <c r="A85" s="782" t="s">
        <v>1377</v>
      </c>
      <c r="B85" s="782" t="s">
        <v>674</v>
      </c>
      <c r="C85" s="783">
        <v>1023</v>
      </c>
      <c r="D85" s="784" t="s">
        <v>675</v>
      </c>
      <c r="E85" s="785" t="s">
        <v>521</v>
      </c>
      <c r="F85" s="786">
        <v>46094</v>
      </c>
      <c r="G85" s="785" t="s">
        <v>5</v>
      </c>
      <c r="H85" s="785" t="str">
        <f t="shared" si="7"/>
        <v>AX0A7</v>
      </c>
      <c r="I85" s="787">
        <v>0</v>
      </c>
      <c r="J85" s="787">
        <v>0</v>
      </c>
      <c r="K85" s="787">
        <v>0</v>
      </c>
      <c r="L85" s="787">
        <v>0</v>
      </c>
      <c r="M85" s="787">
        <v>0</v>
      </c>
      <c r="N85" s="787">
        <v>0</v>
      </c>
      <c r="O85" s="787">
        <v>0</v>
      </c>
      <c r="P85" s="787">
        <v>0</v>
      </c>
      <c r="Q85" s="787">
        <v>43.62</v>
      </c>
      <c r="R85" s="787">
        <v>3812.5</v>
      </c>
      <c r="S85" s="787">
        <v>0</v>
      </c>
      <c r="T85" s="787">
        <v>0</v>
      </c>
      <c r="U85" s="787">
        <v>6779.75</v>
      </c>
      <c r="V85" s="787">
        <v>159399.49</v>
      </c>
      <c r="W85" s="787">
        <v>0</v>
      </c>
      <c r="X85" s="787">
        <f t="shared" si="8"/>
        <v>170035.36</v>
      </c>
      <c r="Y85" s="787">
        <v>135596.98000000001</v>
      </c>
      <c r="Z85" s="787">
        <v>0</v>
      </c>
      <c r="AA85" s="787">
        <v>237345.27</v>
      </c>
      <c r="AB85" s="787">
        <v>0</v>
      </c>
      <c r="AC85" s="787">
        <v>20394.37</v>
      </c>
      <c r="AD85" s="787">
        <v>0</v>
      </c>
      <c r="AE85" s="787">
        <v>53768.41</v>
      </c>
      <c r="AF85" s="787">
        <v>2351.8200000000002</v>
      </c>
      <c r="AG85" s="787">
        <v>3842.25</v>
      </c>
      <c r="AH85" s="787">
        <v>0</v>
      </c>
      <c r="AI85" s="787">
        <v>0</v>
      </c>
      <c r="AJ85" s="787">
        <v>16379.01</v>
      </c>
      <c r="AK85" s="787">
        <v>0</v>
      </c>
      <c r="AL85" s="787">
        <v>23717.75</v>
      </c>
      <c r="AM85" s="787">
        <v>4076.16</v>
      </c>
      <c r="AN85" s="787">
        <v>10752.89</v>
      </c>
      <c r="AO85" s="787">
        <v>0</v>
      </c>
      <c r="AP85" s="787">
        <v>16309.49</v>
      </c>
      <c r="AQ85" s="787">
        <v>23286</v>
      </c>
      <c r="AR85" s="787">
        <v>0</v>
      </c>
      <c r="AS85" s="787">
        <v>0</v>
      </c>
      <c r="AT85" s="787">
        <v>0</v>
      </c>
      <c r="AU85" s="787">
        <v>0</v>
      </c>
      <c r="AV85" s="787">
        <v>0</v>
      </c>
      <c r="AW85" s="787">
        <v>0</v>
      </c>
      <c r="AX85" s="787">
        <v>0</v>
      </c>
      <c r="AY85" s="787">
        <v>0</v>
      </c>
      <c r="AZ85" s="787">
        <v>4920.29</v>
      </c>
      <c r="BA85" s="787">
        <v>0</v>
      </c>
      <c r="BB85" s="787">
        <v>0</v>
      </c>
      <c r="BC85" s="787">
        <v>6779.95</v>
      </c>
      <c r="BD85" s="787">
        <v>101967.44</v>
      </c>
      <c r="BE85" s="787">
        <v>8862.7800000000007</v>
      </c>
      <c r="BF85" s="787">
        <v>59608.37</v>
      </c>
      <c r="BG85" s="787">
        <v>0</v>
      </c>
      <c r="BH85" s="787">
        <v>0</v>
      </c>
      <c r="BI85" s="787">
        <v>0</v>
      </c>
      <c r="BJ85" s="787">
        <f t="shared" si="9"/>
        <v>729959.2300000001</v>
      </c>
      <c r="BK85" s="787"/>
      <c r="BL85" s="787"/>
      <c r="BM85" s="787"/>
      <c r="BN85" s="787">
        <v>0</v>
      </c>
      <c r="BO85" s="787">
        <v>0</v>
      </c>
      <c r="BP85" s="787">
        <v>0</v>
      </c>
      <c r="BQ85" s="787">
        <f t="shared" si="10"/>
        <v>0</v>
      </c>
      <c r="BR85" s="787">
        <v>0</v>
      </c>
      <c r="BS85" s="787">
        <v>20155.88</v>
      </c>
      <c r="BT85" s="787">
        <v>0</v>
      </c>
      <c r="BU85" s="787">
        <v>0</v>
      </c>
      <c r="BV85" s="787">
        <v>0</v>
      </c>
      <c r="BW85" s="787">
        <v>0</v>
      </c>
      <c r="BX85" s="787">
        <v>1542.9</v>
      </c>
      <c r="BY85" s="787">
        <v>0</v>
      </c>
      <c r="BZ85" s="787">
        <f t="shared" si="11"/>
        <v>21698.780000000002</v>
      </c>
      <c r="CA85" s="787"/>
      <c r="CB85" s="787"/>
      <c r="CC85" s="787"/>
      <c r="CD85" s="787">
        <v>0</v>
      </c>
      <c r="CE85" s="787">
        <v>0</v>
      </c>
      <c r="CF85" s="787">
        <f t="shared" si="12"/>
        <v>0</v>
      </c>
      <c r="CG85" s="787">
        <v>0</v>
      </c>
      <c r="CH85" s="787">
        <v>0</v>
      </c>
      <c r="CI85" s="787">
        <f t="shared" si="13"/>
        <v>0</v>
      </c>
      <c r="CJ85" s="787"/>
      <c r="CK85" s="787"/>
      <c r="CL85" s="787"/>
      <c r="CM85" s="787"/>
      <c r="CN85" s="787"/>
      <c r="CO85" s="787"/>
      <c r="CP85" s="787"/>
      <c r="CQ85" s="787"/>
      <c r="CR85" s="787"/>
      <c r="CS85" s="787">
        <v>397527.56</v>
      </c>
      <c r="CT85" s="787">
        <v>10385.120000000001</v>
      </c>
      <c r="CU85" s="787">
        <v>1800</v>
      </c>
      <c r="CV85" s="787">
        <v>388942.44</v>
      </c>
      <c r="CW85" s="787">
        <v>0</v>
      </c>
      <c r="CX85" s="787">
        <v>4790.03</v>
      </c>
      <c r="CY85" s="787">
        <v>2300.4699999999998</v>
      </c>
      <c r="CZ85" s="787">
        <v>10136.530000000001</v>
      </c>
      <c r="DA85" s="787">
        <v>0</v>
      </c>
      <c r="DB85" s="787">
        <v>406169.47000000003</v>
      </c>
      <c r="DC85" s="787">
        <v>0</v>
      </c>
      <c r="DD85" s="787">
        <v>0</v>
      </c>
      <c r="DE85" s="787">
        <v>0</v>
      </c>
      <c r="DF85" s="787">
        <v>0</v>
      </c>
      <c r="DG85" s="787"/>
      <c r="DH85" s="787"/>
      <c r="DI85" s="787"/>
      <c r="DJ85" s="787">
        <v>0</v>
      </c>
      <c r="DK85" s="787">
        <v>0</v>
      </c>
      <c r="DL85" s="787">
        <v>0</v>
      </c>
      <c r="DM85" s="787">
        <v>0</v>
      </c>
      <c r="DN85" s="787">
        <v>0</v>
      </c>
      <c r="DO85" s="787">
        <v>0</v>
      </c>
      <c r="DP85" s="787">
        <v>0</v>
      </c>
      <c r="DQ85" s="787">
        <v>0</v>
      </c>
      <c r="DR85" s="787">
        <v>0</v>
      </c>
      <c r="DS85" s="787">
        <v>0</v>
      </c>
      <c r="DT85" s="787">
        <v>0</v>
      </c>
      <c r="DU85" s="787">
        <v>0</v>
      </c>
      <c r="DV85" s="787">
        <v>0</v>
      </c>
      <c r="DW85" s="787">
        <v>0</v>
      </c>
      <c r="DX85" s="787">
        <v>0</v>
      </c>
      <c r="DY85" s="787">
        <v>0</v>
      </c>
      <c r="DZ85" s="787">
        <v>-45623.839999999997</v>
      </c>
      <c r="EA85" s="787">
        <v>-0.4425830464460887</v>
      </c>
    </row>
    <row r="86" spans="1:131" ht="15.6">
      <c r="A86" s="782" t="s">
        <v>1378</v>
      </c>
      <c r="B86" s="782" t="s">
        <v>676</v>
      </c>
      <c r="C86" s="783">
        <v>2015</v>
      </c>
      <c r="D86" s="784" t="s">
        <v>677</v>
      </c>
      <c r="E86" s="785" t="s">
        <v>521</v>
      </c>
      <c r="F86" s="786">
        <v>46094</v>
      </c>
      <c r="G86" s="785" t="s">
        <v>5</v>
      </c>
      <c r="H86" s="785" t="str">
        <f t="shared" si="7"/>
        <v>AX032</v>
      </c>
      <c r="I86" s="787">
        <v>0</v>
      </c>
      <c r="J86" s="787">
        <v>0</v>
      </c>
      <c r="K86" s="787">
        <v>0</v>
      </c>
      <c r="L86" s="787">
        <v>0</v>
      </c>
      <c r="M86" s="787">
        <v>2300</v>
      </c>
      <c r="N86" s="787">
        <v>0</v>
      </c>
      <c r="O86" s="787">
        <v>0</v>
      </c>
      <c r="P86" s="787">
        <v>0</v>
      </c>
      <c r="Q86" s="787">
        <v>2269</v>
      </c>
      <c r="R86" s="787">
        <v>20190</v>
      </c>
      <c r="S86" s="787">
        <v>0</v>
      </c>
      <c r="T86" s="787">
        <v>0</v>
      </c>
      <c r="U86" s="787">
        <v>18618</v>
      </c>
      <c r="V86" s="787">
        <v>1121</v>
      </c>
      <c r="W86" s="787">
        <v>0</v>
      </c>
      <c r="X86" s="787">
        <f t="shared" si="8"/>
        <v>44498</v>
      </c>
      <c r="Y86" s="787">
        <v>1411908.98</v>
      </c>
      <c r="Z86" s="787">
        <v>0</v>
      </c>
      <c r="AA86" s="787">
        <v>486282.9</v>
      </c>
      <c r="AB86" s="787">
        <v>121866.93</v>
      </c>
      <c r="AC86" s="787">
        <v>204602.16</v>
      </c>
      <c r="AD86" s="787">
        <v>144489.60000000001</v>
      </c>
      <c r="AE86" s="787">
        <v>85157.119999999995</v>
      </c>
      <c r="AF86" s="787">
        <v>3284.25</v>
      </c>
      <c r="AG86" s="787">
        <v>10318.049999999999</v>
      </c>
      <c r="AH86" s="787">
        <v>0</v>
      </c>
      <c r="AI86" s="787">
        <v>0</v>
      </c>
      <c r="AJ86" s="787">
        <v>128879.43</v>
      </c>
      <c r="AK86" s="787">
        <v>4350</v>
      </c>
      <c r="AL86" s="787">
        <v>2457.85</v>
      </c>
      <c r="AM86" s="787">
        <v>15482.6</v>
      </c>
      <c r="AN86" s="787">
        <v>66792.97</v>
      </c>
      <c r="AO86" s="787">
        <v>0</v>
      </c>
      <c r="AP86" s="787">
        <v>21132.67</v>
      </c>
      <c r="AQ86" s="787">
        <v>98388.260000000009</v>
      </c>
      <c r="AR86" s="787">
        <v>13408</v>
      </c>
      <c r="AS86" s="787">
        <v>0</v>
      </c>
      <c r="AT86" s="787">
        <v>18627.330000000002</v>
      </c>
      <c r="AU86" s="787">
        <v>20121.5</v>
      </c>
      <c r="AV86" s="787">
        <v>393.73</v>
      </c>
      <c r="AW86" s="787">
        <v>0</v>
      </c>
      <c r="AX86" s="787">
        <v>20072.009999999998</v>
      </c>
      <c r="AY86" s="787">
        <v>0</v>
      </c>
      <c r="AZ86" s="787">
        <v>15999.140000000001</v>
      </c>
      <c r="BA86" s="787">
        <v>937</v>
      </c>
      <c r="BB86" s="787">
        <v>1298</v>
      </c>
      <c r="BC86" s="787">
        <v>53754.47</v>
      </c>
      <c r="BD86" s="787">
        <v>98332.31</v>
      </c>
      <c r="BE86" s="787">
        <v>10450.000000000002</v>
      </c>
      <c r="BF86" s="787">
        <v>308926.53999999998</v>
      </c>
      <c r="BG86" s="787">
        <v>0</v>
      </c>
      <c r="BH86" s="787">
        <v>0</v>
      </c>
      <c r="BI86" s="787">
        <v>0</v>
      </c>
      <c r="BJ86" s="787">
        <f t="shared" si="9"/>
        <v>3367713.8000000007</v>
      </c>
      <c r="BK86" s="787"/>
      <c r="BL86" s="787"/>
      <c r="BM86" s="787"/>
      <c r="BN86" s="787">
        <v>0</v>
      </c>
      <c r="BO86" s="787">
        <v>73600</v>
      </c>
      <c r="BP86" s="787">
        <v>0</v>
      </c>
      <c r="BQ86" s="787">
        <f t="shared" si="10"/>
        <v>73600</v>
      </c>
      <c r="BR86" s="787">
        <v>0</v>
      </c>
      <c r="BS86" s="787">
        <v>95960</v>
      </c>
      <c r="BT86" s="787">
        <v>0</v>
      </c>
      <c r="BU86" s="787">
        <v>0</v>
      </c>
      <c r="BV86" s="787">
        <v>0</v>
      </c>
      <c r="BW86" s="787">
        <v>0</v>
      </c>
      <c r="BX86" s="787">
        <v>0</v>
      </c>
      <c r="BY86" s="787">
        <v>0</v>
      </c>
      <c r="BZ86" s="787">
        <f t="shared" si="11"/>
        <v>95960</v>
      </c>
      <c r="CA86" s="787"/>
      <c r="CB86" s="787"/>
      <c r="CC86" s="787"/>
      <c r="CD86" s="787">
        <v>0</v>
      </c>
      <c r="CE86" s="787">
        <v>0</v>
      </c>
      <c r="CF86" s="787">
        <f t="shared" si="12"/>
        <v>0</v>
      </c>
      <c r="CG86" s="787">
        <v>0</v>
      </c>
      <c r="CH86" s="787">
        <v>0</v>
      </c>
      <c r="CI86" s="787">
        <f t="shared" si="13"/>
        <v>0</v>
      </c>
      <c r="CJ86" s="787"/>
      <c r="CK86" s="787"/>
      <c r="CL86" s="787"/>
      <c r="CM86" s="787"/>
      <c r="CN86" s="787"/>
      <c r="CO86" s="787"/>
      <c r="CP86" s="787"/>
      <c r="CQ86" s="787"/>
      <c r="CR86" s="787"/>
      <c r="CS86" s="787">
        <v>635444.77</v>
      </c>
      <c r="CT86" s="787">
        <v>49039.4</v>
      </c>
      <c r="CU86" s="787">
        <v>0</v>
      </c>
      <c r="CV86" s="787">
        <v>586405.37</v>
      </c>
      <c r="CW86" s="787">
        <v>0</v>
      </c>
      <c r="CX86" s="787">
        <v>12099.24</v>
      </c>
      <c r="CY86" s="787">
        <v>4950.82</v>
      </c>
      <c r="CZ86" s="787">
        <v>0</v>
      </c>
      <c r="DA86" s="787">
        <v>0</v>
      </c>
      <c r="DB86" s="787">
        <v>603455.42999999993</v>
      </c>
      <c r="DC86" s="787">
        <v>2428.56</v>
      </c>
      <c r="DD86" s="787">
        <v>0</v>
      </c>
      <c r="DE86" s="787">
        <v>0</v>
      </c>
      <c r="DF86" s="787">
        <v>2428.56</v>
      </c>
      <c r="DG86" s="787"/>
      <c r="DH86" s="787"/>
      <c r="DI86" s="787"/>
      <c r="DJ86" s="787">
        <v>0</v>
      </c>
      <c r="DK86" s="787">
        <v>2428.56</v>
      </c>
      <c r="DL86" s="787">
        <v>0</v>
      </c>
      <c r="DM86" s="787">
        <v>0</v>
      </c>
      <c r="DN86" s="787">
        <v>0</v>
      </c>
      <c r="DO86" s="787">
        <v>0</v>
      </c>
      <c r="DP86" s="787">
        <v>-63659.4</v>
      </c>
      <c r="DQ86" s="787">
        <v>-1298</v>
      </c>
      <c r="DR86" s="787">
        <v>0</v>
      </c>
      <c r="DS86" s="787">
        <v>0</v>
      </c>
      <c r="DT86" s="787">
        <v>-64957.4</v>
      </c>
      <c r="DU86" s="787">
        <v>0</v>
      </c>
      <c r="DV86" s="787">
        <v>0</v>
      </c>
      <c r="DW86" s="787">
        <v>0</v>
      </c>
      <c r="DX86" s="787">
        <v>0</v>
      </c>
      <c r="DY86" s="787">
        <v>0</v>
      </c>
      <c r="DZ86" s="787">
        <v>-197671.16</v>
      </c>
      <c r="EA86" s="787">
        <v>0.36262081109452993</v>
      </c>
    </row>
    <row r="87" spans="1:131" ht="15.6">
      <c r="A87" s="782" t="s">
        <v>1379</v>
      </c>
      <c r="B87" s="782" t="s">
        <v>896</v>
      </c>
      <c r="C87" s="783">
        <v>3352</v>
      </c>
      <c r="D87" s="784" t="s">
        <v>897</v>
      </c>
      <c r="E87" s="785" t="s">
        <v>521</v>
      </c>
      <c r="F87" s="786" t="s">
        <v>1315</v>
      </c>
      <c r="G87" s="785" t="s">
        <v>5</v>
      </c>
      <c r="H87" s="785" t="str">
        <f t="shared" si="7"/>
        <v>AX035</v>
      </c>
      <c r="I87" s="787">
        <v>0</v>
      </c>
      <c r="J87" s="787">
        <v>0</v>
      </c>
      <c r="K87" s="787">
        <v>0</v>
      </c>
      <c r="L87" s="787">
        <v>0</v>
      </c>
      <c r="M87" s="787">
        <v>0</v>
      </c>
      <c r="N87" s="787">
        <v>6179</v>
      </c>
      <c r="O87" s="787">
        <v>0</v>
      </c>
      <c r="P87" s="787">
        <v>0</v>
      </c>
      <c r="Q87" s="787">
        <v>74643.37</v>
      </c>
      <c r="R87" s="787">
        <v>4008.6</v>
      </c>
      <c r="S87" s="787">
        <v>0</v>
      </c>
      <c r="T87" s="787">
        <v>0</v>
      </c>
      <c r="U87" s="787">
        <v>1825.67</v>
      </c>
      <c r="V87" s="787">
        <v>0</v>
      </c>
      <c r="W87" s="787">
        <v>0</v>
      </c>
      <c r="X87" s="787">
        <f t="shared" si="8"/>
        <v>86656.639999999999</v>
      </c>
      <c r="Y87" s="787">
        <v>657155.83999999997</v>
      </c>
      <c r="Z87" s="787">
        <v>0</v>
      </c>
      <c r="AA87" s="787">
        <v>176610.19</v>
      </c>
      <c r="AB87" s="787">
        <v>47469.78</v>
      </c>
      <c r="AC87" s="787">
        <v>59406.14</v>
      </c>
      <c r="AD87" s="787">
        <v>13614.07</v>
      </c>
      <c r="AE87" s="787">
        <v>51684.590000000004</v>
      </c>
      <c r="AF87" s="787">
        <v>3531.3</v>
      </c>
      <c r="AG87" s="787">
        <v>10019.65</v>
      </c>
      <c r="AH87" s="787">
        <v>0</v>
      </c>
      <c r="AI87" s="787">
        <v>0</v>
      </c>
      <c r="AJ87" s="787">
        <v>14803.67</v>
      </c>
      <c r="AK87" s="787">
        <v>150</v>
      </c>
      <c r="AL87" s="787">
        <v>2716.52</v>
      </c>
      <c r="AM87" s="787">
        <v>5678.85</v>
      </c>
      <c r="AN87" s="787">
        <v>26587.010000000002</v>
      </c>
      <c r="AO87" s="787">
        <v>0</v>
      </c>
      <c r="AP87" s="787">
        <v>26958.41</v>
      </c>
      <c r="AQ87" s="787">
        <v>26813.11</v>
      </c>
      <c r="AR87" s="787">
        <v>3643.41</v>
      </c>
      <c r="AS87" s="787">
        <v>0</v>
      </c>
      <c r="AT87" s="787">
        <v>1500.75</v>
      </c>
      <c r="AU87" s="787">
        <v>20583.23</v>
      </c>
      <c r="AV87" s="787">
        <v>18014.5</v>
      </c>
      <c r="AW87" s="787">
        <v>0</v>
      </c>
      <c r="AX87" s="787">
        <v>0</v>
      </c>
      <c r="AY87" s="787">
        <v>0</v>
      </c>
      <c r="AZ87" s="787">
        <v>56068.59</v>
      </c>
      <c r="BA87" s="787">
        <v>0</v>
      </c>
      <c r="BB87" s="787">
        <v>5347</v>
      </c>
      <c r="BC87" s="787">
        <v>82357.16</v>
      </c>
      <c r="BD87" s="787">
        <v>80881.02</v>
      </c>
      <c r="BE87" s="787">
        <v>0</v>
      </c>
      <c r="BF87" s="787">
        <v>78573.819999999992</v>
      </c>
      <c r="BG87" s="787">
        <v>0</v>
      </c>
      <c r="BH87" s="787">
        <v>0</v>
      </c>
      <c r="BI87" s="787">
        <v>0</v>
      </c>
      <c r="BJ87" s="787">
        <f t="shared" si="9"/>
        <v>1470168.61</v>
      </c>
      <c r="BK87" s="787"/>
      <c r="BL87" s="787"/>
      <c r="BM87" s="787"/>
      <c r="BN87" s="787">
        <v>0</v>
      </c>
      <c r="BO87" s="787">
        <v>0</v>
      </c>
      <c r="BP87" s="787">
        <v>0</v>
      </c>
      <c r="BQ87" s="787">
        <f t="shared" si="10"/>
        <v>0</v>
      </c>
      <c r="BR87" s="787">
        <v>0</v>
      </c>
      <c r="BS87" s="787">
        <v>0</v>
      </c>
      <c r="BT87" s="787">
        <v>0</v>
      </c>
      <c r="BU87" s="787">
        <v>0</v>
      </c>
      <c r="BV87" s="787">
        <v>0</v>
      </c>
      <c r="BW87" s="787">
        <v>0</v>
      </c>
      <c r="BX87" s="787">
        <v>0</v>
      </c>
      <c r="BY87" s="787">
        <v>0</v>
      </c>
      <c r="BZ87" s="787">
        <f t="shared" si="11"/>
        <v>0</v>
      </c>
      <c r="CA87" s="787"/>
      <c r="CB87" s="787"/>
      <c r="CC87" s="787"/>
      <c r="CD87" s="787">
        <v>0</v>
      </c>
      <c r="CE87" s="787">
        <v>0</v>
      </c>
      <c r="CF87" s="787">
        <f t="shared" si="12"/>
        <v>0</v>
      </c>
      <c r="CG87" s="787">
        <v>0</v>
      </c>
      <c r="CH87" s="787">
        <v>0</v>
      </c>
      <c r="CI87" s="787">
        <f t="shared" si="13"/>
        <v>0</v>
      </c>
      <c r="CJ87" s="787"/>
      <c r="CK87" s="787"/>
      <c r="CL87" s="787"/>
      <c r="CM87" s="787"/>
      <c r="CN87" s="787"/>
      <c r="CO87" s="787"/>
      <c r="CP87" s="787"/>
      <c r="CQ87" s="787"/>
      <c r="CR87" s="787"/>
      <c r="CS87" s="787">
        <v>-119099.73</v>
      </c>
      <c r="CT87" s="787">
        <v>62447.94</v>
      </c>
      <c r="CU87" s="787">
        <v>0</v>
      </c>
      <c r="CV87" s="787">
        <v>-181547.66999999998</v>
      </c>
      <c r="CW87" s="787">
        <v>0</v>
      </c>
      <c r="CX87" s="787">
        <v>8543.19</v>
      </c>
      <c r="CY87" s="787">
        <v>9931.02</v>
      </c>
      <c r="CZ87" s="787">
        <v>0</v>
      </c>
      <c r="DA87" s="787">
        <v>360.92</v>
      </c>
      <c r="DB87" s="787">
        <v>-162712.53999999998</v>
      </c>
      <c r="DC87" s="787">
        <v>0</v>
      </c>
      <c r="DD87" s="787">
        <v>0</v>
      </c>
      <c r="DE87" s="787">
        <v>0</v>
      </c>
      <c r="DF87" s="787">
        <v>0</v>
      </c>
      <c r="DG87" s="787"/>
      <c r="DH87" s="787"/>
      <c r="DI87" s="787"/>
      <c r="DJ87" s="787">
        <v>0</v>
      </c>
      <c r="DK87" s="787">
        <v>0</v>
      </c>
      <c r="DL87" s="787">
        <v>0</v>
      </c>
      <c r="DM87" s="787">
        <v>0</v>
      </c>
      <c r="DN87" s="787">
        <v>0</v>
      </c>
      <c r="DO87" s="787">
        <v>0</v>
      </c>
      <c r="DP87" s="787">
        <v>-102029.95</v>
      </c>
      <c r="DQ87" s="787">
        <v>0</v>
      </c>
      <c r="DR87" s="787">
        <v>0</v>
      </c>
      <c r="DS87" s="787">
        <v>0</v>
      </c>
      <c r="DT87" s="787">
        <v>-102029.95</v>
      </c>
      <c r="DU87" s="787">
        <v>0</v>
      </c>
      <c r="DV87" s="787">
        <v>0</v>
      </c>
      <c r="DW87" s="787">
        <v>0</v>
      </c>
      <c r="DX87" s="787">
        <v>-5798.31</v>
      </c>
      <c r="DY87" s="787">
        <v>0</v>
      </c>
      <c r="DZ87" s="787">
        <v>-83627.66</v>
      </c>
      <c r="EA87" s="787">
        <v>0.41570905706612393</v>
      </c>
    </row>
    <row r="88" spans="1:131" ht="15.6">
      <c r="A88" s="782" t="s">
        <v>1380</v>
      </c>
      <c r="B88" s="782" t="s">
        <v>678</v>
      </c>
      <c r="C88" s="783">
        <v>4063</v>
      </c>
      <c r="D88" s="784" t="s">
        <v>1261</v>
      </c>
      <c r="E88" s="785" t="s">
        <v>521</v>
      </c>
      <c r="F88" s="786">
        <v>0</v>
      </c>
      <c r="G88" s="785" t="s">
        <v>5</v>
      </c>
      <c r="H88" s="785" t="str">
        <f t="shared" si="7"/>
        <v>AX036</v>
      </c>
      <c r="I88" s="787">
        <v>-4213</v>
      </c>
      <c r="J88" s="787">
        <v>0</v>
      </c>
      <c r="K88" s="787">
        <v>0</v>
      </c>
      <c r="L88" s="787">
        <v>0</v>
      </c>
      <c r="M88" s="787">
        <v>5830</v>
      </c>
      <c r="N88" s="787">
        <v>4213</v>
      </c>
      <c r="O88" s="787">
        <v>98667</v>
      </c>
      <c r="P88" s="787">
        <v>30589</v>
      </c>
      <c r="Q88" s="787">
        <v>3245</v>
      </c>
      <c r="R88" s="787">
        <v>121600</v>
      </c>
      <c r="S88" s="787">
        <v>0</v>
      </c>
      <c r="T88" s="787">
        <v>0</v>
      </c>
      <c r="U88" s="787">
        <v>12989</v>
      </c>
      <c r="V88" s="787">
        <v>6043</v>
      </c>
      <c r="W88" s="787">
        <v>0</v>
      </c>
      <c r="X88" s="787">
        <f t="shared" si="8"/>
        <v>278963</v>
      </c>
      <c r="Y88" s="787">
        <v>3913322</v>
      </c>
      <c r="Z88" s="787">
        <v>0</v>
      </c>
      <c r="AA88" s="787">
        <v>1072148</v>
      </c>
      <c r="AB88" s="787">
        <v>286063</v>
      </c>
      <c r="AC88" s="787">
        <v>524849</v>
      </c>
      <c r="AD88" s="787">
        <v>0</v>
      </c>
      <c r="AE88" s="787">
        <v>15821</v>
      </c>
      <c r="AF88" s="787">
        <v>51248</v>
      </c>
      <c r="AG88" s="787">
        <v>23235</v>
      </c>
      <c r="AH88" s="787">
        <v>0</v>
      </c>
      <c r="AI88" s="787">
        <v>0</v>
      </c>
      <c r="AJ88" s="787">
        <v>152177</v>
      </c>
      <c r="AK88" s="787">
        <v>33562</v>
      </c>
      <c r="AL88" s="787">
        <v>12829</v>
      </c>
      <c r="AM88" s="787">
        <v>12152</v>
      </c>
      <c r="AN88" s="787">
        <v>189685.57</v>
      </c>
      <c r="AO88" s="787">
        <v>0</v>
      </c>
      <c r="AP88" s="787">
        <v>13332.8</v>
      </c>
      <c r="AQ88" s="787">
        <v>200045</v>
      </c>
      <c r="AR88" s="787">
        <v>15180</v>
      </c>
      <c r="AS88" s="787">
        <v>2066</v>
      </c>
      <c r="AT88" s="787">
        <v>52277</v>
      </c>
      <c r="AU88" s="787">
        <v>98767</v>
      </c>
      <c r="AV88" s="787">
        <v>0</v>
      </c>
      <c r="AW88" s="787">
        <v>0</v>
      </c>
      <c r="AX88" s="787">
        <v>0</v>
      </c>
      <c r="AY88" s="787">
        <v>49717</v>
      </c>
      <c r="AZ88" s="787">
        <v>23590</v>
      </c>
      <c r="BA88" s="787">
        <v>1273</v>
      </c>
      <c r="BB88" s="787">
        <v>14610</v>
      </c>
      <c r="BC88" s="787">
        <v>315105</v>
      </c>
      <c r="BD88" s="787">
        <v>158756</v>
      </c>
      <c r="BE88" s="787">
        <v>32506</v>
      </c>
      <c r="BF88" s="787">
        <v>211116</v>
      </c>
      <c r="BG88" s="787">
        <v>0</v>
      </c>
      <c r="BH88" s="787">
        <v>0</v>
      </c>
      <c r="BI88" s="787">
        <v>0</v>
      </c>
      <c r="BJ88" s="787">
        <f t="shared" si="9"/>
        <v>7475432.3700000001</v>
      </c>
      <c r="BK88" s="787"/>
      <c r="BL88" s="787"/>
      <c r="BM88" s="787"/>
      <c r="BN88" s="787">
        <v>0</v>
      </c>
      <c r="BO88" s="787">
        <v>0</v>
      </c>
      <c r="BP88" s="787">
        <v>0</v>
      </c>
      <c r="BQ88" s="787">
        <f t="shared" si="10"/>
        <v>0</v>
      </c>
      <c r="BR88" s="787">
        <v>0</v>
      </c>
      <c r="BS88" s="787">
        <v>0</v>
      </c>
      <c r="BT88" s="787">
        <v>0</v>
      </c>
      <c r="BU88" s="787">
        <v>0</v>
      </c>
      <c r="BV88" s="787">
        <v>0</v>
      </c>
      <c r="BW88" s="787">
        <v>0</v>
      </c>
      <c r="BX88" s="787">
        <v>16940.7</v>
      </c>
      <c r="BY88" s="787">
        <v>0</v>
      </c>
      <c r="BZ88" s="787">
        <f t="shared" si="11"/>
        <v>16940.7</v>
      </c>
      <c r="CA88" s="787"/>
      <c r="CB88" s="787"/>
      <c r="CC88" s="787"/>
      <c r="CD88" s="787">
        <v>0</v>
      </c>
      <c r="CE88" s="787">
        <v>0</v>
      </c>
      <c r="CF88" s="787">
        <f t="shared" si="12"/>
        <v>0</v>
      </c>
      <c r="CG88" s="787">
        <v>0</v>
      </c>
      <c r="CH88" s="787">
        <v>0</v>
      </c>
      <c r="CI88" s="787">
        <f t="shared" si="13"/>
        <v>0</v>
      </c>
      <c r="CJ88" s="787"/>
      <c r="CK88" s="787"/>
      <c r="CL88" s="787"/>
      <c r="CM88" s="787"/>
      <c r="CN88" s="787"/>
      <c r="CO88" s="787"/>
      <c r="CP88" s="787"/>
      <c r="CQ88" s="787"/>
      <c r="CR88" s="787"/>
      <c r="CS88" s="787"/>
      <c r="CT88" s="787"/>
      <c r="CU88" s="787"/>
      <c r="CV88" s="787"/>
      <c r="CW88" s="787"/>
      <c r="CX88" s="787"/>
      <c r="CY88" s="787"/>
      <c r="CZ88" s="787"/>
      <c r="DA88" s="787"/>
      <c r="DB88" s="787"/>
      <c r="DC88" s="787"/>
      <c r="DD88" s="787"/>
      <c r="DE88" s="787"/>
      <c r="DF88" s="787"/>
      <c r="DG88" s="787"/>
      <c r="DH88" s="787"/>
      <c r="DI88" s="787"/>
      <c r="DJ88" s="787"/>
      <c r="DK88" s="787"/>
      <c r="DL88" s="787"/>
      <c r="DM88" s="787"/>
      <c r="DN88" s="787"/>
      <c r="DO88" s="787"/>
      <c r="DP88" s="787"/>
      <c r="DQ88" s="787"/>
      <c r="DR88" s="787"/>
      <c r="DS88" s="787"/>
      <c r="DT88" s="787"/>
      <c r="DU88" s="787"/>
      <c r="DV88" s="787"/>
      <c r="DW88" s="787"/>
      <c r="DX88" s="787"/>
      <c r="DY88" s="787"/>
      <c r="DZ88" s="787"/>
      <c r="EA88" s="787"/>
    </row>
    <row r="89" spans="1:131" ht="15.6">
      <c r="A89" s="782" t="s">
        <v>1381</v>
      </c>
      <c r="B89" s="782" t="s">
        <v>898</v>
      </c>
      <c r="C89" s="783">
        <v>2005</v>
      </c>
      <c r="D89" s="784" t="s">
        <v>899</v>
      </c>
      <c r="E89" s="785" t="s">
        <v>521</v>
      </c>
      <c r="F89" s="786">
        <v>46094</v>
      </c>
      <c r="G89" s="785" t="s">
        <v>5</v>
      </c>
      <c r="H89" s="785" t="str">
        <f t="shared" si="7"/>
        <v>AX037</v>
      </c>
      <c r="I89" s="787">
        <v>0</v>
      </c>
      <c r="J89" s="787">
        <v>0</v>
      </c>
      <c r="K89" s="787">
        <v>0</v>
      </c>
      <c r="L89" s="787">
        <v>0</v>
      </c>
      <c r="M89" s="787">
        <v>0</v>
      </c>
      <c r="N89" s="787">
        <v>0</v>
      </c>
      <c r="O89" s="787">
        <v>0</v>
      </c>
      <c r="P89" s="787">
        <v>21173.88</v>
      </c>
      <c r="Q89" s="787">
        <v>52452.76</v>
      </c>
      <c r="R89" s="787">
        <v>17028.759999999998</v>
      </c>
      <c r="S89" s="787">
        <v>0</v>
      </c>
      <c r="T89" s="787">
        <v>3860.29</v>
      </c>
      <c r="U89" s="787">
        <v>30787.39</v>
      </c>
      <c r="V89" s="787">
        <v>74197.240000000005</v>
      </c>
      <c r="W89" s="787">
        <v>0</v>
      </c>
      <c r="X89" s="787">
        <f t="shared" si="8"/>
        <v>199500.32</v>
      </c>
      <c r="Y89" s="787">
        <v>1797588.58</v>
      </c>
      <c r="Z89" s="787">
        <v>0</v>
      </c>
      <c r="AA89" s="787">
        <v>578088.38</v>
      </c>
      <c r="AB89" s="787">
        <v>73196.91</v>
      </c>
      <c r="AC89" s="787">
        <v>178270.07999999999</v>
      </c>
      <c r="AD89" s="787">
        <v>0</v>
      </c>
      <c r="AE89" s="787">
        <v>108959.21</v>
      </c>
      <c r="AF89" s="787">
        <v>11034.04</v>
      </c>
      <c r="AG89" s="787">
        <v>6722.33</v>
      </c>
      <c r="AH89" s="787">
        <v>0</v>
      </c>
      <c r="AI89" s="787">
        <v>430.2</v>
      </c>
      <c r="AJ89" s="787">
        <v>49163.29</v>
      </c>
      <c r="AK89" s="787">
        <v>3284.5</v>
      </c>
      <c r="AL89" s="787">
        <v>97060.26</v>
      </c>
      <c r="AM89" s="787">
        <v>14810.23</v>
      </c>
      <c r="AN89" s="787">
        <v>67518.91</v>
      </c>
      <c r="AO89" s="787">
        <v>0</v>
      </c>
      <c r="AP89" s="787">
        <v>14496.38</v>
      </c>
      <c r="AQ89" s="787">
        <v>111433.14</v>
      </c>
      <c r="AR89" s="787">
        <v>7822.29</v>
      </c>
      <c r="AS89" s="787">
        <v>0</v>
      </c>
      <c r="AT89" s="787">
        <v>15791.05</v>
      </c>
      <c r="AU89" s="787">
        <v>32095.42</v>
      </c>
      <c r="AV89" s="787">
        <v>0</v>
      </c>
      <c r="AW89" s="787">
        <v>4943.95</v>
      </c>
      <c r="AX89" s="787">
        <v>0</v>
      </c>
      <c r="AY89" s="787">
        <v>0</v>
      </c>
      <c r="AZ89" s="787">
        <v>23750.27</v>
      </c>
      <c r="BA89" s="787">
        <v>0</v>
      </c>
      <c r="BB89" s="787">
        <v>0</v>
      </c>
      <c r="BC89" s="787">
        <v>173070.82</v>
      </c>
      <c r="BD89" s="787">
        <v>250124.91</v>
      </c>
      <c r="BE89" s="787">
        <v>29968.800000000003</v>
      </c>
      <c r="BF89" s="787">
        <v>156755.73000000001</v>
      </c>
      <c r="BG89" s="787">
        <v>0</v>
      </c>
      <c r="BH89" s="787">
        <v>0</v>
      </c>
      <c r="BI89" s="787">
        <v>0</v>
      </c>
      <c r="BJ89" s="787">
        <f t="shared" si="9"/>
        <v>3806379.68</v>
      </c>
      <c r="BK89" s="787"/>
      <c r="BL89" s="787"/>
      <c r="BM89" s="787"/>
      <c r="BN89" s="787">
        <v>0</v>
      </c>
      <c r="BO89" s="787">
        <v>0</v>
      </c>
      <c r="BP89" s="787">
        <v>0</v>
      </c>
      <c r="BQ89" s="787">
        <f t="shared" si="10"/>
        <v>0</v>
      </c>
      <c r="BR89" s="787">
        <v>0</v>
      </c>
      <c r="BS89" s="787">
        <v>0</v>
      </c>
      <c r="BT89" s="787">
        <v>0</v>
      </c>
      <c r="BU89" s="787">
        <v>0</v>
      </c>
      <c r="BV89" s="787">
        <v>0</v>
      </c>
      <c r="BW89" s="787">
        <v>5699</v>
      </c>
      <c r="BX89" s="787">
        <v>2097.36</v>
      </c>
      <c r="BY89" s="787">
        <v>2745</v>
      </c>
      <c r="BZ89" s="787">
        <f t="shared" si="11"/>
        <v>10541.36</v>
      </c>
      <c r="CA89" s="787"/>
      <c r="CB89" s="787"/>
      <c r="CC89" s="787"/>
      <c r="CD89" s="787">
        <v>0</v>
      </c>
      <c r="CE89" s="787">
        <v>0</v>
      </c>
      <c r="CF89" s="787">
        <f t="shared" si="12"/>
        <v>0</v>
      </c>
      <c r="CG89" s="787">
        <v>0</v>
      </c>
      <c r="CH89" s="787">
        <v>0</v>
      </c>
      <c r="CI89" s="787">
        <f t="shared" si="13"/>
        <v>0</v>
      </c>
      <c r="CJ89" s="787"/>
      <c r="CK89" s="787"/>
      <c r="CL89" s="787"/>
      <c r="CM89" s="787"/>
      <c r="CN89" s="787"/>
      <c r="CO89" s="787"/>
      <c r="CP89" s="787"/>
      <c r="CQ89" s="787"/>
      <c r="CR89" s="787"/>
      <c r="CS89" s="787">
        <v>582490.62</v>
      </c>
      <c r="CT89" s="787">
        <v>50120.94</v>
      </c>
      <c r="CU89" s="787">
        <v>0</v>
      </c>
      <c r="CV89" s="787">
        <v>532369.67999999993</v>
      </c>
      <c r="CW89" s="787">
        <v>3000</v>
      </c>
      <c r="CX89" s="787">
        <v>17194.099999999999</v>
      </c>
      <c r="CY89" s="787">
        <v>4574.13</v>
      </c>
      <c r="CZ89" s="787">
        <v>0</v>
      </c>
      <c r="DA89" s="787">
        <v>0</v>
      </c>
      <c r="DB89" s="787">
        <v>557137.90999999992</v>
      </c>
      <c r="DC89" s="787">
        <v>0</v>
      </c>
      <c r="DD89" s="787">
        <v>0</v>
      </c>
      <c r="DE89" s="787">
        <v>0</v>
      </c>
      <c r="DF89" s="787">
        <v>0</v>
      </c>
      <c r="DG89" s="787"/>
      <c r="DH89" s="787"/>
      <c r="DI89" s="787"/>
      <c r="DJ89" s="787">
        <v>0</v>
      </c>
      <c r="DK89" s="787">
        <v>0</v>
      </c>
      <c r="DL89" s="787">
        <v>0</v>
      </c>
      <c r="DM89" s="787">
        <v>0</v>
      </c>
      <c r="DN89" s="787">
        <v>2400</v>
      </c>
      <c r="DO89" s="787">
        <v>0</v>
      </c>
      <c r="DP89" s="787">
        <v>-319429.40000000002</v>
      </c>
      <c r="DQ89" s="787">
        <v>0</v>
      </c>
      <c r="DR89" s="787">
        <v>-9954</v>
      </c>
      <c r="DS89" s="787">
        <v>0</v>
      </c>
      <c r="DT89" s="787">
        <v>-326983.40000000002</v>
      </c>
      <c r="DU89" s="787">
        <v>0</v>
      </c>
      <c r="DV89" s="787">
        <v>0</v>
      </c>
      <c r="DW89" s="787">
        <v>0</v>
      </c>
      <c r="DX89" s="787">
        <v>0</v>
      </c>
      <c r="DY89" s="787">
        <v>30.42</v>
      </c>
      <c r="DZ89" s="787">
        <v>0</v>
      </c>
      <c r="EA89" s="787">
        <v>-4.2229662678437307E-2</v>
      </c>
    </row>
    <row r="90" spans="1:131" ht="15.6">
      <c r="A90" s="782" t="s">
        <v>1382</v>
      </c>
      <c r="B90" s="782" t="s">
        <v>680</v>
      </c>
      <c r="C90" s="783">
        <v>1016</v>
      </c>
      <c r="D90" s="784" t="s">
        <v>681</v>
      </c>
      <c r="E90" s="785" t="s">
        <v>521</v>
      </c>
      <c r="F90" s="786">
        <v>46094</v>
      </c>
      <c r="G90" s="785" t="s">
        <v>5</v>
      </c>
      <c r="H90" s="785" t="str">
        <f t="shared" si="7"/>
        <v>AX03A</v>
      </c>
      <c r="I90" s="787">
        <v>0</v>
      </c>
      <c r="J90" s="787">
        <v>0</v>
      </c>
      <c r="K90" s="787">
        <v>15999.739999999998</v>
      </c>
      <c r="L90" s="787">
        <v>0</v>
      </c>
      <c r="M90" s="787">
        <v>0</v>
      </c>
      <c r="N90" s="787">
        <v>0</v>
      </c>
      <c r="O90" s="787">
        <v>0</v>
      </c>
      <c r="P90" s="787">
        <v>0</v>
      </c>
      <c r="Q90" s="787">
        <v>29192.190000000002</v>
      </c>
      <c r="R90" s="787">
        <v>0</v>
      </c>
      <c r="S90" s="787">
        <v>0</v>
      </c>
      <c r="T90" s="787">
        <v>0</v>
      </c>
      <c r="U90" s="787">
        <v>28243.15</v>
      </c>
      <c r="V90" s="787">
        <v>103</v>
      </c>
      <c r="W90" s="787">
        <v>0</v>
      </c>
      <c r="X90" s="787">
        <f t="shared" si="8"/>
        <v>73538.080000000002</v>
      </c>
      <c r="Y90" s="787">
        <v>171173.61</v>
      </c>
      <c r="Z90" s="787">
        <v>0</v>
      </c>
      <c r="AA90" s="787">
        <v>299193.59000000003</v>
      </c>
      <c r="AB90" s="787">
        <v>20150.11</v>
      </c>
      <c r="AC90" s="787">
        <v>66425.759999999995</v>
      </c>
      <c r="AD90" s="787">
        <v>0</v>
      </c>
      <c r="AE90" s="787">
        <v>17586.37</v>
      </c>
      <c r="AF90" s="787">
        <v>3305.39</v>
      </c>
      <c r="AG90" s="787">
        <v>5483.14</v>
      </c>
      <c r="AH90" s="787">
        <v>0</v>
      </c>
      <c r="AI90" s="787">
        <v>0</v>
      </c>
      <c r="AJ90" s="787">
        <v>6537.65</v>
      </c>
      <c r="AK90" s="787">
        <v>3936.74</v>
      </c>
      <c r="AL90" s="787">
        <v>724.8</v>
      </c>
      <c r="AM90" s="787">
        <v>880.02</v>
      </c>
      <c r="AN90" s="787">
        <v>9928.64</v>
      </c>
      <c r="AO90" s="787">
        <v>26000</v>
      </c>
      <c r="AP90" s="787">
        <v>9554.9599999999991</v>
      </c>
      <c r="AQ90" s="787">
        <v>30093.83</v>
      </c>
      <c r="AR90" s="787">
        <v>0</v>
      </c>
      <c r="AS90" s="787">
        <v>0</v>
      </c>
      <c r="AT90" s="787">
        <v>0</v>
      </c>
      <c r="AU90" s="787">
        <v>0</v>
      </c>
      <c r="AV90" s="787">
        <v>0</v>
      </c>
      <c r="AW90" s="787">
        <v>0</v>
      </c>
      <c r="AX90" s="787">
        <v>0</v>
      </c>
      <c r="AY90" s="787">
        <v>0</v>
      </c>
      <c r="AZ90" s="787">
        <v>32101.46</v>
      </c>
      <c r="BA90" s="787">
        <v>0</v>
      </c>
      <c r="BB90" s="787">
        <v>0</v>
      </c>
      <c r="BC90" s="787">
        <v>3401.16</v>
      </c>
      <c r="BD90" s="787">
        <v>11153.65</v>
      </c>
      <c r="BE90" s="787">
        <v>8830.57</v>
      </c>
      <c r="BF90" s="787">
        <v>13902.4</v>
      </c>
      <c r="BG90" s="787">
        <v>0</v>
      </c>
      <c r="BH90" s="787">
        <v>0</v>
      </c>
      <c r="BI90" s="787">
        <v>0</v>
      </c>
      <c r="BJ90" s="787">
        <f t="shared" si="9"/>
        <v>740363.85</v>
      </c>
      <c r="BK90" s="787"/>
      <c r="BL90" s="787"/>
      <c r="BM90" s="787"/>
      <c r="BN90" s="787">
        <v>0</v>
      </c>
      <c r="BO90" s="787">
        <v>0</v>
      </c>
      <c r="BP90" s="787">
        <v>0</v>
      </c>
      <c r="BQ90" s="787">
        <f t="shared" si="10"/>
        <v>0</v>
      </c>
      <c r="BR90" s="787">
        <v>0</v>
      </c>
      <c r="BS90" s="787">
        <v>7727.24</v>
      </c>
      <c r="BT90" s="787">
        <v>0</v>
      </c>
      <c r="BU90" s="787">
        <v>0</v>
      </c>
      <c r="BV90" s="787">
        <v>0</v>
      </c>
      <c r="BW90" s="787">
        <v>0</v>
      </c>
      <c r="BX90" s="787">
        <v>0</v>
      </c>
      <c r="BY90" s="787">
        <v>0</v>
      </c>
      <c r="BZ90" s="787">
        <f t="shared" si="11"/>
        <v>7727.24</v>
      </c>
      <c r="CA90" s="787"/>
      <c r="CB90" s="787"/>
      <c r="CC90" s="787"/>
      <c r="CD90" s="787">
        <v>0</v>
      </c>
      <c r="CE90" s="787">
        <v>0</v>
      </c>
      <c r="CF90" s="787">
        <f t="shared" si="12"/>
        <v>0</v>
      </c>
      <c r="CG90" s="787">
        <v>0</v>
      </c>
      <c r="CH90" s="787">
        <v>0</v>
      </c>
      <c r="CI90" s="787">
        <f t="shared" si="13"/>
        <v>0</v>
      </c>
      <c r="CJ90" s="787"/>
      <c r="CK90" s="787"/>
      <c r="CL90" s="787"/>
      <c r="CM90" s="787"/>
      <c r="CN90" s="787"/>
      <c r="CO90" s="787"/>
      <c r="CP90" s="787"/>
      <c r="CQ90" s="787"/>
      <c r="CR90" s="787"/>
      <c r="CS90" s="787">
        <v>227997.61</v>
      </c>
      <c r="CT90" s="787">
        <v>0</v>
      </c>
      <c r="CU90" s="787">
        <v>0</v>
      </c>
      <c r="CV90" s="787">
        <v>227997.61</v>
      </c>
      <c r="CW90" s="787">
        <v>0</v>
      </c>
      <c r="CX90" s="787">
        <v>2688.26</v>
      </c>
      <c r="CY90" s="787">
        <v>1446.4</v>
      </c>
      <c r="CZ90" s="787">
        <v>0</v>
      </c>
      <c r="DA90" s="787">
        <v>0</v>
      </c>
      <c r="DB90" s="787">
        <v>232132.27</v>
      </c>
      <c r="DC90" s="787">
        <v>-74.42</v>
      </c>
      <c r="DD90" s="787">
        <v>0</v>
      </c>
      <c r="DE90" s="787">
        <v>0</v>
      </c>
      <c r="DF90" s="787">
        <v>-74.42</v>
      </c>
      <c r="DG90" s="787"/>
      <c r="DH90" s="787"/>
      <c r="DI90" s="787"/>
      <c r="DJ90" s="787">
        <v>0</v>
      </c>
      <c r="DK90" s="787">
        <v>-74.42</v>
      </c>
      <c r="DL90" s="787">
        <v>0</v>
      </c>
      <c r="DM90" s="787">
        <v>0</v>
      </c>
      <c r="DN90" s="787">
        <v>0</v>
      </c>
      <c r="DO90" s="787">
        <v>0</v>
      </c>
      <c r="DP90" s="787">
        <v>-5138.8</v>
      </c>
      <c r="DQ90" s="787">
        <v>-26000</v>
      </c>
      <c r="DR90" s="787">
        <v>0</v>
      </c>
      <c r="DS90" s="787">
        <v>0</v>
      </c>
      <c r="DT90" s="787">
        <v>-31138.799999999999</v>
      </c>
      <c r="DU90" s="787">
        <v>0</v>
      </c>
      <c r="DV90" s="787">
        <v>0</v>
      </c>
      <c r="DW90" s="787">
        <v>0</v>
      </c>
      <c r="DX90" s="787">
        <v>-1373.83</v>
      </c>
      <c r="DY90" s="787">
        <v>0</v>
      </c>
      <c r="DZ90" s="787">
        <v>-48691.37</v>
      </c>
      <c r="EA90" s="787">
        <v>-0.44939433713443577</v>
      </c>
    </row>
    <row r="91" spans="1:131" ht="15.6">
      <c r="A91" s="782" t="s">
        <v>1383</v>
      </c>
      <c r="B91" s="782" t="s">
        <v>682</v>
      </c>
      <c r="C91" s="783">
        <v>2115</v>
      </c>
      <c r="D91" s="784" t="s">
        <v>683</v>
      </c>
      <c r="E91" s="785" t="s">
        <v>521</v>
      </c>
      <c r="F91" s="786">
        <v>46093</v>
      </c>
      <c r="G91" s="785" t="s">
        <v>5</v>
      </c>
      <c r="H91" s="785" t="str">
        <f t="shared" si="7"/>
        <v>AX03B</v>
      </c>
      <c r="I91" s="787">
        <v>0</v>
      </c>
      <c r="J91" s="787">
        <v>0</v>
      </c>
      <c r="K91" s="787">
        <v>0</v>
      </c>
      <c r="L91" s="787">
        <v>0</v>
      </c>
      <c r="M91" s="787">
        <v>0</v>
      </c>
      <c r="N91" s="787">
        <v>0</v>
      </c>
      <c r="O91" s="787">
        <v>0</v>
      </c>
      <c r="P91" s="787">
        <v>0</v>
      </c>
      <c r="Q91" s="787">
        <v>1309.2459299999955</v>
      </c>
      <c r="R91" s="787">
        <v>0</v>
      </c>
      <c r="S91" s="787">
        <v>0</v>
      </c>
      <c r="T91" s="787">
        <v>0</v>
      </c>
      <c r="U91" s="787">
        <v>10073.35</v>
      </c>
      <c r="V91" s="787">
        <v>99317.859999999986</v>
      </c>
      <c r="W91" s="787">
        <v>0</v>
      </c>
      <c r="X91" s="787">
        <f t="shared" si="8"/>
        <v>110700.45592999998</v>
      </c>
      <c r="Y91" s="787">
        <v>1327300.53</v>
      </c>
      <c r="Z91" s="787">
        <v>0</v>
      </c>
      <c r="AA91" s="787">
        <v>344250.4</v>
      </c>
      <c r="AB91" s="787">
        <v>2752.64</v>
      </c>
      <c r="AC91" s="787">
        <v>158041.01999999999</v>
      </c>
      <c r="AD91" s="787">
        <v>103978.07</v>
      </c>
      <c r="AE91" s="787">
        <v>52223.06</v>
      </c>
      <c r="AF91" s="787">
        <v>0</v>
      </c>
      <c r="AG91" s="787">
        <v>2820</v>
      </c>
      <c r="AH91" s="787">
        <v>0</v>
      </c>
      <c r="AI91" s="787">
        <v>8883.15</v>
      </c>
      <c r="AJ91" s="787">
        <v>1401.91</v>
      </c>
      <c r="AK91" s="787">
        <v>0</v>
      </c>
      <c r="AL91" s="787">
        <v>0</v>
      </c>
      <c r="AM91" s="787">
        <v>7568.11</v>
      </c>
      <c r="AN91" s="787">
        <v>25122.91</v>
      </c>
      <c r="AO91" s="787">
        <v>0</v>
      </c>
      <c r="AP91" s="787">
        <v>9797.76</v>
      </c>
      <c r="AQ91" s="787">
        <v>126195.94</v>
      </c>
      <c r="AR91" s="787">
        <v>0</v>
      </c>
      <c r="AS91" s="787">
        <v>0</v>
      </c>
      <c r="AT91" s="787">
        <v>3829.94</v>
      </c>
      <c r="AU91" s="787">
        <v>0</v>
      </c>
      <c r="AV91" s="787">
        <v>0</v>
      </c>
      <c r="AW91" s="787">
        <v>0</v>
      </c>
      <c r="AX91" s="787">
        <v>0</v>
      </c>
      <c r="AY91" s="787">
        <v>700</v>
      </c>
      <c r="AZ91" s="787">
        <v>86203.92</v>
      </c>
      <c r="BA91" s="787">
        <v>0</v>
      </c>
      <c r="BB91" s="787">
        <v>1080</v>
      </c>
      <c r="BC91" s="787">
        <v>64.150000000000006</v>
      </c>
      <c r="BD91" s="787">
        <v>15426.39</v>
      </c>
      <c r="BE91" s="787">
        <v>678.6800000000012</v>
      </c>
      <c r="BF91" s="787">
        <v>27167.65</v>
      </c>
      <c r="BG91" s="787">
        <v>138387.78</v>
      </c>
      <c r="BH91" s="787">
        <v>0</v>
      </c>
      <c r="BI91" s="787">
        <v>0</v>
      </c>
      <c r="BJ91" s="787">
        <f t="shared" si="9"/>
        <v>2443874.0099999998</v>
      </c>
      <c r="BK91" s="787"/>
      <c r="BL91" s="787"/>
      <c r="BM91" s="787"/>
      <c r="BN91" s="787">
        <v>0</v>
      </c>
      <c r="BO91" s="787">
        <v>0</v>
      </c>
      <c r="BP91" s="787">
        <v>0</v>
      </c>
      <c r="BQ91" s="787">
        <f t="shared" si="10"/>
        <v>0</v>
      </c>
      <c r="BR91" s="787">
        <v>0</v>
      </c>
      <c r="BS91" s="787">
        <v>0</v>
      </c>
      <c r="BT91" s="787">
        <v>0</v>
      </c>
      <c r="BU91" s="787">
        <v>0</v>
      </c>
      <c r="BV91" s="787">
        <v>0</v>
      </c>
      <c r="BW91" s="787">
        <v>0</v>
      </c>
      <c r="BX91" s="787">
        <v>0</v>
      </c>
      <c r="BY91" s="787">
        <v>0</v>
      </c>
      <c r="BZ91" s="787">
        <f t="shared" si="11"/>
        <v>0</v>
      </c>
      <c r="CA91" s="787"/>
      <c r="CB91" s="787"/>
      <c r="CC91" s="787"/>
      <c r="CD91" s="787">
        <v>0</v>
      </c>
      <c r="CE91" s="787">
        <v>0</v>
      </c>
      <c r="CF91" s="787">
        <f t="shared" si="12"/>
        <v>0</v>
      </c>
      <c r="CG91" s="787">
        <v>0</v>
      </c>
      <c r="CH91" s="787">
        <v>0</v>
      </c>
      <c r="CI91" s="787">
        <f t="shared" si="13"/>
        <v>0</v>
      </c>
      <c r="CJ91" s="787"/>
      <c r="CK91" s="787"/>
      <c r="CL91" s="787"/>
      <c r="CM91" s="787"/>
      <c r="CN91" s="787"/>
      <c r="CO91" s="787"/>
      <c r="CP91" s="787"/>
      <c r="CQ91" s="787"/>
      <c r="CR91" s="787"/>
      <c r="CS91" s="787">
        <v>377578.65</v>
      </c>
      <c r="CT91" s="787">
        <v>0</v>
      </c>
      <c r="CU91" s="787">
        <v>0</v>
      </c>
      <c r="CV91" s="787">
        <v>377578.65</v>
      </c>
      <c r="CW91" s="787">
        <v>0</v>
      </c>
      <c r="CX91" s="787">
        <v>2889.8</v>
      </c>
      <c r="CY91" s="787">
        <v>2263.64</v>
      </c>
      <c r="CZ91" s="787">
        <v>0</v>
      </c>
      <c r="DA91" s="787">
        <v>0</v>
      </c>
      <c r="DB91" s="787">
        <v>382732.09</v>
      </c>
      <c r="DC91" s="787">
        <v>0</v>
      </c>
      <c r="DD91" s="787">
        <v>0</v>
      </c>
      <c r="DE91" s="787">
        <v>0</v>
      </c>
      <c r="DF91" s="787">
        <v>0</v>
      </c>
      <c r="DG91" s="787"/>
      <c r="DH91" s="787"/>
      <c r="DI91" s="787"/>
      <c r="DJ91" s="787">
        <v>0</v>
      </c>
      <c r="DK91" s="787">
        <v>0</v>
      </c>
      <c r="DL91" s="787">
        <v>0</v>
      </c>
      <c r="DM91" s="787">
        <v>0</v>
      </c>
      <c r="DN91" s="787">
        <v>0</v>
      </c>
      <c r="DO91" s="787">
        <v>0</v>
      </c>
      <c r="DP91" s="787">
        <v>0</v>
      </c>
      <c r="DQ91" s="787">
        <v>-2752.64</v>
      </c>
      <c r="DR91" s="787">
        <v>0</v>
      </c>
      <c r="DS91" s="787">
        <v>0</v>
      </c>
      <c r="DT91" s="787">
        <v>-2752.64</v>
      </c>
      <c r="DU91" s="787">
        <v>0</v>
      </c>
      <c r="DV91" s="787">
        <v>0</v>
      </c>
      <c r="DW91" s="787">
        <v>-23761.71</v>
      </c>
      <c r="DX91" s="787">
        <v>0</v>
      </c>
      <c r="DY91" s="787">
        <v>0</v>
      </c>
      <c r="DZ91" s="787">
        <v>-162999.67999999999</v>
      </c>
      <c r="EA91" s="787">
        <v>-0.26083288225345314</v>
      </c>
    </row>
    <row r="92" spans="1:131" ht="15.6">
      <c r="A92" s="782" t="s">
        <v>1384</v>
      </c>
      <c r="B92" s="782" t="s">
        <v>684</v>
      </c>
      <c r="C92" s="783">
        <v>2441</v>
      </c>
      <c r="D92" s="784" t="s">
        <v>685</v>
      </c>
      <c r="E92" s="785" t="s">
        <v>521</v>
      </c>
      <c r="F92" s="786">
        <v>46094</v>
      </c>
      <c r="G92" s="785" t="s">
        <v>5</v>
      </c>
      <c r="H92" s="785" t="str">
        <f t="shared" si="7"/>
        <v>AX03C</v>
      </c>
      <c r="I92" s="787">
        <v>0</v>
      </c>
      <c r="J92" s="787">
        <v>0</v>
      </c>
      <c r="K92" s="787">
        <v>0</v>
      </c>
      <c r="L92" s="787">
        <v>0</v>
      </c>
      <c r="M92" s="787">
        <v>0</v>
      </c>
      <c r="N92" s="787">
        <v>0</v>
      </c>
      <c r="O92" s="787">
        <v>15911.6</v>
      </c>
      <c r="P92" s="787">
        <v>0</v>
      </c>
      <c r="Q92" s="787">
        <v>2176.5400000000009</v>
      </c>
      <c r="R92" s="787">
        <v>0</v>
      </c>
      <c r="S92" s="787">
        <v>0</v>
      </c>
      <c r="T92" s="787">
        <v>0</v>
      </c>
      <c r="U92" s="787">
        <v>22529</v>
      </c>
      <c r="V92" s="787">
        <v>9929.76</v>
      </c>
      <c r="W92" s="787">
        <v>30614.080000000002</v>
      </c>
      <c r="X92" s="787">
        <f t="shared" si="8"/>
        <v>81160.98000000001</v>
      </c>
      <c r="Y92" s="787">
        <v>1234187.45</v>
      </c>
      <c r="Z92" s="787">
        <v>0</v>
      </c>
      <c r="AA92" s="787">
        <v>606291.06000000006</v>
      </c>
      <c r="AB92" s="787">
        <v>97460.180000000008</v>
      </c>
      <c r="AC92" s="787">
        <v>136305.93</v>
      </c>
      <c r="AD92" s="787">
        <v>0</v>
      </c>
      <c r="AE92" s="787">
        <v>113680.28</v>
      </c>
      <c r="AF92" s="787">
        <v>9912.9500000000007</v>
      </c>
      <c r="AG92" s="787">
        <v>4013.5</v>
      </c>
      <c r="AH92" s="787">
        <v>0</v>
      </c>
      <c r="AI92" s="787">
        <v>0</v>
      </c>
      <c r="AJ92" s="787">
        <v>692</v>
      </c>
      <c r="AK92" s="787">
        <v>7087.25</v>
      </c>
      <c r="AL92" s="787">
        <v>1577.62</v>
      </c>
      <c r="AM92" s="787">
        <v>6301.41</v>
      </c>
      <c r="AN92" s="787">
        <v>41724.549999999996</v>
      </c>
      <c r="AO92" s="787">
        <v>0</v>
      </c>
      <c r="AP92" s="787">
        <v>10995.32</v>
      </c>
      <c r="AQ92" s="787">
        <v>116805.87</v>
      </c>
      <c r="AR92" s="787">
        <v>0</v>
      </c>
      <c r="AS92" s="787">
        <v>0</v>
      </c>
      <c r="AT92" s="787">
        <v>6780.4500000000007</v>
      </c>
      <c r="AU92" s="787">
        <v>0</v>
      </c>
      <c r="AV92" s="787">
        <v>0</v>
      </c>
      <c r="AW92" s="787">
        <v>0</v>
      </c>
      <c r="AX92" s="787">
        <v>0</v>
      </c>
      <c r="AY92" s="787">
        <v>0</v>
      </c>
      <c r="AZ92" s="787">
        <v>163191.81</v>
      </c>
      <c r="BA92" s="787">
        <v>0</v>
      </c>
      <c r="BB92" s="787">
        <v>5428</v>
      </c>
      <c r="BC92" s="787">
        <v>112771.04</v>
      </c>
      <c r="BD92" s="787">
        <v>72635.91</v>
      </c>
      <c r="BE92" s="787">
        <v>4456.1999999999989</v>
      </c>
      <c r="BF92" s="787">
        <v>53441.56</v>
      </c>
      <c r="BG92" s="787">
        <v>0</v>
      </c>
      <c r="BH92" s="787">
        <v>0</v>
      </c>
      <c r="BI92" s="787">
        <v>0</v>
      </c>
      <c r="BJ92" s="787">
        <f t="shared" si="9"/>
        <v>2805740.3400000008</v>
      </c>
      <c r="BK92" s="787"/>
      <c r="BL92" s="787"/>
      <c r="BM92" s="787"/>
      <c r="BN92" s="787">
        <v>0</v>
      </c>
      <c r="BO92" s="787">
        <v>0</v>
      </c>
      <c r="BP92" s="787">
        <v>0</v>
      </c>
      <c r="BQ92" s="787">
        <f t="shared" si="10"/>
        <v>0</v>
      </c>
      <c r="BR92" s="787">
        <v>0</v>
      </c>
      <c r="BS92" s="787">
        <v>6610</v>
      </c>
      <c r="BT92" s="787">
        <v>0</v>
      </c>
      <c r="BU92" s="787">
        <v>0</v>
      </c>
      <c r="BV92" s="787">
        <v>0</v>
      </c>
      <c r="BW92" s="787">
        <v>0</v>
      </c>
      <c r="BX92" s="787">
        <v>15203</v>
      </c>
      <c r="BY92" s="787">
        <v>0</v>
      </c>
      <c r="BZ92" s="787">
        <f t="shared" si="11"/>
        <v>21813</v>
      </c>
      <c r="CA92" s="787"/>
      <c r="CB92" s="787"/>
      <c r="CC92" s="787"/>
      <c r="CD92" s="787">
        <v>0</v>
      </c>
      <c r="CE92" s="787">
        <v>0</v>
      </c>
      <c r="CF92" s="787">
        <f t="shared" si="12"/>
        <v>0</v>
      </c>
      <c r="CG92" s="787">
        <v>0</v>
      </c>
      <c r="CH92" s="787">
        <v>0</v>
      </c>
      <c r="CI92" s="787">
        <f t="shared" si="13"/>
        <v>0</v>
      </c>
      <c r="CJ92" s="787"/>
      <c r="CK92" s="787"/>
      <c r="CL92" s="787"/>
      <c r="CM92" s="787"/>
      <c r="CN92" s="787"/>
      <c r="CO92" s="787"/>
      <c r="CP92" s="787"/>
      <c r="CQ92" s="787"/>
      <c r="CR92" s="787"/>
      <c r="CS92" s="787">
        <v>568500.18999999994</v>
      </c>
      <c r="CT92" s="787">
        <v>8452.99</v>
      </c>
      <c r="CU92" s="787">
        <v>91</v>
      </c>
      <c r="CV92" s="787">
        <v>560138.19999999995</v>
      </c>
      <c r="CW92" s="787">
        <v>0</v>
      </c>
      <c r="CX92" s="787">
        <v>6957.29</v>
      </c>
      <c r="CY92" s="787">
        <v>4500.1000000000004</v>
      </c>
      <c r="CZ92" s="787">
        <v>0</v>
      </c>
      <c r="DA92" s="787">
        <v>0</v>
      </c>
      <c r="DB92" s="787">
        <v>571595.59</v>
      </c>
      <c r="DC92" s="787">
        <v>0</v>
      </c>
      <c r="DD92" s="787">
        <v>0</v>
      </c>
      <c r="DE92" s="787">
        <v>0</v>
      </c>
      <c r="DF92" s="787">
        <v>0</v>
      </c>
      <c r="DG92" s="787"/>
      <c r="DH92" s="787"/>
      <c r="DI92" s="787"/>
      <c r="DJ92" s="787">
        <v>0</v>
      </c>
      <c r="DK92" s="787">
        <v>0</v>
      </c>
      <c r="DL92" s="787">
        <v>0</v>
      </c>
      <c r="DM92" s="787">
        <v>0</v>
      </c>
      <c r="DN92" s="787">
        <v>0</v>
      </c>
      <c r="DO92" s="787">
        <v>0</v>
      </c>
      <c r="DP92" s="787">
        <v>-187927.26</v>
      </c>
      <c r="DQ92" s="787">
        <v>-2596</v>
      </c>
      <c r="DR92" s="787">
        <v>0</v>
      </c>
      <c r="DS92" s="787">
        <v>0</v>
      </c>
      <c r="DT92" s="787">
        <v>-190523.26</v>
      </c>
      <c r="DU92" s="787">
        <v>0</v>
      </c>
      <c r="DV92" s="787">
        <v>1562.34</v>
      </c>
      <c r="DW92" s="787">
        <v>0</v>
      </c>
      <c r="DX92" s="787">
        <v>0</v>
      </c>
      <c r="DY92" s="787">
        <v>0</v>
      </c>
      <c r="DZ92" s="787">
        <v>0</v>
      </c>
      <c r="EA92" s="787">
        <v>-0.17020481801591814</v>
      </c>
    </row>
    <row r="93" spans="1:131" ht="15.6">
      <c r="A93" s="782" t="s">
        <v>1385</v>
      </c>
      <c r="B93" s="782" t="s">
        <v>686</v>
      </c>
      <c r="C93" s="783">
        <v>2321</v>
      </c>
      <c r="D93" s="784" t="s">
        <v>687</v>
      </c>
      <c r="E93" s="785" t="s">
        <v>521</v>
      </c>
      <c r="F93" s="786">
        <v>46094</v>
      </c>
      <c r="G93" s="785" t="s">
        <v>5</v>
      </c>
      <c r="H93" s="785" t="str">
        <f t="shared" si="7"/>
        <v>AX03D</v>
      </c>
      <c r="I93" s="787">
        <v>-4.0000000037252903E-2</v>
      </c>
      <c r="J93" s="787">
        <v>0</v>
      </c>
      <c r="K93" s="787">
        <v>0</v>
      </c>
      <c r="L93" s="787">
        <v>0</v>
      </c>
      <c r="M93" s="787">
        <v>14400</v>
      </c>
      <c r="N93" s="787">
        <v>0</v>
      </c>
      <c r="O93" s="787">
        <v>0</v>
      </c>
      <c r="P93" s="787">
        <v>0</v>
      </c>
      <c r="Q93" s="787">
        <v>10180.299999999999</v>
      </c>
      <c r="R93" s="787">
        <v>0</v>
      </c>
      <c r="S93" s="787">
        <v>0</v>
      </c>
      <c r="T93" s="787">
        <v>0</v>
      </c>
      <c r="U93" s="787">
        <v>12937.32</v>
      </c>
      <c r="V93" s="787">
        <v>9700.09</v>
      </c>
      <c r="W93" s="787">
        <v>0</v>
      </c>
      <c r="X93" s="787">
        <f t="shared" si="8"/>
        <v>47217.669999999955</v>
      </c>
      <c r="Y93" s="787">
        <v>694847.62</v>
      </c>
      <c r="Z93" s="787">
        <v>0</v>
      </c>
      <c r="AA93" s="787">
        <v>389782.31</v>
      </c>
      <c r="AB93" s="787">
        <v>52322.049999999996</v>
      </c>
      <c r="AC93" s="787">
        <v>87041.58</v>
      </c>
      <c r="AD93" s="787">
        <v>0</v>
      </c>
      <c r="AE93" s="787">
        <v>41955.19</v>
      </c>
      <c r="AF93" s="787">
        <v>5451.63</v>
      </c>
      <c r="AG93" s="787">
        <v>2907.68</v>
      </c>
      <c r="AH93" s="787">
        <v>0</v>
      </c>
      <c r="AI93" s="787">
        <v>0</v>
      </c>
      <c r="AJ93" s="787">
        <v>10992.49</v>
      </c>
      <c r="AK93" s="787">
        <v>2763.17</v>
      </c>
      <c r="AL93" s="787">
        <v>2376.83</v>
      </c>
      <c r="AM93" s="787">
        <v>8652.48</v>
      </c>
      <c r="AN93" s="787">
        <v>16138.48</v>
      </c>
      <c r="AO93" s="787">
        <v>-2.9999999998835847E-2</v>
      </c>
      <c r="AP93" s="787">
        <v>9797.59</v>
      </c>
      <c r="AQ93" s="787">
        <v>29717.4</v>
      </c>
      <c r="AR93" s="787">
        <v>236.92</v>
      </c>
      <c r="AS93" s="787">
        <v>0</v>
      </c>
      <c r="AT93" s="787">
        <v>52842.69</v>
      </c>
      <c r="AU93" s="787">
        <v>0</v>
      </c>
      <c r="AV93" s="787">
        <v>0</v>
      </c>
      <c r="AW93" s="787">
        <v>1680.35</v>
      </c>
      <c r="AX93" s="787">
        <v>60.93</v>
      </c>
      <c r="AY93" s="787">
        <v>0</v>
      </c>
      <c r="AZ93" s="787">
        <v>21448.93</v>
      </c>
      <c r="BA93" s="787">
        <v>0</v>
      </c>
      <c r="BB93" s="787">
        <v>854.19</v>
      </c>
      <c r="BC93" s="787">
        <v>84913.76999999999</v>
      </c>
      <c r="BD93" s="787">
        <v>82179.010000000009</v>
      </c>
      <c r="BE93" s="787">
        <v>2910.04</v>
      </c>
      <c r="BF93" s="787">
        <v>67025.88</v>
      </c>
      <c r="BG93" s="787">
        <v>0</v>
      </c>
      <c r="BH93" s="787">
        <v>0</v>
      </c>
      <c r="BI93" s="787">
        <v>0</v>
      </c>
      <c r="BJ93" s="787">
        <f t="shared" si="9"/>
        <v>1668899.1799999997</v>
      </c>
      <c r="BK93" s="787"/>
      <c r="BL93" s="787"/>
      <c r="BM93" s="787"/>
      <c r="BN93" s="787">
        <v>0</v>
      </c>
      <c r="BO93" s="787">
        <v>0</v>
      </c>
      <c r="BP93" s="787">
        <v>0</v>
      </c>
      <c r="BQ93" s="787">
        <f t="shared" si="10"/>
        <v>0</v>
      </c>
      <c r="BR93" s="787">
        <v>0</v>
      </c>
      <c r="BS93" s="787">
        <v>0</v>
      </c>
      <c r="BT93" s="787">
        <v>0</v>
      </c>
      <c r="BU93" s="787">
        <v>0</v>
      </c>
      <c r="BV93" s="787">
        <v>0</v>
      </c>
      <c r="BW93" s="787">
        <v>0</v>
      </c>
      <c r="BX93" s="787">
        <v>7281</v>
      </c>
      <c r="BY93" s="787">
        <v>0</v>
      </c>
      <c r="BZ93" s="787">
        <f t="shared" si="11"/>
        <v>7281</v>
      </c>
      <c r="CA93" s="787"/>
      <c r="CB93" s="787"/>
      <c r="CC93" s="787"/>
      <c r="CD93" s="787">
        <v>0</v>
      </c>
      <c r="CE93" s="787">
        <v>0</v>
      </c>
      <c r="CF93" s="787">
        <f t="shared" si="12"/>
        <v>0</v>
      </c>
      <c r="CG93" s="787">
        <v>0</v>
      </c>
      <c r="CH93" s="787">
        <v>0</v>
      </c>
      <c r="CI93" s="787">
        <f t="shared" si="13"/>
        <v>0</v>
      </c>
      <c r="CJ93" s="787"/>
      <c r="CK93" s="787"/>
      <c r="CL93" s="787"/>
      <c r="CM93" s="787"/>
      <c r="CN93" s="787"/>
      <c r="CO93" s="787"/>
      <c r="CP93" s="787"/>
      <c r="CQ93" s="787"/>
      <c r="CR93" s="787"/>
      <c r="CS93" s="787">
        <v>574267.5</v>
      </c>
      <c r="CT93" s="787">
        <v>0</v>
      </c>
      <c r="CU93" s="787">
        <v>0</v>
      </c>
      <c r="CV93" s="787">
        <v>574267.5</v>
      </c>
      <c r="CW93" s="787">
        <v>0</v>
      </c>
      <c r="CX93" s="787">
        <v>3788.59</v>
      </c>
      <c r="CY93" s="787">
        <v>437.41</v>
      </c>
      <c r="CZ93" s="787">
        <v>0</v>
      </c>
      <c r="DA93" s="787">
        <v>0</v>
      </c>
      <c r="DB93" s="787">
        <v>578493.5</v>
      </c>
      <c r="DC93" s="787">
        <v>0</v>
      </c>
      <c r="DD93" s="787">
        <v>0</v>
      </c>
      <c r="DE93" s="787">
        <v>0</v>
      </c>
      <c r="DF93" s="787">
        <v>0</v>
      </c>
      <c r="DG93" s="787"/>
      <c r="DH93" s="787"/>
      <c r="DI93" s="787"/>
      <c r="DJ93" s="787">
        <v>0</v>
      </c>
      <c r="DK93" s="787">
        <v>0</v>
      </c>
      <c r="DL93" s="787">
        <v>1640</v>
      </c>
      <c r="DM93" s="787">
        <v>0</v>
      </c>
      <c r="DN93" s="787">
        <v>0</v>
      </c>
      <c r="DO93" s="787">
        <v>0</v>
      </c>
      <c r="DP93" s="787">
        <v>-137150.23000000001</v>
      </c>
      <c r="DQ93" s="787">
        <v>-55630.239999999998</v>
      </c>
      <c r="DR93" s="787">
        <v>0</v>
      </c>
      <c r="DS93" s="787">
        <v>0</v>
      </c>
      <c r="DT93" s="787">
        <v>-191140.47</v>
      </c>
      <c r="DU93" s="787">
        <v>0</v>
      </c>
      <c r="DV93" s="787">
        <v>0</v>
      </c>
      <c r="DW93" s="787">
        <v>0</v>
      </c>
      <c r="DX93" s="787">
        <v>0</v>
      </c>
      <c r="DY93" s="787">
        <v>0</v>
      </c>
      <c r="DZ93" s="787">
        <v>-1186.25</v>
      </c>
      <c r="EA93" s="787">
        <v>0.45603576494613662</v>
      </c>
    </row>
    <row r="94" spans="1:131" ht="15.6">
      <c r="A94" s="782" t="s">
        <v>1386</v>
      </c>
      <c r="B94" s="782" t="s">
        <v>866</v>
      </c>
      <c r="C94" s="783">
        <v>2189</v>
      </c>
      <c r="D94" s="784" t="s">
        <v>867</v>
      </c>
      <c r="E94" s="785" t="s">
        <v>521</v>
      </c>
      <c r="F94" s="786" t="s">
        <v>1315</v>
      </c>
      <c r="G94" s="785" t="s">
        <v>5</v>
      </c>
      <c r="H94" s="785" t="str">
        <f t="shared" si="7"/>
        <v>AX03E</v>
      </c>
      <c r="I94" s="787">
        <v>0</v>
      </c>
      <c r="J94" s="787">
        <v>0</v>
      </c>
      <c r="K94" s="787">
        <v>0</v>
      </c>
      <c r="L94" s="787">
        <v>0</v>
      </c>
      <c r="M94" s="787">
        <v>0</v>
      </c>
      <c r="N94" s="787">
        <v>0</v>
      </c>
      <c r="O94" s="787">
        <v>0</v>
      </c>
      <c r="P94" s="787">
        <v>0</v>
      </c>
      <c r="Q94" s="787">
        <v>12449.18</v>
      </c>
      <c r="R94" s="787">
        <v>2931.92</v>
      </c>
      <c r="S94" s="787">
        <v>0</v>
      </c>
      <c r="T94" s="787">
        <v>0</v>
      </c>
      <c r="U94" s="787">
        <v>8030.78</v>
      </c>
      <c r="V94" s="787">
        <v>0</v>
      </c>
      <c r="W94" s="787">
        <v>0</v>
      </c>
      <c r="X94" s="787">
        <f t="shared" si="8"/>
        <v>23411.88</v>
      </c>
      <c r="Y94" s="787">
        <v>724052.77</v>
      </c>
      <c r="Z94" s="787">
        <v>0</v>
      </c>
      <c r="AA94" s="787">
        <v>260913.22</v>
      </c>
      <c r="AB94" s="787">
        <v>50259.119999999995</v>
      </c>
      <c r="AC94" s="787">
        <v>7057.38</v>
      </c>
      <c r="AD94" s="787">
        <v>0</v>
      </c>
      <c r="AE94" s="787">
        <v>98802.45</v>
      </c>
      <c r="AF94" s="787">
        <v>4142.78</v>
      </c>
      <c r="AG94" s="787">
        <v>7141.96</v>
      </c>
      <c r="AH94" s="787">
        <v>0</v>
      </c>
      <c r="AI94" s="787">
        <v>0</v>
      </c>
      <c r="AJ94" s="787">
        <v>6368.46</v>
      </c>
      <c r="AK94" s="787">
        <v>230</v>
      </c>
      <c r="AL94" s="787">
        <v>62716.09</v>
      </c>
      <c r="AM94" s="787">
        <v>4863.4399999999996</v>
      </c>
      <c r="AN94" s="787">
        <v>35826.629999999997</v>
      </c>
      <c r="AO94" s="787">
        <v>0</v>
      </c>
      <c r="AP94" s="787">
        <v>10059.299999999999</v>
      </c>
      <c r="AQ94" s="787">
        <v>35761.040000000001</v>
      </c>
      <c r="AR94" s="787">
        <v>0</v>
      </c>
      <c r="AS94" s="787">
        <v>0</v>
      </c>
      <c r="AT94" s="787">
        <v>0</v>
      </c>
      <c r="AU94" s="787">
        <v>489.43</v>
      </c>
      <c r="AV94" s="787">
        <v>575.22</v>
      </c>
      <c r="AW94" s="787">
        <v>0</v>
      </c>
      <c r="AX94" s="787">
        <v>0</v>
      </c>
      <c r="AY94" s="787">
        <v>0</v>
      </c>
      <c r="AZ94" s="787">
        <v>20100.05</v>
      </c>
      <c r="BA94" s="787">
        <v>0</v>
      </c>
      <c r="BB94" s="787">
        <v>0</v>
      </c>
      <c r="BC94" s="787">
        <v>127135.53</v>
      </c>
      <c r="BD94" s="787">
        <v>251058.56</v>
      </c>
      <c r="BE94" s="787">
        <v>11775.830000000002</v>
      </c>
      <c r="BF94" s="787">
        <v>120972.44</v>
      </c>
      <c r="BG94" s="787">
        <v>0</v>
      </c>
      <c r="BH94" s="787">
        <v>0</v>
      </c>
      <c r="BI94" s="787">
        <v>0</v>
      </c>
      <c r="BJ94" s="787">
        <f t="shared" si="9"/>
        <v>1840301.7</v>
      </c>
      <c r="BK94" s="787"/>
      <c r="BL94" s="787"/>
      <c r="BM94" s="787"/>
      <c r="BN94" s="787">
        <v>0</v>
      </c>
      <c r="BO94" s="787">
        <v>0</v>
      </c>
      <c r="BP94" s="787">
        <v>0</v>
      </c>
      <c r="BQ94" s="787">
        <f t="shared" si="10"/>
        <v>0</v>
      </c>
      <c r="BR94" s="787">
        <v>0</v>
      </c>
      <c r="BS94" s="787">
        <v>0</v>
      </c>
      <c r="BT94" s="787">
        <v>0</v>
      </c>
      <c r="BU94" s="787">
        <v>0</v>
      </c>
      <c r="BV94" s="787">
        <v>0</v>
      </c>
      <c r="BW94" s="787">
        <v>0</v>
      </c>
      <c r="BX94" s="787">
        <v>0</v>
      </c>
      <c r="BY94" s="787">
        <v>0</v>
      </c>
      <c r="BZ94" s="787">
        <f t="shared" si="11"/>
        <v>0</v>
      </c>
      <c r="CA94" s="787"/>
      <c r="CB94" s="787"/>
      <c r="CC94" s="787"/>
      <c r="CD94" s="787">
        <v>0</v>
      </c>
      <c r="CE94" s="787">
        <v>0</v>
      </c>
      <c r="CF94" s="787">
        <f t="shared" si="12"/>
        <v>0</v>
      </c>
      <c r="CG94" s="787">
        <v>0</v>
      </c>
      <c r="CH94" s="787">
        <v>0</v>
      </c>
      <c r="CI94" s="787">
        <f t="shared" si="13"/>
        <v>0</v>
      </c>
      <c r="CJ94" s="787"/>
      <c r="CK94" s="787"/>
      <c r="CL94" s="787"/>
      <c r="CM94" s="787"/>
      <c r="CN94" s="787"/>
      <c r="CO94" s="787"/>
      <c r="CP94" s="787"/>
      <c r="CQ94" s="787"/>
      <c r="CR94" s="787"/>
      <c r="CS94" s="787"/>
      <c r="CT94" s="787"/>
      <c r="CU94" s="787"/>
      <c r="CV94" s="787"/>
      <c r="CW94" s="787"/>
      <c r="CX94" s="787"/>
      <c r="CY94" s="787"/>
      <c r="CZ94" s="787"/>
      <c r="DA94" s="787"/>
      <c r="DB94" s="787"/>
      <c r="DC94" s="787"/>
      <c r="DD94" s="787"/>
      <c r="DE94" s="787"/>
      <c r="DF94" s="787"/>
      <c r="DG94" s="787"/>
      <c r="DH94" s="787"/>
      <c r="DI94" s="787"/>
      <c r="DJ94" s="787"/>
      <c r="DK94" s="787"/>
      <c r="DL94" s="787"/>
      <c r="DM94" s="787"/>
      <c r="DN94" s="787"/>
      <c r="DO94" s="787"/>
      <c r="DP94" s="787"/>
      <c r="DQ94" s="787"/>
      <c r="DR94" s="787"/>
      <c r="DS94" s="787"/>
      <c r="DT94" s="787"/>
      <c r="DU94" s="787"/>
      <c r="DV94" s="787"/>
      <c r="DW94" s="787"/>
      <c r="DX94" s="787"/>
      <c r="DY94" s="787"/>
      <c r="DZ94" s="787"/>
      <c r="EA94" s="787"/>
    </row>
    <row r="95" spans="1:131" ht="15.6">
      <c r="A95" s="782" t="s">
        <v>1387</v>
      </c>
      <c r="B95" s="782" t="s">
        <v>868</v>
      </c>
      <c r="C95" s="783">
        <v>7060</v>
      </c>
      <c r="D95" s="784" t="s">
        <v>869</v>
      </c>
      <c r="E95" s="785" t="s">
        <v>521</v>
      </c>
      <c r="F95" s="786">
        <v>46094</v>
      </c>
      <c r="G95" s="785" t="s">
        <v>5</v>
      </c>
      <c r="H95" s="785" t="str">
        <f t="shared" si="7"/>
        <v>AX03G</v>
      </c>
      <c r="I95" s="787">
        <v>1.5217391774058342E-3</v>
      </c>
      <c r="J95" s="787">
        <v>0</v>
      </c>
      <c r="K95" s="787">
        <v>101350.38346573152</v>
      </c>
      <c r="L95" s="787">
        <v>0</v>
      </c>
      <c r="M95" s="787">
        <v>6360</v>
      </c>
      <c r="N95" s="787">
        <v>13688.51999999999</v>
      </c>
      <c r="O95" s="787">
        <v>700</v>
      </c>
      <c r="P95" s="787">
        <v>0</v>
      </c>
      <c r="Q95" s="787">
        <v>9885.0500000000011</v>
      </c>
      <c r="R95" s="787">
        <v>0</v>
      </c>
      <c r="S95" s="787">
        <v>0</v>
      </c>
      <c r="T95" s="787">
        <v>0</v>
      </c>
      <c r="U95" s="787">
        <v>604</v>
      </c>
      <c r="V95" s="787">
        <v>0</v>
      </c>
      <c r="W95" s="787">
        <v>0</v>
      </c>
      <c r="X95" s="787">
        <f t="shared" si="8"/>
        <v>132587.95498747067</v>
      </c>
      <c r="Y95" s="787">
        <v>1329204.3899999999</v>
      </c>
      <c r="Z95" s="787">
        <v>0</v>
      </c>
      <c r="AA95" s="787">
        <v>1474902.0699999998</v>
      </c>
      <c r="AB95" s="787">
        <v>44758.62</v>
      </c>
      <c r="AC95" s="787">
        <v>143359.63</v>
      </c>
      <c r="AD95" s="787">
        <v>0</v>
      </c>
      <c r="AE95" s="787">
        <v>24254.920000000002</v>
      </c>
      <c r="AF95" s="787">
        <v>3916.65</v>
      </c>
      <c r="AG95" s="787">
        <v>10671.94</v>
      </c>
      <c r="AH95" s="787">
        <v>0</v>
      </c>
      <c r="AI95" s="787">
        <v>0</v>
      </c>
      <c r="AJ95" s="787">
        <v>8025.71</v>
      </c>
      <c r="AK95" s="787">
        <v>549.99</v>
      </c>
      <c r="AL95" s="787">
        <v>30401.759999999998</v>
      </c>
      <c r="AM95" s="787">
        <v>11932.426666666666</v>
      </c>
      <c r="AN95" s="787">
        <v>39174.759999999995</v>
      </c>
      <c r="AO95" s="787">
        <v>0</v>
      </c>
      <c r="AP95" s="787">
        <v>5674.75</v>
      </c>
      <c r="AQ95" s="787">
        <v>31767.705000000002</v>
      </c>
      <c r="AR95" s="787">
        <v>0</v>
      </c>
      <c r="AS95" s="787">
        <v>3381.5</v>
      </c>
      <c r="AT95" s="787">
        <v>6179.25</v>
      </c>
      <c r="AU95" s="787">
        <v>14297.53</v>
      </c>
      <c r="AV95" s="787">
        <v>1404.46</v>
      </c>
      <c r="AW95" s="787">
        <v>217.89</v>
      </c>
      <c r="AX95" s="787">
        <v>10725</v>
      </c>
      <c r="AY95" s="787">
        <v>0</v>
      </c>
      <c r="AZ95" s="787">
        <v>12721.409999999998</v>
      </c>
      <c r="BA95" s="787">
        <v>1474.4700000000003</v>
      </c>
      <c r="BB95" s="787">
        <v>10552.97</v>
      </c>
      <c r="BC95" s="787">
        <v>55240.4</v>
      </c>
      <c r="BD95" s="787">
        <v>149479.25</v>
      </c>
      <c r="BE95" s="787">
        <v>132017.71</v>
      </c>
      <c r="BF95" s="787">
        <v>31038.78</v>
      </c>
      <c r="BG95" s="787">
        <v>0</v>
      </c>
      <c r="BH95" s="787">
        <v>0</v>
      </c>
      <c r="BI95" s="787">
        <v>0</v>
      </c>
      <c r="BJ95" s="787">
        <f t="shared" si="9"/>
        <v>3587325.9416666664</v>
      </c>
      <c r="BK95" s="787"/>
      <c r="BL95" s="787"/>
      <c r="BM95" s="787"/>
      <c r="BN95" s="787">
        <v>0</v>
      </c>
      <c r="BO95" s="787">
        <v>0</v>
      </c>
      <c r="BP95" s="787">
        <v>0</v>
      </c>
      <c r="BQ95" s="787">
        <f t="shared" si="10"/>
        <v>0</v>
      </c>
      <c r="BR95" s="787">
        <v>0</v>
      </c>
      <c r="BS95" s="787">
        <v>10810</v>
      </c>
      <c r="BT95" s="787">
        <v>1764.79</v>
      </c>
      <c r="BU95" s="787">
        <v>0</v>
      </c>
      <c r="BV95" s="787">
        <v>0</v>
      </c>
      <c r="BW95" s="787">
        <v>0</v>
      </c>
      <c r="BX95" s="787">
        <v>8600.2800000000007</v>
      </c>
      <c r="BY95" s="787">
        <v>0</v>
      </c>
      <c r="BZ95" s="787">
        <f t="shared" si="11"/>
        <v>21175.07</v>
      </c>
      <c r="CA95" s="787"/>
      <c r="CB95" s="787"/>
      <c r="CC95" s="787"/>
      <c r="CD95" s="787">
        <v>0</v>
      </c>
      <c r="CE95" s="787">
        <v>0</v>
      </c>
      <c r="CF95" s="787">
        <f t="shared" si="12"/>
        <v>0</v>
      </c>
      <c r="CG95" s="787">
        <v>0</v>
      </c>
      <c r="CH95" s="787">
        <v>0</v>
      </c>
      <c r="CI95" s="787">
        <f t="shared" si="13"/>
        <v>0</v>
      </c>
      <c r="CJ95" s="787"/>
      <c r="CK95" s="787"/>
      <c r="CL95" s="787"/>
      <c r="CM95" s="787"/>
      <c r="CN95" s="787"/>
      <c r="CO95" s="787"/>
      <c r="CP95" s="787"/>
      <c r="CQ95" s="787"/>
      <c r="CR95" s="787"/>
      <c r="CS95" s="787">
        <v>668513.12</v>
      </c>
      <c r="CT95" s="787">
        <v>0</v>
      </c>
      <c r="CU95" s="787">
        <v>0</v>
      </c>
      <c r="CV95" s="787">
        <v>668513.12</v>
      </c>
      <c r="CW95" s="787">
        <v>0</v>
      </c>
      <c r="CX95" s="787">
        <v>7843.89</v>
      </c>
      <c r="CY95" s="787">
        <v>1706.26</v>
      </c>
      <c r="CZ95" s="787">
        <v>0</v>
      </c>
      <c r="DA95" s="787">
        <v>2</v>
      </c>
      <c r="DB95" s="787">
        <v>678065.27</v>
      </c>
      <c r="DC95" s="787">
        <v>0</v>
      </c>
      <c r="DD95" s="787">
        <v>0</v>
      </c>
      <c r="DE95" s="787">
        <v>0</v>
      </c>
      <c r="DF95" s="787">
        <v>0</v>
      </c>
      <c r="DG95" s="787"/>
      <c r="DH95" s="787"/>
      <c r="DI95" s="787"/>
      <c r="DJ95" s="787">
        <v>0</v>
      </c>
      <c r="DK95" s="787">
        <v>0</v>
      </c>
      <c r="DL95" s="787">
        <v>16519.810000000001</v>
      </c>
      <c r="DM95" s="787">
        <v>0</v>
      </c>
      <c r="DN95" s="787">
        <v>0</v>
      </c>
      <c r="DO95" s="787">
        <v>550</v>
      </c>
      <c r="DP95" s="787">
        <v>-287969.44</v>
      </c>
      <c r="DQ95" s="787">
        <v>-20925.18</v>
      </c>
      <c r="DR95" s="787">
        <v>0</v>
      </c>
      <c r="DS95" s="787">
        <v>0</v>
      </c>
      <c r="DT95" s="787">
        <v>-291824.81</v>
      </c>
      <c r="DU95" s="787">
        <v>3792</v>
      </c>
      <c r="DV95" s="787">
        <v>0</v>
      </c>
      <c r="DW95" s="787">
        <v>0</v>
      </c>
      <c r="DX95" s="787">
        <v>0</v>
      </c>
      <c r="DY95" s="787">
        <v>296.95</v>
      </c>
      <c r="DZ95" s="787">
        <v>-50785.55</v>
      </c>
      <c r="EA95" s="787">
        <v>-1.6666548908688128E-3</v>
      </c>
    </row>
    <row r="96" spans="1:131" ht="15.6">
      <c r="A96" s="782" t="s">
        <v>1388</v>
      </c>
      <c r="B96" s="782" t="s">
        <v>900</v>
      </c>
      <c r="C96" s="783">
        <v>1024</v>
      </c>
      <c r="D96" s="784" t="s">
        <v>901</v>
      </c>
      <c r="E96" s="785" t="s">
        <v>521</v>
      </c>
      <c r="F96" s="786" t="s">
        <v>1305</v>
      </c>
      <c r="G96" s="785" t="s">
        <v>5</v>
      </c>
      <c r="H96" s="785" t="str">
        <f t="shared" si="7"/>
        <v>AX03J</v>
      </c>
      <c r="I96" s="787">
        <v>0</v>
      </c>
      <c r="J96" s="787">
        <v>0</v>
      </c>
      <c r="K96" s="787">
        <v>0</v>
      </c>
      <c r="L96" s="787">
        <v>0</v>
      </c>
      <c r="M96" s="787">
        <v>0</v>
      </c>
      <c r="N96" s="787">
        <v>0</v>
      </c>
      <c r="O96" s="787">
        <v>0</v>
      </c>
      <c r="P96" s="787">
        <v>0</v>
      </c>
      <c r="Q96" s="787">
        <v>0</v>
      </c>
      <c r="R96" s="787">
        <v>0</v>
      </c>
      <c r="S96" s="787">
        <v>0.15813296288251877</v>
      </c>
      <c r="T96" s="787">
        <v>0</v>
      </c>
      <c r="U96" s="787">
        <v>2958.81</v>
      </c>
      <c r="V96" s="787">
        <v>124529.91</v>
      </c>
      <c r="W96" s="787">
        <v>0</v>
      </c>
      <c r="X96" s="787">
        <f t="shared" si="8"/>
        <v>127488.87813296288</v>
      </c>
      <c r="Y96" s="787">
        <v>214663.81</v>
      </c>
      <c r="Z96" s="787">
        <v>0</v>
      </c>
      <c r="AA96" s="787">
        <v>109360.34000000001</v>
      </c>
      <c r="AB96" s="787">
        <v>0</v>
      </c>
      <c r="AC96" s="787">
        <v>50483.13</v>
      </c>
      <c r="AD96" s="787">
        <v>8184.26</v>
      </c>
      <c r="AE96" s="787">
        <v>51586.32</v>
      </c>
      <c r="AF96" s="787">
        <v>14796.76</v>
      </c>
      <c r="AG96" s="787">
        <v>2999</v>
      </c>
      <c r="AH96" s="787">
        <v>0</v>
      </c>
      <c r="AI96" s="787">
        <v>3291.75</v>
      </c>
      <c r="AJ96" s="787">
        <v>28351.79</v>
      </c>
      <c r="AK96" s="787">
        <v>1074.17</v>
      </c>
      <c r="AL96" s="787">
        <v>436.06</v>
      </c>
      <c r="AM96" s="787">
        <v>3257.69</v>
      </c>
      <c r="AN96" s="787">
        <v>9840.5</v>
      </c>
      <c r="AO96" s="787">
        <v>0</v>
      </c>
      <c r="AP96" s="787">
        <v>25040.639999999999</v>
      </c>
      <c r="AQ96" s="787">
        <v>24566.560000000001</v>
      </c>
      <c r="AR96" s="787">
        <v>412</v>
      </c>
      <c r="AS96" s="787">
        <v>0</v>
      </c>
      <c r="AT96" s="787">
        <v>3613.41</v>
      </c>
      <c r="AU96" s="787">
        <v>0</v>
      </c>
      <c r="AV96" s="787">
        <v>0</v>
      </c>
      <c r="AW96" s="787">
        <v>0</v>
      </c>
      <c r="AX96" s="787">
        <v>0</v>
      </c>
      <c r="AY96" s="787">
        <v>0</v>
      </c>
      <c r="AZ96" s="787">
        <v>16433.45</v>
      </c>
      <c r="BA96" s="787">
        <v>0</v>
      </c>
      <c r="BB96" s="787">
        <v>0</v>
      </c>
      <c r="BC96" s="787">
        <v>15978.62</v>
      </c>
      <c r="BD96" s="787">
        <v>87951.28</v>
      </c>
      <c r="BE96" s="787">
        <v>0</v>
      </c>
      <c r="BF96" s="787">
        <v>120098.78</v>
      </c>
      <c r="BG96" s="787">
        <v>0</v>
      </c>
      <c r="BH96" s="787">
        <v>-0.34000000054948032</v>
      </c>
      <c r="BI96" s="787">
        <v>0</v>
      </c>
      <c r="BJ96" s="787">
        <f t="shared" si="9"/>
        <v>792419.97999999952</v>
      </c>
      <c r="BK96" s="787"/>
      <c r="BL96" s="787"/>
      <c r="BM96" s="787"/>
      <c r="BN96" s="787">
        <v>0</v>
      </c>
      <c r="BO96" s="787">
        <v>0</v>
      </c>
      <c r="BP96" s="787">
        <v>0</v>
      </c>
      <c r="BQ96" s="787">
        <f t="shared" si="10"/>
        <v>0</v>
      </c>
      <c r="BR96" s="787">
        <v>0</v>
      </c>
      <c r="BS96" s="787">
        <v>18350.75</v>
      </c>
      <c r="BT96" s="787">
        <v>0</v>
      </c>
      <c r="BU96" s="787">
        <v>0</v>
      </c>
      <c r="BV96" s="787">
        <v>0</v>
      </c>
      <c r="BW96" s="787">
        <v>0</v>
      </c>
      <c r="BX96" s="787">
        <v>0</v>
      </c>
      <c r="BY96" s="787">
        <v>0</v>
      </c>
      <c r="BZ96" s="787">
        <f t="shared" si="11"/>
        <v>18350.75</v>
      </c>
      <c r="CA96" s="787"/>
      <c r="CB96" s="787"/>
      <c r="CC96" s="787"/>
      <c r="CD96" s="787">
        <v>0</v>
      </c>
      <c r="CE96" s="787">
        <v>0</v>
      </c>
      <c r="CF96" s="787">
        <f t="shared" si="12"/>
        <v>0</v>
      </c>
      <c r="CG96" s="787">
        <v>0</v>
      </c>
      <c r="CH96" s="787">
        <v>0</v>
      </c>
      <c r="CI96" s="787">
        <f t="shared" si="13"/>
        <v>0</v>
      </c>
      <c r="CJ96" s="787"/>
      <c r="CK96" s="787"/>
      <c r="CL96" s="787"/>
      <c r="CM96" s="787"/>
      <c r="CN96" s="787"/>
      <c r="CO96" s="787"/>
      <c r="CP96" s="787"/>
      <c r="CQ96" s="787"/>
      <c r="CR96" s="787"/>
      <c r="CS96" s="787">
        <v>293900.55</v>
      </c>
      <c r="CT96" s="787">
        <v>13994.460000000001</v>
      </c>
      <c r="CU96" s="787">
        <v>0</v>
      </c>
      <c r="CV96" s="787">
        <v>279906.08999999997</v>
      </c>
      <c r="CW96" s="787">
        <v>0</v>
      </c>
      <c r="CX96" s="787">
        <v>3282.07</v>
      </c>
      <c r="CY96" s="787">
        <v>3203.1</v>
      </c>
      <c r="CZ96" s="787">
        <v>0</v>
      </c>
      <c r="DA96" s="787">
        <v>0</v>
      </c>
      <c r="DB96" s="787">
        <v>286391.25999999995</v>
      </c>
      <c r="DC96" s="787">
        <v>0</v>
      </c>
      <c r="DD96" s="787">
        <v>0</v>
      </c>
      <c r="DE96" s="787">
        <v>0</v>
      </c>
      <c r="DF96" s="787">
        <v>0</v>
      </c>
      <c r="DG96" s="787"/>
      <c r="DH96" s="787"/>
      <c r="DI96" s="787"/>
      <c r="DJ96" s="787">
        <v>-783345.67057691596</v>
      </c>
      <c r="DK96" s="787">
        <v>-783345.67057691596</v>
      </c>
      <c r="DL96" s="787">
        <v>0</v>
      </c>
      <c r="DM96" s="787">
        <v>0</v>
      </c>
      <c r="DN96" s="787">
        <v>0</v>
      </c>
      <c r="DO96" s="787">
        <v>0</v>
      </c>
      <c r="DP96" s="787">
        <v>-41080.519999999997</v>
      </c>
      <c r="DQ96" s="787">
        <v>0</v>
      </c>
      <c r="DR96" s="787">
        <v>0</v>
      </c>
      <c r="DS96" s="787">
        <v>0</v>
      </c>
      <c r="DT96" s="787">
        <v>-41080.519999999997</v>
      </c>
      <c r="DU96" s="787">
        <v>0</v>
      </c>
      <c r="DV96" s="787">
        <v>0</v>
      </c>
      <c r="DW96" s="787">
        <v>0</v>
      </c>
      <c r="DX96" s="787">
        <v>0</v>
      </c>
      <c r="DY96" s="787">
        <v>0</v>
      </c>
      <c r="DZ96" s="787">
        <v>-8168.76</v>
      </c>
      <c r="EA96" s="787">
        <v>5.7691696565598249E-4</v>
      </c>
    </row>
    <row r="97" spans="1:131" ht="15.6">
      <c r="A97" s="782" t="s">
        <v>1389</v>
      </c>
      <c r="B97" s="782" t="s">
        <v>688</v>
      </c>
      <c r="C97" s="783">
        <v>7062</v>
      </c>
      <c r="D97" s="784" t="s">
        <v>689</v>
      </c>
      <c r="E97" s="785" t="s">
        <v>521</v>
      </c>
      <c r="F97" s="786">
        <v>46094</v>
      </c>
      <c r="G97" s="785" t="s">
        <v>5</v>
      </c>
      <c r="H97" s="785" t="str">
        <f t="shared" si="7"/>
        <v>AX03K</v>
      </c>
      <c r="I97" s="787">
        <v>0</v>
      </c>
      <c r="J97" s="787">
        <v>0</v>
      </c>
      <c r="K97" s="787">
        <v>28456</v>
      </c>
      <c r="L97" s="787">
        <v>0</v>
      </c>
      <c r="M97" s="787">
        <v>0</v>
      </c>
      <c r="N97" s="787">
        <v>0</v>
      </c>
      <c r="O97" s="787">
        <v>0</v>
      </c>
      <c r="P97" s="787">
        <v>0</v>
      </c>
      <c r="Q97" s="787">
        <v>521196.61</v>
      </c>
      <c r="R97" s="787">
        <v>1613.23</v>
      </c>
      <c r="S97" s="787">
        <v>0</v>
      </c>
      <c r="T97" s="787">
        <v>0</v>
      </c>
      <c r="U97" s="787">
        <v>7504.1900000000005</v>
      </c>
      <c r="V97" s="787">
        <v>0</v>
      </c>
      <c r="W97" s="787">
        <v>0</v>
      </c>
      <c r="X97" s="787">
        <f t="shared" si="8"/>
        <v>558770.02999999991</v>
      </c>
      <c r="Y97" s="787">
        <v>1680893.84</v>
      </c>
      <c r="Z97" s="787">
        <v>0</v>
      </c>
      <c r="AA97" s="787">
        <v>1330163.6499999999</v>
      </c>
      <c r="AB97" s="787">
        <v>234057.75</v>
      </c>
      <c r="AC97" s="787">
        <v>247060.08</v>
      </c>
      <c r="AD97" s="787">
        <v>18366.560000000001</v>
      </c>
      <c r="AE97" s="787">
        <v>294852.13</v>
      </c>
      <c r="AF97" s="787">
        <v>22175</v>
      </c>
      <c r="AG97" s="787">
        <v>26415</v>
      </c>
      <c r="AH97" s="787">
        <v>0</v>
      </c>
      <c r="AI97" s="787">
        <v>0</v>
      </c>
      <c r="AJ97" s="787">
        <v>121129</v>
      </c>
      <c r="AK97" s="787">
        <v>42717</v>
      </c>
      <c r="AL97" s="787">
        <v>69167.95</v>
      </c>
      <c r="AM97" s="787">
        <v>10919.65</v>
      </c>
      <c r="AN97" s="787">
        <v>95805.239999999991</v>
      </c>
      <c r="AO97" s="787">
        <v>0</v>
      </c>
      <c r="AP97" s="787">
        <v>60889.130000000005</v>
      </c>
      <c r="AQ97" s="787">
        <v>144547</v>
      </c>
      <c r="AR97" s="787">
        <v>15913</v>
      </c>
      <c r="AS97" s="787">
        <v>0</v>
      </c>
      <c r="AT97" s="787">
        <v>8737</v>
      </c>
      <c r="AU97" s="787">
        <v>13391</v>
      </c>
      <c r="AV97" s="787">
        <v>32689</v>
      </c>
      <c r="AW97" s="787">
        <v>23989.51</v>
      </c>
      <c r="AX97" s="787">
        <v>1585</v>
      </c>
      <c r="AY97" s="787">
        <v>11833.65</v>
      </c>
      <c r="AZ97" s="787">
        <v>10973.1</v>
      </c>
      <c r="BA97" s="787">
        <v>0</v>
      </c>
      <c r="BB97" s="787">
        <v>116498.49</v>
      </c>
      <c r="BC97" s="787">
        <v>67149.13</v>
      </c>
      <c r="BD97" s="787">
        <v>55784.5</v>
      </c>
      <c r="BE97" s="787">
        <v>734095.21</v>
      </c>
      <c r="BF97" s="787">
        <v>55350.15</v>
      </c>
      <c r="BG97" s="787">
        <v>0</v>
      </c>
      <c r="BH97" s="787">
        <v>0</v>
      </c>
      <c r="BI97" s="787">
        <v>0</v>
      </c>
      <c r="BJ97" s="787">
        <f t="shared" si="9"/>
        <v>5547147.7200000007</v>
      </c>
      <c r="BK97" s="787"/>
      <c r="BL97" s="787"/>
      <c r="BM97" s="787"/>
      <c r="BN97" s="787">
        <v>0</v>
      </c>
      <c r="BO97" s="787">
        <v>0</v>
      </c>
      <c r="BP97" s="787">
        <v>0</v>
      </c>
      <c r="BQ97" s="787">
        <f t="shared" si="10"/>
        <v>0</v>
      </c>
      <c r="BR97" s="787">
        <v>0</v>
      </c>
      <c r="BS97" s="787">
        <v>0</v>
      </c>
      <c r="BT97" s="787">
        <v>8880</v>
      </c>
      <c r="BU97" s="787">
        <v>0</v>
      </c>
      <c r="BV97" s="787">
        <v>0</v>
      </c>
      <c r="BW97" s="787">
        <v>0</v>
      </c>
      <c r="BX97" s="787">
        <v>0</v>
      </c>
      <c r="BY97" s="787">
        <v>0</v>
      </c>
      <c r="BZ97" s="787">
        <f t="shared" si="11"/>
        <v>8880</v>
      </c>
      <c r="CA97" s="787"/>
      <c r="CB97" s="787"/>
      <c r="CC97" s="787"/>
      <c r="CD97" s="787">
        <v>0</v>
      </c>
      <c r="CE97" s="787">
        <v>0</v>
      </c>
      <c r="CF97" s="787">
        <f t="shared" si="12"/>
        <v>0</v>
      </c>
      <c r="CG97" s="787">
        <v>0</v>
      </c>
      <c r="CH97" s="787">
        <v>0</v>
      </c>
      <c r="CI97" s="787">
        <f t="shared" si="13"/>
        <v>0</v>
      </c>
      <c r="CJ97" s="787"/>
      <c r="CK97" s="787"/>
      <c r="CL97" s="787"/>
      <c r="CM97" s="787"/>
      <c r="CN97" s="787"/>
      <c r="CO97" s="787"/>
      <c r="CP97" s="787"/>
      <c r="CQ97" s="787"/>
      <c r="CR97" s="787"/>
      <c r="CS97" s="787"/>
      <c r="CT97" s="787"/>
      <c r="CU97" s="787"/>
      <c r="CV97" s="787"/>
      <c r="CW97" s="787"/>
      <c r="CX97" s="787"/>
      <c r="CY97" s="787"/>
      <c r="CZ97" s="787"/>
      <c r="DA97" s="787"/>
      <c r="DB97" s="787"/>
      <c r="DC97" s="787"/>
      <c r="DD97" s="787"/>
      <c r="DE97" s="787"/>
      <c r="DF97" s="787"/>
      <c r="DG97" s="787"/>
      <c r="DH97" s="787"/>
      <c r="DI97" s="787"/>
      <c r="DJ97" s="787"/>
      <c r="DK97" s="787"/>
      <c r="DL97" s="787"/>
      <c r="DM97" s="787"/>
      <c r="DN97" s="787"/>
      <c r="DO97" s="787"/>
      <c r="DP97" s="787"/>
      <c r="DQ97" s="787"/>
      <c r="DR97" s="787"/>
      <c r="DS97" s="787"/>
      <c r="DT97" s="787"/>
      <c r="DU97" s="787"/>
      <c r="DV97" s="787"/>
      <c r="DW97" s="787"/>
      <c r="DX97" s="787"/>
      <c r="DY97" s="787"/>
      <c r="DZ97" s="787"/>
      <c r="EA97" s="787"/>
    </row>
    <row r="98" spans="1:131" ht="15.6">
      <c r="A98" s="782" t="s">
        <v>1390</v>
      </c>
      <c r="B98" s="782" t="s">
        <v>690</v>
      </c>
      <c r="C98" s="783">
        <v>2462</v>
      </c>
      <c r="D98" s="784" t="s">
        <v>691</v>
      </c>
      <c r="E98" s="785" t="s">
        <v>521</v>
      </c>
      <c r="F98" s="786">
        <v>46094</v>
      </c>
      <c r="G98" s="785" t="s">
        <v>5</v>
      </c>
      <c r="H98" s="785" t="str">
        <f t="shared" si="7"/>
        <v>AX03L</v>
      </c>
      <c r="I98" s="787">
        <v>0</v>
      </c>
      <c r="J98" s="787">
        <v>0</v>
      </c>
      <c r="K98" s="787">
        <v>0</v>
      </c>
      <c r="L98" s="787">
        <v>0</v>
      </c>
      <c r="M98" s="787">
        <v>0</v>
      </c>
      <c r="N98" s="787">
        <v>779991</v>
      </c>
      <c r="O98" s="787">
        <v>250</v>
      </c>
      <c r="P98" s="787">
        <v>29332.5</v>
      </c>
      <c r="Q98" s="787">
        <v>264721.58</v>
      </c>
      <c r="R98" s="787">
        <v>63475.11</v>
      </c>
      <c r="S98" s="787">
        <v>0</v>
      </c>
      <c r="T98" s="787">
        <v>0</v>
      </c>
      <c r="U98" s="787">
        <v>65491.39</v>
      </c>
      <c r="V98" s="787">
        <v>17704.97</v>
      </c>
      <c r="W98" s="787">
        <v>0</v>
      </c>
      <c r="X98" s="787">
        <f t="shared" si="8"/>
        <v>1220966.55</v>
      </c>
      <c r="Y98" s="787">
        <v>1297668.93</v>
      </c>
      <c r="Z98" s="787">
        <v>0</v>
      </c>
      <c r="AA98" s="787">
        <v>355105.81</v>
      </c>
      <c r="AB98" s="787">
        <v>24648.47</v>
      </c>
      <c r="AC98" s="787">
        <v>172117.83</v>
      </c>
      <c r="AD98" s="787">
        <v>0</v>
      </c>
      <c r="AE98" s="787">
        <v>147386.33000000002</v>
      </c>
      <c r="AF98" s="787">
        <v>2388.21</v>
      </c>
      <c r="AG98" s="787">
        <v>1018.5</v>
      </c>
      <c r="AH98" s="787">
        <v>0</v>
      </c>
      <c r="AI98" s="787">
        <v>0</v>
      </c>
      <c r="AJ98" s="787">
        <v>14158.15</v>
      </c>
      <c r="AK98" s="787">
        <v>4804.97</v>
      </c>
      <c r="AL98" s="787">
        <v>55000.9</v>
      </c>
      <c r="AM98" s="787">
        <v>10583.29</v>
      </c>
      <c r="AN98" s="787">
        <v>47970.61</v>
      </c>
      <c r="AO98" s="787">
        <v>0</v>
      </c>
      <c r="AP98" s="787">
        <v>7134.7699999999995</v>
      </c>
      <c r="AQ98" s="787">
        <v>104358</v>
      </c>
      <c r="AR98" s="787">
        <v>0</v>
      </c>
      <c r="AS98" s="787">
        <v>0</v>
      </c>
      <c r="AT98" s="787">
        <v>5070.82</v>
      </c>
      <c r="AU98" s="787">
        <v>39580.01</v>
      </c>
      <c r="AV98" s="787">
        <v>6.13</v>
      </c>
      <c r="AW98" s="787">
        <v>0</v>
      </c>
      <c r="AX98" s="787">
        <v>0</v>
      </c>
      <c r="AY98" s="787">
        <v>0</v>
      </c>
      <c r="AZ98" s="787">
        <v>51101.08</v>
      </c>
      <c r="BA98" s="787">
        <v>0</v>
      </c>
      <c r="BB98" s="787">
        <v>3103.5</v>
      </c>
      <c r="BC98" s="787">
        <v>194908.3</v>
      </c>
      <c r="BD98" s="787">
        <v>14255</v>
      </c>
      <c r="BE98" s="787">
        <v>277381.25</v>
      </c>
      <c r="BF98" s="787">
        <v>336740.83</v>
      </c>
      <c r="BG98" s="787">
        <v>0</v>
      </c>
      <c r="BH98" s="787">
        <v>0</v>
      </c>
      <c r="BI98" s="787">
        <v>0</v>
      </c>
      <c r="BJ98" s="787">
        <f t="shared" si="9"/>
        <v>3166491.6899999995</v>
      </c>
      <c r="BK98" s="787"/>
      <c r="BL98" s="787"/>
      <c r="BM98" s="787"/>
      <c r="BN98" s="787">
        <v>0</v>
      </c>
      <c r="BO98" s="787">
        <v>0</v>
      </c>
      <c r="BP98" s="787">
        <v>0</v>
      </c>
      <c r="BQ98" s="787">
        <f t="shared" si="10"/>
        <v>0</v>
      </c>
      <c r="BR98" s="787">
        <v>0</v>
      </c>
      <c r="BS98" s="787">
        <v>0</v>
      </c>
      <c r="BT98" s="787">
        <v>13161</v>
      </c>
      <c r="BU98" s="787">
        <v>0</v>
      </c>
      <c r="BV98" s="787">
        <v>0</v>
      </c>
      <c r="BW98" s="787">
        <v>0</v>
      </c>
      <c r="BX98" s="787">
        <v>0</v>
      </c>
      <c r="BY98" s="787">
        <v>0</v>
      </c>
      <c r="BZ98" s="787">
        <f t="shared" si="11"/>
        <v>13161</v>
      </c>
      <c r="CA98" s="787"/>
      <c r="CB98" s="787"/>
      <c r="CC98" s="787"/>
      <c r="CD98" s="787">
        <v>0</v>
      </c>
      <c r="CE98" s="787">
        <v>0</v>
      </c>
      <c r="CF98" s="787">
        <f t="shared" si="12"/>
        <v>0</v>
      </c>
      <c r="CG98" s="787">
        <v>0</v>
      </c>
      <c r="CH98" s="787">
        <v>0</v>
      </c>
      <c r="CI98" s="787">
        <f t="shared" si="13"/>
        <v>0</v>
      </c>
      <c r="CJ98" s="787"/>
      <c r="CK98" s="787"/>
      <c r="CL98" s="787"/>
      <c r="CM98" s="787"/>
      <c r="CN98" s="787"/>
      <c r="CO98" s="787"/>
      <c r="CP98" s="787"/>
      <c r="CQ98" s="787"/>
      <c r="CR98" s="787"/>
      <c r="CS98" s="787">
        <v>1294308.44</v>
      </c>
      <c r="CT98" s="787">
        <v>14477.06</v>
      </c>
      <c r="CU98" s="787">
        <v>0</v>
      </c>
      <c r="CV98" s="787">
        <v>1279831.3799999999</v>
      </c>
      <c r="CW98" s="787">
        <v>0</v>
      </c>
      <c r="CX98" s="787">
        <v>5006.24</v>
      </c>
      <c r="CY98" s="787">
        <v>2506.0500000000002</v>
      </c>
      <c r="CZ98" s="787">
        <v>0</v>
      </c>
      <c r="DA98" s="787">
        <v>0</v>
      </c>
      <c r="DB98" s="787">
        <v>1287343.67</v>
      </c>
      <c r="DC98" s="787">
        <v>1430.21</v>
      </c>
      <c r="DD98" s="787">
        <v>0</v>
      </c>
      <c r="DE98" s="787">
        <v>0</v>
      </c>
      <c r="DF98" s="787">
        <v>1430.21</v>
      </c>
      <c r="DG98" s="787"/>
      <c r="DH98" s="787"/>
      <c r="DI98" s="787"/>
      <c r="DJ98" s="787">
        <v>0</v>
      </c>
      <c r="DK98" s="787">
        <v>1430.21</v>
      </c>
      <c r="DL98" s="787">
        <v>5248.8</v>
      </c>
      <c r="DM98" s="787">
        <v>0</v>
      </c>
      <c r="DN98" s="787">
        <v>6305.14</v>
      </c>
      <c r="DO98" s="787">
        <v>0</v>
      </c>
      <c r="DP98" s="787">
        <v>-28365.72</v>
      </c>
      <c r="DQ98" s="787">
        <v>-48013.99</v>
      </c>
      <c r="DR98" s="787">
        <v>-15196.96</v>
      </c>
      <c r="DS98" s="787">
        <v>0</v>
      </c>
      <c r="DT98" s="787">
        <v>-80022.73</v>
      </c>
      <c r="DU98" s="787">
        <v>1880.74</v>
      </c>
      <c r="DV98" s="787">
        <v>13458.82</v>
      </c>
      <c r="DW98" s="787">
        <v>-2292.2199999999998</v>
      </c>
      <c r="DX98" s="787">
        <v>0</v>
      </c>
      <c r="DY98" s="787">
        <v>0</v>
      </c>
      <c r="DZ98" s="787">
        <v>-201712.41</v>
      </c>
      <c r="EA98" s="787">
        <v>-0.28000000037718564</v>
      </c>
    </row>
    <row r="99" spans="1:131" ht="15.6">
      <c r="A99" s="782" t="s">
        <v>1391</v>
      </c>
      <c r="B99" s="782" t="s">
        <v>692</v>
      </c>
      <c r="C99" s="783">
        <v>7012</v>
      </c>
      <c r="D99" s="784" t="s">
        <v>693</v>
      </c>
      <c r="E99" s="785" t="s">
        <v>521</v>
      </c>
      <c r="F99" s="786" t="s">
        <v>1310</v>
      </c>
      <c r="G99" s="785" t="s">
        <v>5</v>
      </c>
      <c r="H99" s="785" t="str">
        <f t="shared" si="7"/>
        <v>AX03M</v>
      </c>
      <c r="I99" s="787">
        <v>0</v>
      </c>
      <c r="J99" s="787">
        <v>0</v>
      </c>
      <c r="K99" s="787">
        <v>0</v>
      </c>
      <c r="L99" s="787">
        <v>0</v>
      </c>
      <c r="M99" s="787">
        <v>0</v>
      </c>
      <c r="N99" s="787">
        <v>0</v>
      </c>
      <c r="O99" s="787">
        <v>0</v>
      </c>
      <c r="P99" s="787">
        <v>0</v>
      </c>
      <c r="Q99" s="787">
        <v>197847.55</v>
      </c>
      <c r="R99" s="787">
        <v>0</v>
      </c>
      <c r="S99" s="787">
        <v>0</v>
      </c>
      <c r="T99" s="787">
        <v>0</v>
      </c>
      <c r="U99" s="787">
        <v>0</v>
      </c>
      <c r="V99" s="787">
        <v>0</v>
      </c>
      <c r="W99" s="787">
        <v>0</v>
      </c>
      <c r="X99" s="787">
        <f t="shared" si="8"/>
        <v>197847.55</v>
      </c>
      <c r="Y99" s="787">
        <v>696182.52</v>
      </c>
      <c r="Z99" s="787">
        <v>0</v>
      </c>
      <c r="AA99" s="787">
        <v>657531.99</v>
      </c>
      <c r="AB99" s="787">
        <v>0</v>
      </c>
      <c r="AC99" s="787">
        <v>299955.07</v>
      </c>
      <c r="AD99" s="787">
        <v>0</v>
      </c>
      <c r="AE99" s="787">
        <v>16737.259999999998</v>
      </c>
      <c r="AF99" s="787">
        <v>1261.02</v>
      </c>
      <c r="AG99" s="787">
        <v>21454.05</v>
      </c>
      <c r="AH99" s="787">
        <v>0</v>
      </c>
      <c r="AI99" s="787">
        <v>0</v>
      </c>
      <c r="AJ99" s="787">
        <v>35816.97</v>
      </c>
      <c r="AK99" s="787">
        <v>2762.48</v>
      </c>
      <c r="AL99" s="787">
        <v>302.76</v>
      </c>
      <c r="AM99" s="787">
        <v>5281.68</v>
      </c>
      <c r="AN99" s="787">
        <v>34761.19</v>
      </c>
      <c r="AO99" s="787">
        <v>0</v>
      </c>
      <c r="AP99" s="787">
        <v>76211.59</v>
      </c>
      <c r="AQ99" s="787">
        <v>29044.06</v>
      </c>
      <c r="AR99" s="787">
        <v>0</v>
      </c>
      <c r="AS99" s="787">
        <v>0</v>
      </c>
      <c r="AT99" s="787">
        <v>66803.570000000007</v>
      </c>
      <c r="AU99" s="787">
        <v>0</v>
      </c>
      <c r="AV99" s="787">
        <v>0</v>
      </c>
      <c r="AW99" s="787">
        <v>3861</v>
      </c>
      <c r="AX99" s="787">
        <v>0</v>
      </c>
      <c r="AY99" s="787">
        <v>515</v>
      </c>
      <c r="AZ99" s="787">
        <v>221208.51</v>
      </c>
      <c r="BA99" s="787">
        <v>196</v>
      </c>
      <c r="BB99" s="787">
        <v>0</v>
      </c>
      <c r="BC99" s="787">
        <v>54954.990000000005</v>
      </c>
      <c r="BD99" s="787">
        <v>70465</v>
      </c>
      <c r="BE99" s="787">
        <v>21414.57</v>
      </c>
      <c r="BF99" s="787">
        <v>42521.34</v>
      </c>
      <c r="BG99" s="787">
        <v>0</v>
      </c>
      <c r="BH99" s="787">
        <v>0</v>
      </c>
      <c r="BI99" s="787">
        <v>0</v>
      </c>
      <c r="BJ99" s="787">
        <f t="shared" si="9"/>
        <v>2359242.62</v>
      </c>
      <c r="BK99" s="787"/>
      <c r="BL99" s="787"/>
      <c r="BM99" s="787"/>
      <c r="BN99" s="787">
        <v>0</v>
      </c>
      <c r="BO99" s="787">
        <v>0</v>
      </c>
      <c r="BP99" s="787">
        <v>0</v>
      </c>
      <c r="BQ99" s="787">
        <f t="shared" si="10"/>
        <v>0</v>
      </c>
      <c r="BR99" s="787">
        <v>0</v>
      </c>
      <c r="BS99" s="787">
        <v>0</v>
      </c>
      <c r="BT99" s="787">
        <v>0</v>
      </c>
      <c r="BU99" s="787">
        <v>0</v>
      </c>
      <c r="BV99" s="787">
        <v>0</v>
      </c>
      <c r="BW99" s="787">
        <v>0</v>
      </c>
      <c r="BX99" s="787">
        <v>0</v>
      </c>
      <c r="BY99" s="787">
        <v>0</v>
      </c>
      <c r="BZ99" s="787">
        <f t="shared" si="11"/>
        <v>0</v>
      </c>
      <c r="CA99" s="787"/>
      <c r="CB99" s="787"/>
      <c r="CC99" s="787"/>
      <c r="CD99" s="787">
        <v>0</v>
      </c>
      <c r="CE99" s="787">
        <v>0</v>
      </c>
      <c r="CF99" s="787">
        <f t="shared" si="12"/>
        <v>0</v>
      </c>
      <c r="CG99" s="787">
        <v>0</v>
      </c>
      <c r="CH99" s="787">
        <v>0</v>
      </c>
      <c r="CI99" s="787">
        <f t="shared" si="13"/>
        <v>0</v>
      </c>
      <c r="CJ99" s="787"/>
      <c r="CK99" s="787"/>
      <c r="CL99" s="787"/>
      <c r="CM99" s="787"/>
      <c r="CN99" s="787"/>
      <c r="CO99" s="787"/>
      <c r="CP99" s="787"/>
      <c r="CQ99" s="787"/>
      <c r="CR99" s="787"/>
      <c r="CS99" s="787"/>
      <c r="CT99" s="787"/>
      <c r="CU99" s="787"/>
      <c r="CV99" s="787"/>
      <c r="CW99" s="787"/>
      <c r="CX99" s="787"/>
      <c r="CY99" s="787"/>
      <c r="CZ99" s="787"/>
      <c r="DA99" s="787"/>
      <c r="DB99" s="787"/>
      <c r="DC99" s="787"/>
      <c r="DD99" s="787"/>
      <c r="DE99" s="787"/>
      <c r="DF99" s="787"/>
      <c r="DG99" s="787"/>
      <c r="DH99" s="787"/>
      <c r="DI99" s="787"/>
      <c r="DJ99" s="787"/>
      <c r="DK99" s="787"/>
      <c r="DL99" s="787"/>
      <c r="DM99" s="787"/>
      <c r="DN99" s="787"/>
      <c r="DO99" s="787"/>
      <c r="DP99" s="787"/>
      <c r="DQ99" s="787"/>
      <c r="DR99" s="787"/>
      <c r="DS99" s="787"/>
      <c r="DT99" s="787"/>
      <c r="DU99" s="787"/>
      <c r="DV99" s="787"/>
      <c r="DW99" s="787"/>
      <c r="DX99" s="787"/>
      <c r="DY99" s="787"/>
      <c r="DZ99" s="787"/>
      <c r="EA99" s="787"/>
    </row>
    <row r="100" spans="1:131" ht="15.6">
      <c r="A100" s="782" t="s">
        <v>1392</v>
      </c>
      <c r="B100" s="782" t="s">
        <v>694</v>
      </c>
      <c r="C100" s="783">
        <v>2127</v>
      </c>
      <c r="D100" s="784" t="s">
        <v>695</v>
      </c>
      <c r="E100" s="785" t="s">
        <v>521</v>
      </c>
      <c r="F100" s="786">
        <v>46091</v>
      </c>
      <c r="G100" s="785" t="s">
        <v>5</v>
      </c>
      <c r="H100" s="785" t="str">
        <f t="shared" si="7"/>
        <v>AX0AN</v>
      </c>
      <c r="I100" s="787">
        <v>0</v>
      </c>
      <c r="J100" s="787">
        <v>0</v>
      </c>
      <c r="K100" s="787">
        <v>0</v>
      </c>
      <c r="L100" s="787">
        <v>0</v>
      </c>
      <c r="M100" s="787">
        <v>0</v>
      </c>
      <c r="N100" s="787">
        <v>0</v>
      </c>
      <c r="O100" s="787">
        <v>0</v>
      </c>
      <c r="P100" s="787">
        <v>0</v>
      </c>
      <c r="Q100" s="787">
        <v>14397.37</v>
      </c>
      <c r="R100" s="787">
        <v>0</v>
      </c>
      <c r="S100" s="787">
        <v>0</v>
      </c>
      <c r="T100" s="787">
        <v>0</v>
      </c>
      <c r="U100" s="787">
        <v>4769.6499999999996</v>
      </c>
      <c r="V100" s="787">
        <v>111173.75</v>
      </c>
      <c r="W100" s="787">
        <v>0</v>
      </c>
      <c r="X100" s="787">
        <f t="shared" si="8"/>
        <v>130340.77</v>
      </c>
      <c r="Y100" s="787">
        <v>1536395.57</v>
      </c>
      <c r="Z100" s="787">
        <v>0</v>
      </c>
      <c r="AA100" s="787">
        <v>489986.1</v>
      </c>
      <c r="AB100" s="787">
        <v>0</v>
      </c>
      <c r="AC100" s="787">
        <v>206621.88</v>
      </c>
      <c r="AD100" s="787">
        <v>0</v>
      </c>
      <c r="AE100" s="787">
        <v>93920.25</v>
      </c>
      <c r="AF100" s="787">
        <v>3524.42</v>
      </c>
      <c r="AG100" s="787">
        <v>6083.08</v>
      </c>
      <c r="AH100" s="787">
        <v>0</v>
      </c>
      <c r="AI100" s="787">
        <v>11748.6</v>
      </c>
      <c r="AJ100" s="787">
        <v>405</v>
      </c>
      <c r="AK100" s="787">
        <v>0</v>
      </c>
      <c r="AL100" s="787">
        <v>0</v>
      </c>
      <c r="AM100" s="787">
        <v>30857.96</v>
      </c>
      <c r="AN100" s="787">
        <v>101688.91</v>
      </c>
      <c r="AO100" s="787">
        <v>0</v>
      </c>
      <c r="AP100" s="787">
        <v>6566.86</v>
      </c>
      <c r="AQ100" s="787">
        <v>23860.94</v>
      </c>
      <c r="AR100" s="787">
        <v>0</v>
      </c>
      <c r="AS100" s="787">
        <v>0</v>
      </c>
      <c r="AT100" s="787">
        <v>30951.040000000001</v>
      </c>
      <c r="AU100" s="787">
        <v>0</v>
      </c>
      <c r="AV100" s="787">
        <v>468.49</v>
      </c>
      <c r="AW100" s="787">
        <v>215.82</v>
      </c>
      <c r="AX100" s="787">
        <v>0</v>
      </c>
      <c r="AY100" s="787">
        <v>0</v>
      </c>
      <c r="AZ100" s="787">
        <v>33598.81</v>
      </c>
      <c r="BA100" s="787">
        <v>0</v>
      </c>
      <c r="BB100" s="787">
        <v>2575</v>
      </c>
      <c r="BC100" s="787">
        <v>198546.91</v>
      </c>
      <c r="BD100" s="787">
        <v>271482.49</v>
      </c>
      <c r="BE100" s="787">
        <v>0</v>
      </c>
      <c r="BF100" s="787">
        <v>375468.51</v>
      </c>
      <c r="BG100" s="787">
        <v>0</v>
      </c>
      <c r="BH100" s="787">
        <v>0</v>
      </c>
      <c r="BI100" s="787">
        <v>0</v>
      </c>
      <c r="BJ100" s="787">
        <f t="shared" si="9"/>
        <v>3424966.6399999997</v>
      </c>
      <c r="BK100" s="787"/>
      <c r="BL100" s="787"/>
      <c r="BM100" s="787"/>
      <c r="BN100" s="787">
        <v>0</v>
      </c>
      <c r="BO100" s="787">
        <v>0</v>
      </c>
      <c r="BP100" s="787">
        <v>0</v>
      </c>
      <c r="BQ100" s="787">
        <f t="shared" si="10"/>
        <v>0</v>
      </c>
      <c r="BR100" s="787">
        <v>0</v>
      </c>
      <c r="BS100" s="787">
        <v>0</v>
      </c>
      <c r="BT100" s="787">
        <v>0</v>
      </c>
      <c r="BU100" s="787">
        <v>0</v>
      </c>
      <c r="BV100" s="787">
        <v>0</v>
      </c>
      <c r="BW100" s="787">
        <v>0</v>
      </c>
      <c r="BX100" s="787">
        <v>0</v>
      </c>
      <c r="BY100" s="787">
        <v>0</v>
      </c>
      <c r="BZ100" s="787">
        <f t="shared" si="11"/>
        <v>0</v>
      </c>
      <c r="CA100" s="787"/>
      <c r="CB100" s="787"/>
      <c r="CC100" s="787"/>
      <c r="CD100" s="787">
        <v>0</v>
      </c>
      <c r="CE100" s="787">
        <v>0</v>
      </c>
      <c r="CF100" s="787">
        <f t="shared" si="12"/>
        <v>0</v>
      </c>
      <c r="CG100" s="787">
        <v>0</v>
      </c>
      <c r="CH100" s="787">
        <v>0</v>
      </c>
      <c r="CI100" s="787">
        <f t="shared" si="13"/>
        <v>0</v>
      </c>
      <c r="CJ100" s="787"/>
      <c r="CK100" s="787"/>
      <c r="CL100" s="787"/>
      <c r="CM100" s="787"/>
      <c r="CN100" s="787"/>
      <c r="CO100" s="787"/>
      <c r="CP100" s="787"/>
      <c r="CQ100" s="787"/>
      <c r="CR100" s="787"/>
      <c r="CS100" s="787">
        <v>1064240.3700000001</v>
      </c>
      <c r="CT100" s="787">
        <v>115855.5</v>
      </c>
      <c r="CU100" s="787">
        <v>0</v>
      </c>
      <c r="CV100" s="787">
        <v>948384.87000000011</v>
      </c>
      <c r="CW100" s="787">
        <v>0</v>
      </c>
      <c r="CX100" s="787">
        <v>2683.51</v>
      </c>
      <c r="CY100" s="787">
        <v>12437.25</v>
      </c>
      <c r="CZ100" s="787">
        <v>0</v>
      </c>
      <c r="DA100" s="787">
        <v>0</v>
      </c>
      <c r="DB100" s="787">
        <v>963505.63000000012</v>
      </c>
      <c r="DC100" s="787">
        <v>1222.72</v>
      </c>
      <c r="DD100" s="787">
        <v>0</v>
      </c>
      <c r="DE100" s="787">
        <v>0</v>
      </c>
      <c r="DF100" s="787">
        <v>1222.72</v>
      </c>
      <c r="DG100" s="787"/>
      <c r="DH100" s="787"/>
      <c r="DI100" s="787"/>
      <c r="DJ100" s="787">
        <v>0</v>
      </c>
      <c r="DK100" s="787">
        <v>1222.72</v>
      </c>
      <c r="DL100" s="787">
        <v>0</v>
      </c>
      <c r="DM100" s="787">
        <v>0</v>
      </c>
      <c r="DN100" s="787">
        <v>0</v>
      </c>
      <c r="DO100" s="787">
        <v>0</v>
      </c>
      <c r="DP100" s="787">
        <v>-68743</v>
      </c>
      <c r="DQ100" s="787">
        <v>0</v>
      </c>
      <c r="DR100" s="787">
        <v>0</v>
      </c>
      <c r="DS100" s="787">
        <v>0</v>
      </c>
      <c r="DT100" s="787">
        <v>-68743</v>
      </c>
      <c r="DU100" s="787">
        <v>0</v>
      </c>
      <c r="DV100" s="787">
        <v>0</v>
      </c>
      <c r="DW100" s="787">
        <v>0</v>
      </c>
      <c r="DX100" s="787">
        <v>0</v>
      </c>
      <c r="DY100" s="787">
        <v>0</v>
      </c>
      <c r="DZ100" s="787">
        <v>-241377.37</v>
      </c>
      <c r="EA100" s="787">
        <v>-7.2651696507818997E-2</v>
      </c>
    </row>
    <row r="101" spans="1:131" ht="15.6">
      <c r="A101" s="782" t="s">
        <v>1393</v>
      </c>
      <c r="B101" s="782" t="s">
        <v>696</v>
      </c>
      <c r="C101" s="783">
        <v>2129</v>
      </c>
      <c r="D101" s="784" t="s">
        <v>697</v>
      </c>
      <c r="E101" s="785" t="s">
        <v>521</v>
      </c>
      <c r="F101" s="786">
        <v>46094</v>
      </c>
      <c r="G101" s="785" t="s">
        <v>5</v>
      </c>
      <c r="H101" s="785" t="str">
        <f t="shared" si="7"/>
        <v>AX03N</v>
      </c>
      <c r="I101" s="787">
        <v>0</v>
      </c>
      <c r="J101" s="787">
        <v>0</v>
      </c>
      <c r="K101" s="787">
        <v>0</v>
      </c>
      <c r="L101" s="787">
        <v>0</v>
      </c>
      <c r="M101" s="787">
        <v>0</v>
      </c>
      <c r="N101" s="787">
        <v>0</v>
      </c>
      <c r="O101" s="787">
        <v>0</v>
      </c>
      <c r="P101" s="787">
        <v>0</v>
      </c>
      <c r="Q101" s="787">
        <v>49278.400000000001</v>
      </c>
      <c r="R101" s="787">
        <v>0</v>
      </c>
      <c r="S101" s="787">
        <v>0</v>
      </c>
      <c r="T101" s="787">
        <v>0</v>
      </c>
      <c r="U101" s="787">
        <v>7598.22</v>
      </c>
      <c r="V101" s="787">
        <v>2617.7199999999998</v>
      </c>
      <c r="W101" s="787">
        <v>0</v>
      </c>
      <c r="X101" s="787">
        <f t="shared" si="8"/>
        <v>59494.340000000004</v>
      </c>
      <c r="Y101" s="787">
        <v>990577.67</v>
      </c>
      <c r="Z101" s="787">
        <v>0</v>
      </c>
      <c r="AA101" s="787">
        <v>191276.61</v>
      </c>
      <c r="AB101" s="787">
        <v>70518.320000000007</v>
      </c>
      <c r="AC101" s="787">
        <v>161304.85999999999</v>
      </c>
      <c r="AD101" s="787">
        <v>0</v>
      </c>
      <c r="AE101" s="787">
        <v>52474.77</v>
      </c>
      <c r="AF101" s="787">
        <v>9049.09</v>
      </c>
      <c r="AG101" s="787">
        <v>5245.53</v>
      </c>
      <c r="AH101" s="787">
        <v>0</v>
      </c>
      <c r="AI101" s="787">
        <v>0</v>
      </c>
      <c r="AJ101" s="787">
        <v>10843.28</v>
      </c>
      <c r="AK101" s="787">
        <v>4033.29</v>
      </c>
      <c r="AL101" s="787">
        <v>15488.31</v>
      </c>
      <c r="AM101" s="787">
        <v>2899.28</v>
      </c>
      <c r="AN101" s="787">
        <v>73901.709999999992</v>
      </c>
      <c r="AO101" s="787">
        <v>0</v>
      </c>
      <c r="AP101" s="787">
        <v>10578.81</v>
      </c>
      <c r="AQ101" s="787">
        <v>33016.400000000001</v>
      </c>
      <c r="AR101" s="787">
        <v>2491.16</v>
      </c>
      <c r="AS101" s="787">
        <v>0</v>
      </c>
      <c r="AT101" s="787">
        <v>2823.1</v>
      </c>
      <c r="AU101" s="787">
        <v>0</v>
      </c>
      <c r="AV101" s="787">
        <v>0</v>
      </c>
      <c r="AW101" s="787">
        <v>0</v>
      </c>
      <c r="AX101" s="787">
        <v>670.48</v>
      </c>
      <c r="AY101" s="787">
        <v>0</v>
      </c>
      <c r="AZ101" s="787">
        <v>18591.03</v>
      </c>
      <c r="BA101" s="787">
        <v>0</v>
      </c>
      <c r="BB101" s="787">
        <v>0</v>
      </c>
      <c r="BC101" s="787">
        <v>81525</v>
      </c>
      <c r="BD101" s="787">
        <v>209864.68</v>
      </c>
      <c r="BE101" s="787">
        <v>8889.8299999999981</v>
      </c>
      <c r="BF101" s="787">
        <v>72254.86</v>
      </c>
      <c r="BG101" s="787">
        <v>0</v>
      </c>
      <c r="BH101" s="787">
        <v>0</v>
      </c>
      <c r="BI101" s="787">
        <v>0</v>
      </c>
      <c r="BJ101" s="787">
        <f t="shared" si="9"/>
        <v>2028318.0700000003</v>
      </c>
      <c r="BK101" s="787"/>
      <c r="BL101" s="787"/>
      <c r="BM101" s="787"/>
      <c r="BN101" s="787">
        <v>0</v>
      </c>
      <c r="BO101" s="787">
        <v>0</v>
      </c>
      <c r="BP101" s="787">
        <v>0</v>
      </c>
      <c r="BQ101" s="787">
        <f t="shared" si="10"/>
        <v>0</v>
      </c>
      <c r="BR101" s="787">
        <v>0</v>
      </c>
      <c r="BS101" s="787">
        <v>3562.19</v>
      </c>
      <c r="BT101" s="787">
        <v>0</v>
      </c>
      <c r="BU101" s="787">
        <v>0</v>
      </c>
      <c r="BV101" s="787">
        <v>0</v>
      </c>
      <c r="BW101" s="787">
        <v>0</v>
      </c>
      <c r="BX101" s="787">
        <v>0</v>
      </c>
      <c r="BY101" s="787">
        <v>0</v>
      </c>
      <c r="BZ101" s="787">
        <f t="shared" si="11"/>
        <v>3562.19</v>
      </c>
      <c r="CA101" s="787"/>
      <c r="CB101" s="787"/>
      <c r="CC101" s="787"/>
      <c r="CD101" s="787">
        <v>0</v>
      </c>
      <c r="CE101" s="787">
        <v>0</v>
      </c>
      <c r="CF101" s="787">
        <f t="shared" si="12"/>
        <v>0</v>
      </c>
      <c r="CG101" s="787">
        <v>0</v>
      </c>
      <c r="CH101" s="787">
        <v>0</v>
      </c>
      <c r="CI101" s="787">
        <f t="shared" si="13"/>
        <v>0</v>
      </c>
      <c r="CJ101" s="787"/>
      <c r="CK101" s="787"/>
      <c r="CL101" s="787"/>
      <c r="CM101" s="787"/>
      <c r="CN101" s="787"/>
      <c r="CO101" s="787"/>
      <c r="CP101" s="787"/>
      <c r="CQ101" s="787"/>
      <c r="CR101" s="787"/>
      <c r="CS101" s="787"/>
      <c r="CT101" s="787"/>
      <c r="CU101" s="787"/>
      <c r="CV101" s="787"/>
      <c r="CW101" s="787"/>
      <c r="CX101" s="787"/>
      <c r="CY101" s="787"/>
      <c r="CZ101" s="787"/>
      <c r="DA101" s="787"/>
      <c r="DB101" s="787"/>
      <c r="DC101" s="787"/>
      <c r="DD101" s="787"/>
      <c r="DE101" s="787"/>
      <c r="DF101" s="787"/>
      <c r="DG101" s="787"/>
      <c r="DH101" s="787"/>
      <c r="DI101" s="787"/>
      <c r="DJ101" s="787"/>
      <c r="DK101" s="787"/>
      <c r="DL101" s="787"/>
      <c r="DM101" s="787"/>
      <c r="DN101" s="787"/>
      <c r="DO101" s="787"/>
      <c r="DP101" s="787"/>
      <c r="DQ101" s="787"/>
      <c r="DR101" s="787"/>
      <c r="DS101" s="787"/>
      <c r="DT101" s="787"/>
      <c r="DU101" s="787"/>
      <c r="DV101" s="787"/>
      <c r="DW101" s="787"/>
      <c r="DX101" s="787"/>
      <c r="DY101" s="787"/>
      <c r="DZ101" s="787"/>
      <c r="EA101" s="787"/>
    </row>
    <row r="102" spans="1:131" ht="15.6">
      <c r="A102" s="782" t="s">
        <v>1394</v>
      </c>
      <c r="B102" s="782" t="s">
        <v>698</v>
      </c>
      <c r="C102" s="783">
        <v>2128</v>
      </c>
      <c r="D102" s="784" t="s">
        <v>699</v>
      </c>
      <c r="E102" s="785" t="s">
        <v>521</v>
      </c>
      <c r="F102" s="786">
        <v>46094</v>
      </c>
      <c r="G102" s="785" t="s">
        <v>5</v>
      </c>
      <c r="H102" s="785" t="str">
        <f t="shared" si="7"/>
        <v>AX03P</v>
      </c>
      <c r="I102" s="787">
        <v>0</v>
      </c>
      <c r="J102" s="787">
        <v>0</v>
      </c>
      <c r="K102" s="787">
        <v>1</v>
      </c>
      <c r="L102" s="787">
        <v>0</v>
      </c>
      <c r="M102" s="787">
        <v>0</v>
      </c>
      <c r="N102" s="787">
        <v>0</v>
      </c>
      <c r="O102" s="787">
        <v>0</v>
      </c>
      <c r="P102" s="787">
        <v>0</v>
      </c>
      <c r="Q102" s="787">
        <v>113879.27</v>
      </c>
      <c r="R102" s="787">
        <v>38885.14</v>
      </c>
      <c r="S102" s="787">
        <v>0</v>
      </c>
      <c r="T102" s="787">
        <v>0</v>
      </c>
      <c r="U102" s="787">
        <v>23291.86</v>
      </c>
      <c r="V102" s="787">
        <v>4676.8100000000004</v>
      </c>
      <c r="W102" s="787">
        <v>0</v>
      </c>
      <c r="X102" s="787">
        <f t="shared" si="8"/>
        <v>180734.08000000002</v>
      </c>
      <c r="Y102" s="787">
        <v>1303368.32</v>
      </c>
      <c r="Z102" s="787">
        <v>0</v>
      </c>
      <c r="AA102" s="787">
        <v>226615.03</v>
      </c>
      <c r="AB102" s="787">
        <v>28396.85</v>
      </c>
      <c r="AC102" s="787">
        <v>130773.79</v>
      </c>
      <c r="AD102" s="787">
        <v>151066.43</v>
      </c>
      <c r="AE102" s="787">
        <v>42894.73</v>
      </c>
      <c r="AF102" s="787">
        <v>6194.41</v>
      </c>
      <c r="AG102" s="787">
        <v>6725.96</v>
      </c>
      <c r="AH102" s="787">
        <v>0</v>
      </c>
      <c r="AI102" s="787">
        <v>0</v>
      </c>
      <c r="AJ102" s="787">
        <v>32963.99</v>
      </c>
      <c r="AK102" s="787">
        <v>8499.75</v>
      </c>
      <c r="AL102" s="787">
        <v>30166.89</v>
      </c>
      <c r="AM102" s="787">
        <v>5847.81</v>
      </c>
      <c r="AN102" s="787">
        <v>69828.010000000009</v>
      </c>
      <c r="AO102" s="787">
        <v>3132.0600000000013</v>
      </c>
      <c r="AP102" s="787">
        <v>18723.230000000003</v>
      </c>
      <c r="AQ102" s="787">
        <v>89633.43</v>
      </c>
      <c r="AR102" s="787">
        <v>0</v>
      </c>
      <c r="AS102" s="787">
        <v>0</v>
      </c>
      <c r="AT102" s="787">
        <v>19734.310000000001</v>
      </c>
      <c r="AU102" s="787">
        <v>0</v>
      </c>
      <c r="AV102" s="787">
        <v>0</v>
      </c>
      <c r="AW102" s="787">
        <v>2684.71</v>
      </c>
      <c r="AX102" s="787">
        <v>300</v>
      </c>
      <c r="AY102" s="787">
        <v>0</v>
      </c>
      <c r="AZ102" s="787">
        <v>48388.43</v>
      </c>
      <c r="BA102" s="787">
        <v>650</v>
      </c>
      <c r="BB102" s="787">
        <v>8473</v>
      </c>
      <c r="BC102" s="787">
        <v>82437.710000000006</v>
      </c>
      <c r="BD102" s="787">
        <v>33831.9</v>
      </c>
      <c r="BE102" s="787">
        <v>48020.67</v>
      </c>
      <c r="BF102" s="787">
        <v>183443.97</v>
      </c>
      <c r="BG102" s="787">
        <v>0</v>
      </c>
      <c r="BH102" s="787">
        <v>0</v>
      </c>
      <c r="BI102" s="787">
        <v>0</v>
      </c>
      <c r="BJ102" s="787">
        <f t="shared" si="9"/>
        <v>2582795.39</v>
      </c>
      <c r="BK102" s="787"/>
      <c r="BL102" s="787"/>
      <c r="BM102" s="787"/>
      <c r="BN102" s="787">
        <v>0</v>
      </c>
      <c r="BO102" s="787">
        <v>0</v>
      </c>
      <c r="BP102" s="787">
        <v>0</v>
      </c>
      <c r="BQ102" s="787">
        <f t="shared" si="10"/>
        <v>0</v>
      </c>
      <c r="BR102" s="787">
        <v>0</v>
      </c>
      <c r="BS102" s="787">
        <v>8095.87</v>
      </c>
      <c r="BT102" s="787">
        <v>0</v>
      </c>
      <c r="BU102" s="787">
        <v>0</v>
      </c>
      <c r="BV102" s="787">
        <v>0</v>
      </c>
      <c r="BW102" s="787">
        <v>11235.99</v>
      </c>
      <c r="BX102" s="787">
        <v>16584.88</v>
      </c>
      <c r="BY102" s="787">
        <v>0</v>
      </c>
      <c r="BZ102" s="787">
        <f t="shared" si="11"/>
        <v>35916.740000000005</v>
      </c>
      <c r="CA102" s="787"/>
      <c r="CB102" s="787"/>
      <c r="CC102" s="787"/>
      <c r="CD102" s="787">
        <v>0</v>
      </c>
      <c r="CE102" s="787">
        <v>0</v>
      </c>
      <c r="CF102" s="787">
        <f t="shared" si="12"/>
        <v>0</v>
      </c>
      <c r="CG102" s="787">
        <v>0</v>
      </c>
      <c r="CH102" s="787">
        <v>0</v>
      </c>
      <c r="CI102" s="787">
        <f t="shared" si="13"/>
        <v>0</v>
      </c>
      <c r="CJ102" s="787"/>
      <c r="CK102" s="787"/>
      <c r="CL102" s="787"/>
      <c r="CM102" s="787"/>
      <c r="CN102" s="787"/>
      <c r="CO102" s="787"/>
      <c r="CP102" s="787"/>
      <c r="CQ102" s="787"/>
      <c r="CR102" s="787"/>
      <c r="CS102" s="787"/>
      <c r="CT102" s="787"/>
      <c r="CU102" s="787"/>
      <c r="CV102" s="787"/>
      <c r="CW102" s="787"/>
      <c r="CX102" s="787"/>
      <c r="CY102" s="787"/>
      <c r="CZ102" s="787"/>
      <c r="DA102" s="787"/>
      <c r="DB102" s="787"/>
      <c r="DC102" s="787"/>
      <c r="DD102" s="787"/>
      <c r="DE102" s="787"/>
      <c r="DF102" s="787"/>
      <c r="DG102" s="787"/>
      <c r="DH102" s="787"/>
      <c r="DI102" s="787"/>
      <c r="DJ102" s="787"/>
      <c r="DK102" s="787"/>
      <c r="DL102" s="787"/>
      <c r="DM102" s="787"/>
      <c r="DN102" s="787"/>
      <c r="DO102" s="787"/>
      <c r="DP102" s="787"/>
      <c r="DQ102" s="787"/>
      <c r="DR102" s="787"/>
      <c r="DS102" s="787"/>
      <c r="DT102" s="787"/>
      <c r="DU102" s="787"/>
      <c r="DV102" s="787"/>
      <c r="DW102" s="787"/>
      <c r="DX102" s="787"/>
      <c r="DY102" s="787"/>
      <c r="DZ102" s="787"/>
      <c r="EA102" s="787"/>
    </row>
    <row r="103" spans="1:131" ht="15.6">
      <c r="A103" s="782" t="s">
        <v>1395</v>
      </c>
      <c r="B103" s="782" t="s">
        <v>700</v>
      </c>
      <c r="C103" s="783">
        <v>2420</v>
      </c>
      <c r="D103" s="784" t="s">
        <v>701</v>
      </c>
      <c r="E103" s="785" t="s">
        <v>521</v>
      </c>
      <c r="F103" s="786">
        <v>46093</v>
      </c>
      <c r="G103" s="785" t="s">
        <v>5</v>
      </c>
      <c r="H103" s="785" t="str">
        <f t="shared" si="7"/>
        <v>AX03Q</v>
      </c>
      <c r="I103" s="787">
        <v>0</v>
      </c>
      <c r="J103" s="787">
        <v>0</v>
      </c>
      <c r="K103" s="787">
        <v>0</v>
      </c>
      <c r="L103" s="787">
        <v>0</v>
      </c>
      <c r="M103" s="787">
        <v>7740</v>
      </c>
      <c r="N103" s="787">
        <v>0</v>
      </c>
      <c r="O103" s="787">
        <v>1417.16</v>
      </c>
      <c r="P103" s="787">
        <v>5250</v>
      </c>
      <c r="Q103" s="787">
        <v>260623.96999999997</v>
      </c>
      <c r="R103" s="787">
        <v>14378.060000000001</v>
      </c>
      <c r="S103" s="787">
        <v>0</v>
      </c>
      <c r="T103" s="787">
        <v>0</v>
      </c>
      <c r="U103" s="787">
        <v>53058.479999999996</v>
      </c>
      <c r="V103" s="787">
        <v>21899.73</v>
      </c>
      <c r="W103" s="787">
        <v>0</v>
      </c>
      <c r="X103" s="787">
        <f t="shared" si="8"/>
        <v>364367.39999999991</v>
      </c>
      <c r="Y103" s="787">
        <v>1259856.19</v>
      </c>
      <c r="Z103" s="787">
        <v>0</v>
      </c>
      <c r="AA103" s="787">
        <v>523540.84</v>
      </c>
      <c r="AB103" s="787">
        <v>46295.79</v>
      </c>
      <c r="AC103" s="787">
        <v>132812.38</v>
      </c>
      <c r="AD103" s="787">
        <v>0</v>
      </c>
      <c r="AE103" s="787">
        <v>196536.83000000002</v>
      </c>
      <c r="AF103" s="787">
        <v>16215.050000000001</v>
      </c>
      <c r="AG103" s="787">
        <v>11489.52</v>
      </c>
      <c r="AH103" s="787">
        <v>0</v>
      </c>
      <c r="AI103" s="787">
        <v>0</v>
      </c>
      <c r="AJ103" s="787">
        <v>26162.550000000003</v>
      </c>
      <c r="AK103" s="787">
        <v>5572.88</v>
      </c>
      <c r="AL103" s="787">
        <v>62646.559999999998</v>
      </c>
      <c r="AM103" s="787">
        <v>8879.23</v>
      </c>
      <c r="AN103" s="787">
        <v>42373.17</v>
      </c>
      <c r="AO103" s="787">
        <v>0</v>
      </c>
      <c r="AP103" s="787">
        <v>13007.34</v>
      </c>
      <c r="AQ103" s="787">
        <v>102768.33</v>
      </c>
      <c r="AR103" s="787">
        <v>0</v>
      </c>
      <c r="AS103" s="787">
        <v>0</v>
      </c>
      <c r="AT103" s="787">
        <v>2546.7399999999998</v>
      </c>
      <c r="AU103" s="787">
        <v>5993.61</v>
      </c>
      <c r="AV103" s="787">
        <v>1169.6199999999999</v>
      </c>
      <c r="AW103" s="787">
        <v>1255.42</v>
      </c>
      <c r="AX103" s="787">
        <v>17591.79</v>
      </c>
      <c r="AY103" s="787">
        <v>0</v>
      </c>
      <c r="AZ103" s="787">
        <v>64600.63</v>
      </c>
      <c r="BA103" s="787">
        <v>277.20000000000073</v>
      </c>
      <c r="BB103" s="787">
        <v>18632.66</v>
      </c>
      <c r="BC103" s="787">
        <v>99510.78</v>
      </c>
      <c r="BD103" s="787">
        <v>99563.38</v>
      </c>
      <c r="BE103" s="787">
        <v>29043.14</v>
      </c>
      <c r="BF103" s="787">
        <v>35926.959999999999</v>
      </c>
      <c r="BG103" s="787">
        <v>0</v>
      </c>
      <c r="BH103" s="787">
        <v>0</v>
      </c>
      <c r="BI103" s="787">
        <v>0</v>
      </c>
      <c r="BJ103" s="787">
        <f t="shared" si="9"/>
        <v>2824268.59</v>
      </c>
      <c r="BK103" s="787"/>
      <c r="BL103" s="787"/>
      <c r="BM103" s="787"/>
      <c r="BN103" s="787">
        <v>0</v>
      </c>
      <c r="BO103" s="787">
        <v>0</v>
      </c>
      <c r="BP103" s="787">
        <v>0</v>
      </c>
      <c r="BQ103" s="787">
        <f t="shared" si="10"/>
        <v>0</v>
      </c>
      <c r="BR103" s="787">
        <v>0</v>
      </c>
      <c r="BS103" s="787">
        <v>5900</v>
      </c>
      <c r="BT103" s="787">
        <v>575.96</v>
      </c>
      <c r="BU103" s="787">
        <v>0</v>
      </c>
      <c r="BV103" s="787">
        <v>0</v>
      </c>
      <c r="BW103" s="787">
        <v>0</v>
      </c>
      <c r="BX103" s="787">
        <v>5052.29</v>
      </c>
      <c r="BY103" s="787">
        <v>0</v>
      </c>
      <c r="BZ103" s="787">
        <f t="shared" si="11"/>
        <v>11528.25</v>
      </c>
      <c r="CA103" s="787"/>
      <c r="CB103" s="787"/>
      <c r="CC103" s="787"/>
      <c r="CD103" s="787">
        <v>0</v>
      </c>
      <c r="CE103" s="787">
        <v>0</v>
      </c>
      <c r="CF103" s="787">
        <f t="shared" si="12"/>
        <v>0</v>
      </c>
      <c r="CG103" s="787">
        <v>0</v>
      </c>
      <c r="CH103" s="787">
        <v>0</v>
      </c>
      <c r="CI103" s="787">
        <f t="shared" si="13"/>
        <v>0</v>
      </c>
      <c r="CJ103" s="787"/>
      <c r="CK103" s="787"/>
      <c r="CL103" s="787"/>
      <c r="CM103" s="787"/>
      <c r="CN103" s="787"/>
      <c r="CO103" s="787"/>
      <c r="CP103" s="787"/>
      <c r="CQ103" s="787"/>
      <c r="CR103" s="787"/>
      <c r="CS103" s="787">
        <v>490723.94</v>
      </c>
      <c r="CT103" s="787">
        <v>13371.73</v>
      </c>
      <c r="CU103" s="787">
        <v>0</v>
      </c>
      <c r="CV103" s="787">
        <v>477352.21</v>
      </c>
      <c r="CW103" s="787">
        <v>0</v>
      </c>
      <c r="CX103" s="787">
        <v>8398.52</v>
      </c>
      <c r="CY103" s="787">
        <v>8213.58</v>
      </c>
      <c r="CZ103" s="787">
        <v>0</v>
      </c>
      <c r="DA103" s="787">
        <v>0</v>
      </c>
      <c r="DB103" s="787">
        <v>493964.31000000006</v>
      </c>
      <c r="DC103" s="787">
        <v>0</v>
      </c>
      <c r="DD103" s="787">
        <v>0</v>
      </c>
      <c r="DE103" s="787">
        <v>0</v>
      </c>
      <c r="DF103" s="787">
        <v>0</v>
      </c>
      <c r="DG103" s="787"/>
      <c r="DH103" s="787"/>
      <c r="DI103" s="787"/>
      <c r="DJ103" s="787">
        <v>0</v>
      </c>
      <c r="DK103" s="787">
        <v>0</v>
      </c>
      <c r="DL103" s="787">
        <v>5554.47</v>
      </c>
      <c r="DM103" s="787">
        <v>0</v>
      </c>
      <c r="DN103" s="787">
        <v>3600</v>
      </c>
      <c r="DO103" s="787">
        <v>0</v>
      </c>
      <c r="DP103" s="787">
        <v>-242941.4</v>
      </c>
      <c r="DQ103" s="787">
        <v>0</v>
      </c>
      <c r="DR103" s="787">
        <v>0</v>
      </c>
      <c r="DS103" s="787">
        <v>0</v>
      </c>
      <c r="DT103" s="787">
        <v>-233786.93</v>
      </c>
      <c r="DU103" s="787">
        <v>0</v>
      </c>
      <c r="DV103" s="787">
        <v>8143.19</v>
      </c>
      <c r="DW103" s="787">
        <v>0</v>
      </c>
      <c r="DX103" s="787">
        <v>0</v>
      </c>
      <c r="DY103" s="787">
        <v>0</v>
      </c>
      <c r="DZ103" s="787">
        <v>0</v>
      </c>
      <c r="EA103" s="787">
        <v>0.34666666737757623</v>
      </c>
    </row>
    <row r="104" spans="1:131" ht="15.6">
      <c r="A104" s="782" t="s">
        <v>1396</v>
      </c>
      <c r="B104" s="782" t="s">
        <v>902</v>
      </c>
      <c r="C104" s="783">
        <v>2004</v>
      </c>
      <c r="D104" s="784" t="s">
        <v>903</v>
      </c>
      <c r="E104" s="785" t="s">
        <v>521</v>
      </c>
      <c r="F104" s="786">
        <v>46091</v>
      </c>
      <c r="G104" s="785" t="s">
        <v>5</v>
      </c>
      <c r="H104" s="785" t="str">
        <f t="shared" si="7"/>
        <v>AX03R</v>
      </c>
      <c r="I104" s="787">
        <v>0</v>
      </c>
      <c r="J104" s="787">
        <v>0</v>
      </c>
      <c r="K104" s="787">
        <v>0</v>
      </c>
      <c r="L104" s="787">
        <v>0</v>
      </c>
      <c r="M104" s="787">
        <v>4000</v>
      </c>
      <c r="N104" s="787">
        <v>0</v>
      </c>
      <c r="O104" s="787">
        <v>0</v>
      </c>
      <c r="P104" s="787">
        <v>8289.99</v>
      </c>
      <c r="Q104" s="787">
        <v>63182.580000000009</v>
      </c>
      <c r="R104" s="787">
        <v>13652.79</v>
      </c>
      <c r="S104" s="787">
        <v>0</v>
      </c>
      <c r="T104" s="787">
        <v>0</v>
      </c>
      <c r="U104" s="787">
        <v>0</v>
      </c>
      <c r="V104" s="787">
        <v>2815.29</v>
      </c>
      <c r="W104" s="787">
        <v>0</v>
      </c>
      <c r="X104" s="787">
        <f t="shared" si="8"/>
        <v>91940.650000000009</v>
      </c>
      <c r="Y104" s="787">
        <v>1012285.95</v>
      </c>
      <c r="Z104" s="787">
        <v>0</v>
      </c>
      <c r="AA104" s="787">
        <v>268688.19</v>
      </c>
      <c r="AB104" s="787">
        <v>56292.49</v>
      </c>
      <c r="AC104" s="787">
        <v>114527.28</v>
      </c>
      <c r="AD104" s="787">
        <v>0</v>
      </c>
      <c r="AE104" s="787">
        <v>103403.37</v>
      </c>
      <c r="AF104" s="787">
        <v>5123.21</v>
      </c>
      <c r="AG104" s="787">
        <v>3919.5</v>
      </c>
      <c r="AH104" s="787">
        <v>0</v>
      </c>
      <c r="AI104" s="787">
        <v>0</v>
      </c>
      <c r="AJ104" s="787">
        <v>3789.41</v>
      </c>
      <c r="AK104" s="787">
        <v>11000</v>
      </c>
      <c r="AL104" s="787">
        <v>81913.009999999995</v>
      </c>
      <c r="AM104" s="787">
        <v>8288.93</v>
      </c>
      <c r="AN104" s="787">
        <v>61260.32</v>
      </c>
      <c r="AO104" s="787">
        <v>0</v>
      </c>
      <c r="AP104" s="787">
        <v>13632.26</v>
      </c>
      <c r="AQ104" s="787">
        <v>32337.81</v>
      </c>
      <c r="AR104" s="787">
        <v>4268.2700000000004</v>
      </c>
      <c r="AS104" s="787">
        <v>0</v>
      </c>
      <c r="AT104" s="787">
        <v>0</v>
      </c>
      <c r="AU104" s="787">
        <v>21870.720000000001</v>
      </c>
      <c r="AV104" s="787">
        <v>0</v>
      </c>
      <c r="AW104" s="787">
        <v>0</v>
      </c>
      <c r="AX104" s="787">
        <v>8010</v>
      </c>
      <c r="AY104" s="787">
        <v>0</v>
      </c>
      <c r="AZ104" s="787">
        <v>5285.32</v>
      </c>
      <c r="BA104" s="787">
        <v>289.82999999999993</v>
      </c>
      <c r="BB104" s="787">
        <v>20778</v>
      </c>
      <c r="BC104" s="787">
        <v>136398.79</v>
      </c>
      <c r="BD104" s="787">
        <v>118333.32</v>
      </c>
      <c r="BE104" s="787">
        <v>4719.46</v>
      </c>
      <c r="BF104" s="787">
        <v>38407.42</v>
      </c>
      <c r="BG104" s="787">
        <v>0</v>
      </c>
      <c r="BH104" s="787">
        <v>0</v>
      </c>
      <c r="BI104" s="787">
        <v>0</v>
      </c>
      <c r="BJ104" s="787">
        <f t="shared" si="9"/>
        <v>2134822.86</v>
      </c>
      <c r="BK104" s="787"/>
      <c r="BL104" s="787"/>
      <c r="BM104" s="787"/>
      <c r="BN104" s="787">
        <v>0</v>
      </c>
      <c r="BO104" s="787">
        <v>0</v>
      </c>
      <c r="BP104" s="787">
        <v>0</v>
      </c>
      <c r="BQ104" s="787">
        <f t="shared" si="10"/>
        <v>0</v>
      </c>
      <c r="BR104" s="787">
        <v>0</v>
      </c>
      <c r="BS104" s="787">
        <v>19618.89</v>
      </c>
      <c r="BT104" s="787">
        <v>1608.8</v>
      </c>
      <c r="BU104" s="787">
        <v>0</v>
      </c>
      <c r="BV104" s="787">
        <v>0</v>
      </c>
      <c r="BW104" s="787">
        <v>0</v>
      </c>
      <c r="BX104" s="787">
        <v>3554</v>
      </c>
      <c r="BY104" s="787">
        <v>3244</v>
      </c>
      <c r="BZ104" s="787">
        <f t="shared" si="11"/>
        <v>28025.69</v>
      </c>
      <c r="CA104" s="787"/>
      <c r="CB104" s="787"/>
      <c r="CC104" s="787"/>
      <c r="CD104" s="787">
        <v>0</v>
      </c>
      <c r="CE104" s="787">
        <v>0</v>
      </c>
      <c r="CF104" s="787">
        <f t="shared" si="12"/>
        <v>0</v>
      </c>
      <c r="CG104" s="787">
        <v>0</v>
      </c>
      <c r="CH104" s="787">
        <v>0</v>
      </c>
      <c r="CI104" s="787">
        <f t="shared" si="13"/>
        <v>0</v>
      </c>
      <c r="CJ104" s="787"/>
      <c r="CK104" s="787"/>
      <c r="CL104" s="787"/>
      <c r="CM104" s="787"/>
      <c r="CN104" s="787"/>
      <c r="CO104" s="787"/>
      <c r="CP104" s="787"/>
      <c r="CQ104" s="787"/>
      <c r="CR104" s="787"/>
      <c r="CS104" s="787">
        <v>270524.76</v>
      </c>
      <c r="CT104" s="787">
        <v>0</v>
      </c>
      <c r="CU104" s="787">
        <v>0</v>
      </c>
      <c r="CV104" s="787">
        <v>270524.76</v>
      </c>
      <c r="CW104" s="787">
        <v>0</v>
      </c>
      <c r="CX104" s="787">
        <v>10047.01</v>
      </c>
      <c r="CY104" s="787">
        <v>3234.51</v>
      </c>
      <c r="CZ104" s="787">
        <v>0</v>
      </c>
      <c r="DA104" s="787">
        <v>0</v>
      </c>
      <c r="DB104" s="787">
        <v>283806.28000000003</v>
      </c>
      <c r="DC104" s="787">
        <v>0</v>
      </c>
      <c r="DD104" s="787">
        <v>0</v>
      </c>
      <c r="DE104" s="787">
        <v>0</v>
      </c>
      <c r="DF104" s="787">
        <v>0</v>
      </c>
      <c r="DG104" s="787"/>
      <c r="DH104" s="787"/>
      <c r="DI104" s="787"/>
      <c r="DJ104" s="787">
        <v>0</v>
      </c>
      <c r="DK104" s="787">
        <v>0</v>
      </c>
      <c r="DL104" s="787">
        <v>0</v>
      </c>
      <c r="DM104" s="787">
        <v>0</v>
      </c>
      <c r="DN104" s="787">
        <v>0</v>
      </c>
      <c r="DO104" s="787">
        <v>0</v>
      </c>
      <c r="DP104" s="787">
        <v>-170474.1</v>
      </c>
      <c r="DQ104" s="787">
        <v>-49168.02</v>
      </c>
      <c r="DR104" s="787">
        <v>0</v>
      </c>
      <c r="DS104" s="787">
        <v>0</v>
      </c>
      <c r="DT104" s="787">
        <v>-219642.12</v>
      </c>
      <c r="DU104" s="787">
        <v>0</v>
      </c>
      <c r="DV104" s="787">
        <v>0</v>
      </c>
      <c r="DW104" s="787">
        <v>0</v>
      </c>
      <c r="DX104" s="787">
        <v>0</v>
      </c>
      <c r="DY104" s="787">
        <v>0</v>
      </c>
      <c r="DZ104" s="787">
        <v>-27383</v>
      </c>
      <c r="EA104" s="787">
        <v>0.42032127313723322</v>
      </c>
    </row>
    <row r="105" spans="1:131" ht="15.6">
      <c r="A105" s="782" t="s">
        <v>1397</v>
      </c>
      <c r="B105" s="782" t="s">
        <v>702</v>
      </c>
      <c r="C105" s="783">
        <v>1012</v>
      </c>
      <c r="D105" s="784" t="s">
        <v>703</v>
      </c>
      <c r="E105" s="785" t="s">
        <v>521</v>
      </c>
      <c r="F105" s="786">
        <v>46094</v>
      </c>
      <c r="G105" s="785" t="s">
        <v>5</v>
      </c>
      <c r="H105" s="785" t="str">
        <f t="shared" si="7"/>
        <v>AX03W</v>
      </c>
      <c r="I105" s="787">
        <v>0</v>
      </c>
      <c r="J105" s="787">
        <v>0</v>
      </c>
      <c r="K105" s="787">
        <v>0</v>
      </c>
      <c r="L105" s="787">
        <v>0</v>
      </c>
      <c r="M105" s="787">
        <v>0</v>
      </c>
      <c r="N105" s="787">
        <v>0</v>
      </c>
      <c r="O105" s="787">
        <v>0</v>
      </c>
      <c r="P105" s="787">
        <v>0</v>
      </c>
      <c r="Q105" s="787">
        <v>10405.617170000005</v>
      </c>
      <c r="R105" s="787">
        <v>0</v>
      </c>
      <c r="S105" s="787">
        <v>0</v>
      </c>
      <c r="T105" s="787">
        <v>0</v>
      </c>
      <c r="U105" s="787">
        <v>8184.5</v>
      </c>
      <c r="V105" s="787">
        <v>36741.760000000002</v>
      </c>
      <c r="W105" s="787">
        <v>0</v>
      </c>
      <c r="X105" s="787">
        <f t="shared" si="8"/>
        <v>55331.877170000007</v>
      </c>
      <c r="Y105" s="787">
        <v>282498.14</v>
      </c>
      <c r="Z105" s="787">
        <v>0</v>
      </c>
      <c r="AA105" s="787">
        <v>140237.5</v>
      </c>
      <c r="AB105" s="787">
        <v>0</v>
      </c>
      <c r="AC105" s="787">
        <v>34168.61</v>
      </c>
      <c r="AD105" s="787">
        <v>0</v>
      </c>
      <c r="AE105" s="787">
        <v>23946.940000000002</v>
      </c>
      <c r="AF105" s="787">
        <v>2106.8000000000002</v>
      </c>
      <c r="AG105" s="787">
        <v>3765.5</v>
      </c>
      <c r="AH105" s="787">
        <v>0</v>
      </c>
      <c r="AI105" s="787">
        <v>0</v>
      </c>
      <c r="AJ105" s="787">
        <v>59467.07</v>
      </c>
      <c r="AK105" s="787">
        <v>2475</v>
      </c>
      <c r="AL105" s="787">
        <v>16679.060000000001</v>
      </c>
      <c r="AM105" s="787">
        <v>866.76</v>
      </c>
      <c r="AN105" s="787">
        <v>8657.4</v>
      </c>
      <c r="AO105" s="787">
        <v>0</v>
      </c>
      <c r="AP105" s="787">
        <v>21278.22</v>
      </c>
      <c r="AQ105" s="787">
        <v>33521.15</v>
      </c>
      <c r="AR105" s="787">
        <v>0</v>
      </c>
      <c r="AS105" s="787">
        <v>0</v>
      </c>
      <c r="AT105" s="787">
        <v>116.67</v>
      </c>
      <c r="AU105" s="787">
        <v>642.5</v>
      </c>
      <c r="AV105" s="787">
        <v>3457.92</v>
      </c>
      <c r="AW105" s="787">
        <v>5899.93</v>
      </c>
      <c r="AX105" s="787">
        <v>175</v>
      </c>
      <c r="AY105" s="787">
        <v>0</v>
      </c>
      <c r="AZ105" s="787">
        <v>53874.12</v>
      </c>
      <c r="BA105" s="787">
        <v>0</v>
      </c>
      <c r="BB105" s="787">
        <v>0</v>
      </c>
      <c r="BC105" s="787">
        <v>2082.46</v>
      </c>
      <c r="BD105" s="787">
        <v>122224.92</v>
      </c>
      <c r="BE105" s="787">
        <v>4545.75</v>
      </c>
      <c r="BF105" s="787">
        <v>77343.77</v>
      </c>
      <c r="BG105" s="787">
        <v>0</v>
      </c>
      <c r="BH105" s="787">
        <v>0</v>
      </c>
      <c r="BI105" s="787">
        <v>0</v>
      </c>
      <c r="BJ105" s="787">
        <f t="shared" si="9"/>
        <v>900031.19000000018</v>
      </c>
      <c r="BK105" s="787"/>
      <c r="BL105" s="787"/>
      <c r="BM105" s="787"/>
      <c r="BN105" s="787">
        <v>0</v>
      </c>
      <c r="BO105" s="787">
        <v>0</v>
      </c>
      <c r="BP105" s="787">
        <v>0</v>
      </c>
      <c r="BQ105" s="787">
        <f t="shared" si="10"/>
        <v>0</v>
      </c>
      <c r="BR105" s="787">
        <v>0</v>
      </c>
      <c r="BS105" s="787">
        <v>0</v>
      </c>
      <c r="BT105" s="787">
        <v>0</v>
      </c>
      <c r="BU105" s="787">
        <v>0</v>
      </c>
      <c r="BV105" s="787">
        <v>0</v>
      </c>
      <c r="BW105" s="787">
        <v>0</v>
      </c>
      <c r="BX105" s="787">
        <v>5514</v>
      </c>
      <c r="BY105" s="787">
        <v>0</v>
      </c>
      <c r="BZ105" s="787">
        <f t="shared" si="11"/>
        <v>5514</v>
      </c>
      <c r="CA105" s="787"/>
      <c r="CB105" s="787"/>
      <c r="CC105" s="787"/>
      <c r="CD105" s="787">
        <v>0</v>
      </c>
      <c r="CE105" s="787">
        <v>0</v>
      </c>
      <c r="CF105" s="787">
        <f t="shared" si="12"/>
        <v>0</v>
      </c>
      <c r="CG105" s="787">
        <v>0</v>
      </c>
      <c r="CH105" s="787">
        <v>0</v>
      </c>
      <c r="CI105" s="787">
        <f t="shared" si="13"/>
        <v>0</v>
      </c>
      <c r="CJ105" s="787"/>
      <c r="CK105" s="787"/>
      <c r="CL105" s="787"/>
      <c r="CM105" s="787"/>
      <c r="CN105" s="787"/>
      <c r="CO105" s="787"/>
      <c r="CP105" s="787"/>
      <c r="CQ105" s="787"/>
      <c r="CR105" s="787"/>
      <c r="CS105" s="787"/>
      <c r="CT105" s="787"/>
      <c r="CU105" s="787"/>
      <c r="CV105" s="787"/>
      <c r="CW105" s="787"/>
      <c r="CX105" s="787"/>
      <c r="CY105" s="787"/>
      <c r="CZ105" s="787"/>
      <c r="DA105" s="787"/>
      <c r="DB105" s="787"/>
      <c r="DC105" s="787"/>
      <c r="DD105" s="787"/>
      <c r="DE105" s="787"/>
      <c r="DF105" s="787"/>
      <c r="DG105" s="787"/>
      <c r="DH105" s="787"/>
      <c r="DI105" s="787"/>
      <c r="DJ105" s="787"/>
      <c r="DK105" s="787"/>
      <c r="DL105" s="787"/>
      <c r="DM105" s="787"/>
      <c r="DN105" s="787"/>
      <c r="DO105" s="787"/>
      <c r="DP105" s="787"/>
      <c r="DQ105" s="787"/>
      <c r="DR105" s="787"/>
      <c r="DS105" s="787"/>
      <c r="DT105" s="787"/>
      <c r="DU105" s="787"/>
      <c r="DV105" s="787"/>
      <c r="DW105" s="787"/>
      <c r="DX105" s="787"/>
      <c r="DY105" s="787"/>
      <c r="DZ105" s="787"/>
      <c r="EA105" s="787"/>
    </row>
    <row r="106" spans="1:131" ht="15.6">
      <c r="A106" s="782" t="s">
        <v>1398</v>
      </c>
      <c r="B106" s="782" t="s">
        <v>704</v>
      </c>
      <c r="C106" s="783">
        <v>2133</v>
      </c>
      <c r="D106" s="784" t="s">
        <v>705</v>
      </c>
      <c r="E106" s="785" t="s">
        <v>521</v>
      </c>
      <c r="F106" s="786">
        <v>46094</v>
      </c>
      <c r="G106" s="785" t="s">
        <v>5</v>
      </c>
      <c r="H106" s="785" t="str">
        <f t="shared" si="7"/>
        <v>AX03V</v>
      </c>
      <c r="I106" s="787">
        <v>0</v>
      </c>
      <c r="J106" s="787">
        <v>0</v>
      </c>
      <c r="K106" s="787">
        <v>0</v>
      </c>
      <c r="L106" s="787">
        <v>0</v>
      </c>
      <c r="M106" s="787">
        <v>0</v>
      </c>
      <c r="N106" s="787">
        <v>0</v>
      </c>
      <c r="O106" s="787">
        <v>0</v>
      </c>
      <c r="P106" s="787">
        <v>0</v>
      </c>
      <c r="Q106" s="787">
        <v>14182</v>
      </c>
      <c r="R106" s="787">
        <v>19250</v>
      </c>
      <c r="S106" s="787">
        <v>0</v>
      </c>
      <c r="T106" s="787">
        <v>0</v>
      </c>
      <c r="U106" s="787">
        <v>21831</v>
      </c>
      <c r="V106" s="787">
        <v>0</v>
      </c>
      <c r="W106" s="787">
        <v>0</v>
      </c>
      <c r="X106" s="787">
        <f t="shared" si="8"/>
        <v>55263</v>
      </c>
      <c r="Y106" s="787">
        <v>1183033.18</v>
      </c>
      <c r="Z106" s="787">
        <v>0</v>
      </c>
      <c r="AA106" s="787">
        <v>504193.55000000005</v>
      </c>
      <c r="AB106" s="787">
        <v>0</v>
      </c>
      <c r="AC106" s="787">
        <v>200255.62</v>
      </c>
      <c r="AD106" s="787">
        <v>94700.4</v>
      </c>
      <c r="AE106" s="787">
        <v>96365.23000000001</v>
      </c>
      <c r="AF106" s="787">
        <v>8369.64</v>
      </c>
      <c r="AG106" s="787">
        <v>10956</v>
      </c>
      <c r="AH106" s="787">
        <v>0</v>
      </c>
      <c r="AI106" s="787">
        <v>0</v>
      </c>
      <c r="AJ106" s="787">
        <v>16872.509999999998</v>
      </c>
      <c r="AK106" s="787">
        <v>0</v>
      </c>
      <c r="AL106" s="787">
        <v>0</v>
      </c>
      <c r="AM106" s="787">
        <v>18445.36</v>
      </c>
      <c r="AN106" s="787">
        <v>56375.39</v>
      </c>
      <c r="AO106" s="787">
        <v>0</v>
      </c>
      <c r="AP106" s="787">
        <v>12645.49</v>
      </c>
      <c r="AQ106" s="787">
        <v>159639.99</v>
      </c>
      <c r="AR106" s="787">
        <v>0</v>
      </c>
      <c r="AS106" s="787">
        <v>0</v>
      </c>
      <c r="AT106" s="787">
        <v>0</v>
      </c>
      <c r="AU106" s="787">
        <v>0</v>
      </c>
      <c r="AV106" s="787">
        <v>0</v>
      </c>
      <c r="AW106" s="787">
        <v>0</v>
      </c>
      <c r="AX106" s="787">
        <v>0</v>
      </c>
      <c r="AY106" s="787">
        <v>0</v>
      </c>
      <c r="AZ106" s="787">
        <v>18569.38</v>
      </c>
      <c r="BA106" s="787">
        <v>2183.9400000000005</v>
      </c>
      <c r="BB106" s="787">
        <v>0</v>
      </c>
      <c r="BC106" s="787">
        <v>71285.070000000007</v>
      </c>
      <c r="BD106" s="787">
        <v>204380.88</v>
      </c>
      <c r="BE106" s="787">
        <v>267.89999999999964</v>
      </c>
      <c r="BF106" s="787">
        <v>63127.1</v>
      </c>
      <c r="BG106" s="787">
        <v>438336</v>
      </c>
      <c r="BH106" s="787">
        <v>0</v>
      </c>
      <c r="BI106" s="787">
        <v>0</v>
      </c>
      <c r="BJ106" s="787">
        <f t="shared" si="9"/>
        <v>3160002.63</v>
      </c>
      <c r="BK106" s="787"/>
      <c r="BL106" s="787"/>
      <c r="BM106" s="787"/>
      <c r="BN106" s="787">
        <v>0</v>
      </c>
      <c r="BO106" s="787">
        <v>0</v>
      </c>
      <c r="BP106" s="787">
        <v>0</v>
      </c>
      <c r="BQ106" s="787">
        <f t="shared" si="10"/>
        <v>0</v>
      </c>
      <c r="BR106" s="787">
        <v>0</v>
      </c>
      <c r="BS106" s="787">
        <v>0</v>
      </c>
      <c r="BT106" s="787">
        <v>0</v>
      </c>
      <c r="BU106" s="787">
        <v>0</v>
      </c>
      <c r="BV106" s="787">
        <v>0</v>
      </c>
      <c r="BW106" s="787">
        <v>30501.71</v>
      </c>
      <c r="BX106" s="787">
        <v>0</v>
      </c>
      <c r="BY106" s="787">
        <v>0</v>
      </c>
      <c r="BZ106" s="787">
        <f t="shared" si="11"/>
        <v>30501.71</v>
      </c>
      <c r="CA106" s="787"/>
      <c r="CB106" s="787"/>
      <c r="CC106" s="787"/>
      <c r="CD106" s="787">
        <v>0</v>
      </c>
      <c r="CE106" s="787">
        <v>0</v>
      </c>
      <c r="CF106" s="787">
        <f t="shared" si="12"/>
        <v>0</v>
      </c>
      <c r="CG106" s="787">
        <v>0</v>
      </c>
      <c r="CH106" s="787">
        <v>0</v>
      </c>
      <c r="CI106" s="787">
        <f t="shared" si="13"/>
        <v>0</v>
      </c>
      <c r="CJ106" s="787"/>
      <c r="CK106" s="787"/>
      <c r="CL106" s="787"/>
      <c r="CM106" s="787"/>
      <c r="CN106" s="787"/>
      <c r="CO106" s="787"/>
      <c r="CP106" s="787"/>
      <c r="CQ106" s="787"/>
      <c r="CR106" s="787"/>
      <c r="CS106" s="787"/>
      <c r="CT106" s="787"/>
      <c r="CU106" s="787"/>
      <c r="CV106" s="787"/>
      <c r="CW106" s="787"/>
      <c r="CX106" s="787"/>
      <c r="CY106" s="787"/>
      <c r="CZ106" s="787"/>
      <c r="DA106" s="787"/>
      <c r="DB106" s="787"/>
      <c r="DC106" s="787"/>
      <c r="DD106" s="787"/>
      <c r="DE106" s="787"/>
      <c r="DF106" s="787"/>
      <c r="DG106" s="787"/>
      <c r="DH106" s="787"/>
      <c r="DI106" s="787"/>
      <c r="DJ106" s="787"/>
      <c r="DK106" s="787"/>
      <c r="DL106" s="787"/>
      <c r="DM106" s="787"/>
      <c r="DN106" s="787"/>
      <c r="DO106" s="787"/>
      <c r="DP106" s="787"/>
      <c r="DQ106" s="787"/>
      <c r="DR106" s="787"/>
      <c r="DS106" s="787"/>
      <c r="DT106" s="787"/>
      <c r="DU106" s="787"/>
      <c r="DV106" s="787"/>
      <c r="DW106" s="787"/>
      <c r="DX106" s="787"/>
      <c r="DY106" s="787"/>
      <c r="DZ106" s="787"/>
      <c r="EA106" s="787"/>
    </row>
    <row r="107" spans="1:131" ht="15.6">
      <c r="A107" s="782" t="s">
        <v>1399</v>
      </c>
      <c r="B107" s="782" t="s">
        <v>708</v>
      </c>
      <c r="C107" s="783">
        <v>2406</v>
      </c>
      <c r="D107" s="784" t="s">
        <v>709</v>
      </c>
      <c r="E107" s="785" t="s">
        <v>521</v>
      </c>
      <c r="F107" s="786">
        <v>46094</v>
      </c>
      <c r="G107" s="785" t="s">
        <v>5</v>
      </c>
      <c r="H107" s="785" t="str">
        <f t="shared" si="7"/>
        <v>AX040</v>
      </c>
      <c r="I107" s="787">
        <v>0</v>
      </c>
      <c r="J107" s="787">
        <v>0</v>
      </c>
      <c r="K107" s="787">
        <v>0</v>
      </c>
      <c r="L107" s="787">
        <v>0</v>
      </c>
      <c r="M107" s="787">
        <v>0</v>
      </c>
      <c r="N107" s="787">
        <v>0</v>
      </c>
      <c r="O107" s="787">
        <v>0</v>
      </c>
      <c r="P107" s="787">
        <v>0</v>
      </c>
      <c r="Q107" s="787">
        <v>119380.52357</v>
      </c>
      <c r="R107" s="787">
        <v>0</v>
      </c>
      <c r="S107" s="787">
        <v>0</v>
      </c>
      <c r="T107" s="787">
        <v>0</v>
      </c>
      <c r="U107" s="787">
        <v>16178</v>
      </c>
      <c r="V107" s="787">
        <v>0</v>
      </c>
      <c r="W107" s="787">
        <v>0</v>
      </c>
      <c r="X107" s="787">
        <f t="shared" si="8"/>
        <v>135558.52357000002</v>
      </c>
      <c r="Y107" s="787">
        <v>814188.78</v>
      </c>
      <c r="Z107" s="787">
        <v>0</v>
      </c>
      <c r="AA107" s="787">
        <v>344420.81</v>
      </c>
      <c r="AB107" s="787">
        <v>36469.879999999997</v>
      </c>
      <c r="AC107" s="787">
        <v>133325.21</v>
      </c>
      <c r="AD107" s="787">
        <v>0</v>
      </c>
      <c r="AE107" s="787">
        <v>49478.32</v>
      </c>
      <c r="AF107" s="787">
        <v>10412</v>
      </c>
      <c r="AG107" s="787">
        <v>0</v>
      </c>
      <c r="AH107" s="787">
        <v>0</v>
      </c>
      <c r="AI107" s="787">
        <v>0</v>
      </c>
      <c r="AJ107" s="787">
        <v>29868.9</v>
      </c>
      <c r="AK107" s="787">
        <v>1350</v>
      </c>
      <c r="AL107" s="787">
        <v>1250</v>
      </c>
      <c r="AM107" s="787">
        <v>3249</v>
      </c>
      <c r="AN107" s="787">
        <v>18389.419999999998</v>
      </c>
      <c r="AO107" s="787">
        <v>0</v>
      </c>
      <c r="AP107" s="787">
        <v>5114.28</v>
      </c>
      <c r="AQ107" s="787">
        <v>32898</v>
      </c>
      <c r="AR107" s="787">
        <v>0</v>
      </c>
      <c r="AS107" s="787">
        <v>0</v>
      </c>
      <c r="AT107" s="787">
        <v>0</v>
      </c>
      <c r="AU107" s="787">
        <v>0</v>
      </c>
      <c r="AV107" s="787">
        <v>0</v>
      </c>
      <c r="AW107" s="787">
        <v>0</v>
      </c>
      <c r="AX107" s="787">
        <v>0</v>
      </c>
      <c r="AY107" s="787">
        <v>0</v>
      </c>
      <c r="AZ107" s="787">
        <v>31868.87</v>
      </c>
      <c r="BA107" s="787">
        <v>0</v>
      </c>
      <c r="BB107" s="787">
        <v>0</v>
      </c>
      <c r="BC107" s="787">
        <v>59970</v>
      </c>
      <c r="BD107" s="787">
        <v>6842</v>
      </c>
      <c r="BE107" s="787">
        <v>4520</v>
      </c>
      <c r="BF107" s="787">
        <v>141400</v>
      </c>
      <c r="BG107" s="787">
        <v>0</v>
      </c>
      <c r="BH107" s="787">
        <v>0</v>
      </c>
      <c r="BI107" s="787">
        <v>0</v>
      </c>
      <c r="BJ107" s="787">
        <f t="shared" si="9"/>
        <v>1725015.47</v>
      </c>
      <c r="BK107" s="787"/>
      <c r="BL107" s="787"/>
      <c r="BM107" s="787"/>
      <c r="BN107" s="787">
        <v>0</v>
      </c>
      <c r="BO107" s="787">
        <v>0</v>
      </c>
      <c r="BP107" s="787">
        <v>0</v>
      </c>
      <c r="BQ107" s="787">
        <f t="shared" si="10"/>
        <v>0</v>
      </c>
      <c r="BR107" s="787">
        <v>0</v>
      </c>
      <c r="BS107" s="787">
        <v>0</v>
      </c>
      <c r="BT107" s="787">
        <v>0</v>
      </c>
      <c r="BU107" s="787">
        <v>0</v>
      </c>
      <c r="BV107" s="787">
        <v>0</v>
      </c>
      <c r="BW107" s="787">
        <v>0</v>
      </c>
      <c r="BX107" s="787">
        <v>0</v>
      </c>
      <c r="BY107" s="787">
        <v>0</v>
      </c>
      <c r="BZ107" s="787">
        <f t="shared" si="11"/>
        <v>0</v>
      </c>
      <c r="CA107" s="787"/>
      <c r="CB107" s="787"/>
      <c r="CC107" s="787"/>
      <c r="CD107" s="787">
        <v>0</v>
      </c>
      <c r="CE107" s="787">
        <v>0</v>
      </c>
      <c r="CF107" s="787">
        <f t="shared" si="12"/>
        <v>0</v>
      </c>
      <c r="CG107" s="787">
        <v>0</v>
      </c>
      <c r="CH107" s="787">
        <v>0</v>
      </c>
      <c r="CI107" s="787">
        <f t="shared" si="13"/>
        <v>0</v>
      </c>
      <c r="CJ107" s="787"/>
      <c r="CK107" s="787"/>
      <c r="CL107" s="787"/>
      <c r="CM107" s="787"/>
      <c r="CN107" s="787"/>
      <c r="CO107" s="787"/>
      <c r="CP107" s="787"/>
      <c r="CQ107" s="787"/>
      <c r="CR107" s="787"/>
      <c r="CS107" s="787">
        <v>326306.36</v>
      </c>
      <c r="CT107" s="787">
        <v>0</v>
      </c>
      <c r="CU107" s="787">
        <v>0</v>
      </c>
      <c r="CV107" s="787">
        <v>326306.36</v>
      </c>
      <c r="CW107" s="787">
        <v>0</v>
      </c>
      <c r="CX107" s="787">
        <v>9007.8700000000008</v>
      </c>
      <c r="CY107" s="787">
        <v>2498.5300000000002</v>
      </c>
      <c r="CZ107" s="787">
        <v>2524.88</v>
      </c>
      <c r="DA107" s="787">
        <v>0</v>
      </c>
      <c r="DB107" s="787">
        <v>340337.64</v>
      </c>
      <c r="DC107" s="787">
        <v>0</v>
      </c>
      <c r="DD107" s="787">
        <v>0</v>
      </c>
      <c r="DE107" s="787">
        <v>0</v>
      </c>
      <c r="DF107" s="787">
        <v>0</v>
      </c>
      <c r="DG107" s="787"/>
      <c r="DH107" s="787"/>
      <c r="DI107" s="787"/>
      <c r="DJ107" s="787">
        <v>0</v>
      </c>
      <c r="DK107" s="787">
        <v>0</v>
      </c>
      <c r="DL107" s="787">
        <v>0</v>
      </c>
      <c r="DM107" s="787">
        <v>0</v>
      </c>
      <c r="DN107" s="787">
        <v>0</v>
      </c>
      <c r="DO107" s="787">
        <v>0</v>
      </c>
      <c r="DP107" s="787">
        <v>-140634.34</v>
      </c>
      <c r="DQ107" s="787">
        <v>-1204.28</v>
      </c>
      <c r="DR107" s="787">
        <v>0</v>
      </c>
      <c r="DS107" s="787">
        <v>0</v>
      </c>
      <c r="DT107" s="787">
        <v>-141838.62</v>
      </c>
      <c r="DU107" s="787">
        <v>0</v>
      </c>
      <c r="DV107" s="787">
        <v>0</v>
      </c>
      <c r="DW107" s="787">
        <v>-72.849999999999994</v>
      </c>
      <c r="DX107" s="787">
        <v>0</v>
      </c>
      <c r="DY107" s="787">
        <v>0</v>
      </c>
      <c r="DZ107" s="787">
        <v>-23837.15</v>
      </c>
      <c r="EA107" s="787">
        <v>0.42053333390504122</v>
      </c>
    </row>
    <row r="108" spans="1:131" ht="15.6">
      <c r="A108" s="782" t="s">
        <v>1400</v>
      </c>
      <c r="B108" s="782" t="s">
        <v>710</v>
      </c>
      <c r="C108" s="783">
        <v>2416</v>
      </c>
      <c r="D108" s="784" t="s">
        <v>711</v>
      </c>
      <c r="E108" s="785" t="s">
        <v>521</v>
      </c>
      <c r="F108" s="786">
        <v>46091</v>
      </c>
      <c r="G108" s="785" t="s">
        <v>5</v>
      </c>
      <c r="H108" s="785" t="str">
        <f t="shared" si="7"/>
        <v>AX041</v>
      </c>
      <c r="I108" s="787">
        <v>0</v>
      </c>
      <c r="J108" s="787">
        <v>0</v>
      </c>
      <c r="K108" s="787">
        <v>0</v>
      </c>
      <c r="L108" s="787">
        <v>0</v>
      </c>
      <c r="M108" s="787">
        <v>0</v>
      </c>
      <c r="N108" s="787">
        <v>0</v>
      </c>
      <c r="O108" s="787">
        <v>31774.34</v>
      </c>
      <c r="P108" s="787">
        <v>22481</v>
      </c>
      <c r="Q108" s="787">
        <v>227951.35999999999</v>
      </c>
      <c r="R108" s="787">
        <v>65852.36</v>
      </c>
      <c r="S108" s="787">
        <v>0</v>
      </c>
      <c r="T108" s="787">
        <v>0</v>
      </c>
      <c r="U108" s="787">
        <v>53299.09</v>
      </c>
      <c r="V108" s="787">
        <v>7525</v>
      </c>
      <c r="W108" s="787">
        <v>0</v>
      </c>
      <c r="X108" s="787">
        <f t="shared" si="8"/>
        <v>408883.14999999991</v>
      </c>
      <c r="Y108" s="787">
        <v>1159434.6399999999</v>
      </c>
      <c r="Z108" s="787">
        <v>0</v>
      </c>
      <c r="AA108" s="787">
        <v>385211.58999999997</v>
      </c>
      <c r="AB108" s="787">
        <v>23045.54</v>
      </c>
      <c r="AC108" s="787">
        <v>129567.83</v>
      </c>
      <c r="AD108" s="787">
        <v>0</v>
      </c>
      <c r="AE108" s="787">
        <v>153621.9</v>
      </c>
      <c r="AF108" s="787">
        <v>1259.9000000000001</v>
      </c>
      <c r="AG108" s="787">
        <v>4182.96</v>
      </c>
      <c r="AH108" s="787">
        <v>0</v>
      </c>
      <c r="AI108" s="787">
        <v>0</v>
      </c>
      <c r="AJ108" s="787">
        <v>20277.7</v>
      </c>
      <c r="AK108" s="787">
        <v>5352.17</v>
      </c>
      <c r="AL108" s="787">
        <v>59784.88</v>
      </c>
      <c r="AM108" s="787">
        <v>6038.5700000000006</v>
      </c>
      <c r="AN108" s="787">
        <v>40371</v>
      </c>
      <c r="AO108" s="787">
        <v>0</v>
      </c>
      <c r="AP108" s="787">
        <v>4923.8599999999997</v>
      </c>
      <c r="AQ108" s="787">
        <v>85301.11</v>
      </c>
      <c r="AR108" s="787">
        <v>27776.69</v>
      </c>
      <c r="AS108" s="787">
        <v>0</v>
      </c>
      <c r="AT108" s="787">
        <v>0</v>
      </c>
      <c r="AU108" s="787">
        <v>0</v>
      </c>
      <c r="AV108" s="787">
        <v>0</v>
      </c>
      <c r="AW108" s="787">
        <v>0</v>
      </c>
      <c r="AX108" s="787">
        <v>0</v>
      </c>
      <c r="AY108" s="787">
        <v>0</v>
      </c>
      <c r="AZ108" s="787">
        <v>23846.82</v>
      </c>
      <c r="BA108" s="787">
        <v>0</v>
      </c>
      <c r="BB108" s="787">
        <v>0</v>
      </c>
      <c r="BC108" s="787">
        <v>143602.65</v>
      </c>
      <c r="BD108" s="787">
        <v>239013.7</v>
      </c>
      <c r="BE108" s="787">
        <v>24400</v>
      </c>
      <c r="BF108" s="787">
        <v>206863.44</v>
      </c>
      <c r="BG108" s="787">
        <v>0</v>
      </c>
      <c r="BH108" s="787">
        <v>0</v>
      </c>
      <c r="BI108" s="787">
        <v>0</v>
      </c>
      <c r="BJ108" s="787">
        <f t="shared" si="9"/>
        <v>2743876.9499999997</v>
      </c>
      <c r="BK108" s="787"/>
      <c r="BL108" s="787"/>
      <c r="BM108" s="787"/>
      <c r="BN108" s="787">
        <v>0</v>
      </c>
      <c r="BO108" s="787">
        <v>0</v>
      </c>
      <c r="BP108" s="787">
        <v>0</v>
      </c>
      <c r="BQ108" s="787">
        <f t="shared" si="10"/>
        <v>0</v>
      </c>
      <c r="BR108" s="787">
        <v>0</v>
      </c>
      <c r="BS108" s="787">
        <v>0</v>
      </c>
      <c r="BT108" s="787">
        <v>0</v>
      </c>
      <c r="BU108" s="787">
        <v>0</v>
      </c>
      <c r="BV108" s="787">
        <v>0</v>
      </c>
      <c r="BW108" s="787">
        <v>0</v>
      </c>
      <c r="BX108" s="787">
        <v>0</v>
      </c>
      <c r="BY108" s="787">
        <v>0</v>
      </c>
      <c r="BZ108" s="787">
        <f t="shared" si="11"/>
        <v>0</v>
      </c>
      <c r="CA108" s="787"/>
      <c r="CB108" s="787"/>
      <c r="CC108" s="787"/>
      <c r="CD108" s="787">
        <v>0</v>
      </c>
      <c r="CE108" s="787">
        <v>0</v>
      </c>
      <c r="CF108" s="787">
        <f t="shared" si="12"/>
        <v>0</v>
      </c>
      <c r="CG108" s="787">
        <v>0</v>
      </c>
      <c r="CH108" s="787">
        <v>0</v>
      </c>
      <c r="CI108" s="787">
        <f t="shared" si="13"/>
        <v>0</v>
      </c>
      <c r="CJ108" s="787"/>
      <c r="CK108" s="787"/>
      <c r="CL108" s="787"/>
      <c r="CM108" s="787"/>
      <c r="CN108" s="787"/>
      <c r="CO108" s="787"/>
      <c r="CP108" s="787"/>
      <c r="CQ108" s="787"/>
      <c r="CR108" s="787"/>
      <c r="CS108" s="787"/>
      <c r="CT108" s="787"/>
      <c r="CU108" s="787"/>
      <c r="CV108" s="787"/>
      <c r="CW108" s="787"/>
      <c r="CX108" s="787"/>
      <c r="CY108" s="787"/>
      <c r="CZ108" s="787"/>
      <c r="DA108" s="787"/>
      <c r="DB108" s="787"/>
      <c r="DC108" s="787"/>
      <c r="DD108" s="787"/>
      <c r="DE108" s="787"/>
      <c r="DF108" s="787"/>
      <c r="DG108" s="787"/>
      <c r="DH108" s="787"/>
      <c r="DI108" s="787"/>
      <c r="DJ108" s="787"/>
      <c r="DK108" s="787"/>
      <c r="DL108" s="787"/>
      <c r="DM108" s="787"/>
      <c r="DN108" s="787"/>
      <c r="DO108" s="787"/>
      <c r="DP108" s="787"/>
      <c r="DQ108" s="787"/>
      <c r="DR108" s="787"/>
      <c r="DS108" s="787"/>
      <c r="DT108" s="787"/>
      <c r="DU108" s="787"/>
      <c r="DV108" s="787"/>
      <c r="DW108" s="787"/>
      <c r="DX108" s="787"/>
      <c r="DY108" s="787"/>
      <c r="DZ108" s="787"/>
      <c r="EA108" s="787"/>
    </row>
    <row r="109" spans="1:131" ht="15.6">
      <c r="A109" s="782" t="s">
        <v>1401</v>
      </c>
      <c r="B109" s="782" t="s">
        <v>712</v>
      </c>
      <c r="C109" s="783">
        <v>3003</v>
      </c>
      <c r="D109" s="784" t="s">
        <v>713</v>
      </c>
      <c r="E109" s="785" t="s">
        <v>521</v>
      </c>
      <c r="F109" s="786" t="s">
        <v>1402</v>
      </c>
      <c r="G109" s="785" t="s">
        <v>5</v>
      </c>
      <c r="H109" s="785" t="str">
        <f t="shared" si="7"/>
        <v>AX042</v>
      </c>
      <c r="I109" s="787">
        <v>0</v>
      </c>
      <c r="J109" s="787">
        <v>0</v>
      </c>
      <c r="K109" s="787">
        <v>0</v>
      </c>
      <c r="L109" s="787">
        <v>0</v>
      </c>
      <c r="M109" s="787">
        <v>0</v>
      </c>
      <c r="N109" s="787">
        <v>0</v>
      </c>
      <c r="O109" s="787">
        <v>0</v>
      </c>
      <c r="P109" s="787">
        <v>0</v>
      </c>
      <c r="Q109" s="787">
        <v>1088.3400000000001</v>
      </c>
      <c r="R109" s="787">
        <v>35924.03</v>
      </c>
      <c r="S109" s="787">
        <v>0</v>
      </c>
      <c r="T109" s="787">
        <v>0</v>
      </c>
      <c r="U109" s="787">
        <v>131095.29999999999</v>
      </c>
      <c r="V109" s="787">
        <v>27594.28</v>
      </c>
      <c r="W109" s="787">
        <v>0</v>
      </c>
      <c r="X109" s="787">
        <f t="shared" si="8"/>
        <v>195701.94999999998</v>
      </c>
      <c r="Y109" s="787">
        <v>649452.29</v>
      </c>
      <c r="Z109" s="787">
        <v>0</v>
      </c>
      <c r="AA109" s="787">
        <v>169479.9</v>
      </c>
      <c r="AB109" s="787">
        <v>67805.66</v>
      </c>
      <c r="AC109" s="787">
        <v>96664.14</v>
      </c>
      <c r="AD109" s="787">
        <v>0</v>
      </c>
      <c r="AE109" s="787">
        <v>55806.27</v>
      </c>
      <c r="AF109" s="787">
        <v>3758.52</v>
      </c>
      <c r="AG109" s="787">
        <v>2780</v>
      </c>
      <c r="AH109" s="787">
        <v>0</v>
      </c>
      <c r="AI109" s="787">
        <v>0</v>
      </c>
      <c r="AJ109" s="787">
        <v>12718.25</v>
      </c>
      <c r="AK109" s="787">
        <v>2800.06</v>
      </c>
      <c r="AL109" s="787">
        <v>1024.02</v>
      </c>
      <c r="AM109" s="787">
        <v>1669.69</v>
      </c>
      <c r="AN109" s="787">
        <v>11828.83</v>
      </c>
      <c r="AO109" s="787">
        <v>0</v>
      </c>
      <c r="AP109" s="787">
        <v>7582.5</v>
      </c>
      <c r="AQ109" s="787">
        <v>32728.15</v>
      </c>
      <c r="AR109" s="787">
        <v>0</v>
      </c>
      <c r="AS109" s="787">
        <v>0</v>
      </c>
      <c r="AT109" s="787">
        <v>0</v>
      </c>
      <c r="AU109" s="787">
        <v>630.21</v>
      </c>
      <c r="AV109" s="787">
        <v>0</v>
      </c>
      <c r="AW109" s="787">
        <v>1427.84</v>
      </c>
      <c r="AX109" s="787">
        <v>0</v>
      </c>
      <c r="AY109" s="787">
        <v>0</v>
      </c>
      <c r="AZ109" s="787">
        <v>38935.15</v>
      </c>
      <c r="BA109" s="787">
        <v>0</v>
      </c>
      <c r="BB109" s="787">
        <v>2645</v>
      </c>
      <c r="BC109" s="787">
        <v>102646.65</v>
      </c>
      <c r="BD109" s="787">
        <v>24910.38</v>
      </c>
      <c r="BE109" s="787">
        <v>0</v>
      </c>
      <c r="BF109" s="787">
        <v>193983.98</v>
      </c>
      <c r="BG109" s="787">
        <v>0</v>
      </c>
      <c r="BH109" s="787">
        <v>0</v>
      </c>
      <c r="BI109" s="787">
        <v>0</v>
      </c>
      <c r="BJ109" s="787">
        <f t="shared" si="9"/>
        <v>1481277.49</v>
      </c>
      <c r="BK109" s="787"/>
      <c r="BL109" s="787"/>
      <c r="BM109" s="787"/>
      <c r="BN109" s="787">
        <v>0</v>
      </c>
      <c r="BO109" s="787">
        <v>0</v>
      </c>
      <c r="BP109" s="787">
        <v>0</v>
      </c>
      <c r="BQ109" s="787">
        <f t="shared" si="10"/>
        <v>0</v>
      </c>
      <c r="BR109" s="787">
        <v>0</v>
      </c>
      <c r="BS109" s="787">
        <v>0</v>
      </c>
      <c r="BT109" s="787">
        <v>0</v>
      </c>
      <c r="BU109" s="787">
        <v>0</v>
      </c>
      <c r="BV109" s="787">
        <v>0</v>
      </c>
      <c r="BW109" s="787">
        <v>0</v>
      </c>
      <c r="BX109" s="787">
        <v>0</v>
      </c>
      <c r="BY109" s="787">
        <v>0</v>
      </c>
      <c r="BZ109" s="787">
        <f t="shared" si="11"/>
        <v>0</v>
      </c>
      <c r="CA109" s="787"/>
      <c r="CB109" s="787"/>
      <c r="CC109" s="787"/>
      <c r="CD109" s="787">
        <v>0</v>
      </c>
      <c r="CE109" s="787">
        <v>0</v>
      </c>
      <c r="CF109" s="787">
        <f t="shared" si="12"/>
        <v>0</v>
      </c>
      <c r="CG109" s="787">
        <v>0</v>
      </c>
      <c r="CH109" s="787">
        <v>0</v>
      </c>
      <c r="CI109" s="787">
        <f t="shared" si="13"/>
        <v>0</v>
      </c>
      <c r="CJ109" s="787"/>
      <c r="CK109" s="787"/>
      <c r="CL109" s="787"/>
      <c r="CM109" s="787"/>
      <c r="CN109" s="787"/>
      <c r="CO109" s="787"/>
      <c r="CP109" s="787"/>
      <c r="CQ109" s="787"/>
      <c r="CR109" s="787"/>
      <c r="CS109" s="787"/>
      <c r="CT109" s="787"/>
      <c r="CU109" s="787"/>
      <c r="CV109" s="787"/>
      <c r="CW109" s="787"/>
      <c r="CX109" s="787"/>
      <c r="CY109" s="787"/>
      <c r="CZ109" s="787"/>
      <c r="DA109" s="787"/>
      <c r="DB109" s="787"/>
      <c r="DC109" s="787"/>
      <c r="DD109" s="787"/>
      <c r="DE109" s="787"/>
      <c r="DF109" s="787"/>
      <c r="DG109" s="787"/>
      <c r="DH109" s="787"/>
      <c r="DI109" s="787"/>
      <c r="DJ109" s="787"/>
      <c r="DK109" s="787"/>
      <c r="DL109" s="787"/>
      <c r="DM109" s="787"/>
      <c r="DN109" s="787"/>
      <c r="DO109" s="787"/>
      <c r="DP109" s="787"/>
      <c r="DQ109" s="787"/>
      <c r="DR109" s="787"/>
      <c r="DS109" s="787"/>
      <c r="DT109" s="787"/>
      <c r="DU109" s="787"/>
      <c r="DV109" s="787"/>
      <c r="DW109" s="787"/>
      <c r="DX109" s="787"/>
      <c r="DY109" s="787"/>
      <c r="DZ109" s="787"/>
      <c r="EA109" s="787"/>
    </row>
    <row r="110" spans="1:131" ht="15.6">
      <c r="A110" s="782" t="s">
        <v>1403</v>
      </c>
      <c r="B110" s="782" t="s">
        <v>714</v>
      </c>
      <c r="C110" s="783">
        <v>4245</v>
      </c>
      <c r="D110" s="784" t="s">
        <v>715</v>
      </c>
      <c r="E110" s="785" t="s">
        <v>521</v>
      </c>
      <c r="F110" s="786">
        <v>46094</v>
      </c>
      <c r="G110" s="785" t="s">
        <v>5</v>
      </c>
      <c r="H110" s="785" t="str">
        <f t="shared" si="7"/>
        <v>AX0AW</v>
      </c>
      <c r="I110" s="787">
        <v>0</v>
      </c>
      <c r="J110" s="787">
        <v>0</v>
      </c>
      <c r="K110" s="787">
        <v>0</v>
      </c>
      <c r="L110" s="787">
        <v>0</v>
      </c>
      <c r="M110" s="787">
        <v>18429</v>
      </c>
      <c r="N110" s="787">
        <v>0</v>
      </c>
      <c r="O110" s="787">
        <v>204485</v>
      </c>
      <c r="P110" s="787">
        <v>283294</v>
      </c>
      <c r="Q110" s="787">
        <v>3064.37</v>
      </c>
      <c r="R110" s="787">
        <v>0</v>
      </c>
      <c r="S110" s="787">
        <v>0</v>
      </c>
      <c r="T110" s="787">
        <v>0</v>
      </c>
      <c r="U110" s="787">
        <v>0</v>
      </c>
      <c r="V110" s="787">
        <v>0</v>
      </c>
      <c r="W110" s="787">
        <v>0</v>
      </c>
      <c r="X110" s="787">
        <f t="shared" si="8"/>
        <v>509272.37</v>
      </c>
      <c r="Y110" s="787">
        <v>7432161.25</v>
      </c>
      <c r="Z110" s="787">
        <v>0</v>
      </c>
      <c r="AA110" s="787">
        <v>2126308.7400000002</v>
      </c>
      <c r="AB110" s="787">
        <v>491170.88</v>
      </c>
      <c r="AC110" s="787">
        <v>904117.45</v>
      </c>
      <c r="AD110" s="787">
        <v>0</v>
      </c>
      <c r="AE110" s="787">
        <v>0</v>
      </c>
      <c r="AF110" s="787">
        <v>229656.91</v>
      </c>
      <c r="AG110" s="787">
        <v>23776</v>
      </c>
      <c r="AH110" s="787">
        <v>0</v>
      </c>
      <c r="AI110" s="787">
        <v>0</v>
      </c>
      <c r="AJ110" s="787">
        <v>834155.9</v>
      </c>
      <c r="AK110" s="787">
        <v>13490</v>
      </c>
      <c r="AL110" s="787">
        <v>28453</v>
      </c>
      <c r="AM110" s="787">
        <v>27056.080000000002</v>
      </c>
      <c r="AN110" s="787">
        <v>203051</v>
      </c>
      <c r="AO110" s="787">
        <v>0</v>
      </c>
      <c r="AP110" s="787">
        <v>43899</v>
      </c>
      <c r="AQ110" s="787">
        <v>392784</v>
      </c>
      <c r="AR110" s="787">
        <v>172499</v>
      </c>
      <c r="AS110" s="787">
        <v>9500</v>
      </c>
      <c r="AT110" s="787">
        <v>0</v>
      </c>
      <c r="AU110" s="787">
        <v>0</v>
      </c>
      <c r="AV110" s="787">
        <v>0</v>
      </c>
      <c r="AW110" s="787">
        <v>0</v>
      </c>
      <c r="AX110" s="787">
        <v>0</v>
      </c>
      <c r="AY110" s="787">
        <v>203411</v>
      </c>
      <c r="AZ110" s="787">
        <v>256986</v>
      </c>
      <c r="BA110" s="787">
        <v>16698</v>
      </c>
      <c r="BB110" s="787">
        <v>8220</v>
      </c>
      <c r="BC110" s="787">
        <v>319867</v>
      </c>
      <c r="BD110" s="787">
        <v>0</v>
      </c>
      <c r="BE110" s="787">
        <v>185732.28</v>
      </c>
      <c r="BF110" s="787">
        <v>149850</v>
      </c>
      <c r="BG110" s="787">
        <v>0</v>
      </c>
      <c r="BH110" s="787">
        <v>0</v>
      </c>
      <c r="BI110" s="787">
        <v>20548</v>
      </c>
      <c r="BJ110" s="787">
        <f t="shared" si="9"/>
        <v>14093391.49</v>
      </c>
      <c r="BK110" s="787"/>
      <c r="BL110" s="787"/>
      <c r="BM110" s="787"/>
      <c r="BN110" s="787">
        <v>0</v>
      </c>
      <c r="BO110" s="787">
        <v>0</v>
      </c>
      <c r="BP110" s="787">
        <v>20548</v>
      </c>
      <c r="BQ110" s="787">
        <f t="shared" si="10"/>
        <v>20548</v>
      </c>
      <c r="BR110" s="787">
        <v>20548</v>
      </c>
      <c r="BS110" s="787">
        <v>0</v>
      </c>
      <c r="BT110" s="787">
        <v>144115</v>
      </c>
      <c r="BU110" s="787">
        <v>0</v>
      </c>
      <c r="BV110" s="787">
        <v>0</v>
      </c>
      <c r="BW110" s="787">
        <v>0</v>
      </c>
      <c r="BX110" s="787">
        <v>0</v>
      </c>
      <c r="BY110" s="787">
        <v>0</v>
      </c>
      <c r="BZ110" s="787">
        <f t="shared" si="11"/>
        <v>164663</v>
      </c>
      <c r="CA110" s="787"/>
      <c r="CB110" s="787"/>
      <c r="CC110" s="787"/>
      <c r="CD110" s="787">
        <v>0</v>
      </c>
      <c r="CE110" s="787">
        <v>0</v>
      </c>
      <c r="CF110" s="787">
        <f t="shared" si="12"/>
        <v>0</v>
      </c>
      <c r="CG110" s="787">
        <v>0</v>
      </c>
      <c r="CH110" s="787">
        <v>0</v>
      </c>
      <c r="CI110" s="787">
        <f t="shared" si="13"/>
        <v>0</v>
      </c>
      <c r="CJ110" s="787"/>
      <c r="CK110" s="787"/>
      <c r="CL110" s="787"/>
      <c r="CM110" s="787"/>
      <c r="CN110" s="787"/>
      <c r="CO110" s="787"/>
      <c r="CP110" s="787"/>
      <c r="CQ110" s="787"/>
      <c r="CR110" s="787"/>
      <c r="CS110" s="787"/>
      <c r="CT110" s="787"/>
      <c r="CU110" s="787"/>
      <c r="CV110" s="787"/>
      <c r="CW110" s="787"/>
      <c r="CX110" s="787"/>
      <c r="CY110" s="787"/>
      <c r="CZ110" s="787"/>
      <c r="DA110" s="787"/>
      <c r="DB110" s="787"/>
      <c r="DC110" s="787"/>
      <c r="DD110" s="787"/>
      <c r="DE110" s="787"/>
      <c r="DF110" s="787"/>
      <c r="DG110" s="787"/>
      <c r="DH110" s="787"/>
      <c r="DI110" s="787"/>
      <c r="DJ110" s="787"/>
      <c r="DK110" s="787"/>
      <c r="DL110" s="787"/>
      <c r="DM110" s="787"/>
      <c r="DN110" s="787"/>
      <c r="DO110" s="787"/>
      <c r="DP110" s="787"/>
      <c r="DQ110" s="787"/>
      <c r="DR110" s="787"/>
      <c r="DS110" s="787"/>
      <c r="DT110" s="787"/>
      <c r="DU110" s="787"/>
      <c r="DV110" s="787"/>
      <c r="DW110" s="787"/>
      <c r="DX110" s="787"/>
      <c r="DY110" s="787"/>
      <c r="DZ110" s="787"/>
      <c r="EA110" s="787"/>
    </row>
    <row r="111" spans="1:131" ht="15.6">
      <c r="A111" s="782" t="s">
        <v>1404</v>
      </c>
      <c r="B111" s="782" t="s">
        <v>716</v>
      </c>
      <c r="C111" s="783">
        <v>2457</v>
      </c>
      <c r="D111" s="784" t="s">
        <v>717</v>
      </c>
      <c r="E111" s="785" t="s">
        <v>521</v>
      </c>
      <c r="F111" s="786" t="s">
        <v>1322</v>
      </c>
      <c r="G111" s="785" t="s">
        <v>5</v>
      </c>
      <c r="H111" s="785" t="str">
        <f t="shared" si="7"/>
        <v>AX044</v>
      </c>
      <c r="I111" s="787">
        <v>0.12148590572178364</v>
      </c>
      <c r="J111" s="787">
        <v>0</v>
      </c>
      <c r="K111" s="787">
        <v>1.8875999999581836</v>
      </c>
      <c r="L111" s="787">
        <v>0</v>
      </c>
      <c r="M111" s="787">
        <v>1060</v>
      </c>
      <c r="N111" s="787">
        <v>0</v>
      </c>
      <c r="O111" s="787">
        <v>0</v>
      </c>
      <c r="P111" s="787">
        <v>0</v>
      </c>
      <c r="Q111" s="787">
        <v>31752.275099999948</v>
      </c>
      <c r="R111" s="787">
        <v>0</v>
      </c>
      <c r="S111" s="787">
        <v>0</v>
      </c>
      <c r="T111" s="787">
        <v>0</v>
      </c>
      <c r="U111" s="787">
        <v>12617.91</v>
      </c>
      <c r="V111" s="787">
        <v>51047.69</v>
      </c>
      <c r="W111" s="787">
        <v>0</v>
      </c>
      <c r="X111" s="787">
        <f t="shared" si="8"/>
        <v>96479.884185905627</v>
      </c>
      <c r="Y111" s="787">
        <v>1597116.19</v>
      </c>
      <c r="Z111" s="787">
        <v>0</v>
      </c>
      <c r="AA111" s="787">
        <v>646007.32000000007</v>
      </c>
      <c r="AB111" s="787">
        <v>130712.59</v>
      </c>
      <c r="AC111" s="787">
        <v>195893.62999999998</v>
      </c>
      <c r="AD111" s="787">
        <v>0</v>
      </c>
      <c r="AE111" s="787">
        <v>69735.149999999994</v>
      </c>
      <c r="AF111" s="787">
        <v>9976.25</v>
      </c>
      <c r="AG111" s="787">
        <v>8961.86</v>
      </c>
      <c r="AH111" s="787">
        <v>0</v>
      </c>
      <c r="AI111" s="787">
        <v>0</v>
      </c>
      <c r="AJ111" s="787">
        <v>46036.22</v>
      </c>
      <c r="AK111" s="787">
        <v>0</v>
      </c>
      <c r="AL111" s="787">
        <v>7549.79</v>
      </c>
      <c r="AM111" s="787">
        <v>4691.41</v>
      </c>
      <c r="AN111" s="787">
        <v>58003.17</v>
      </c>
      <c r="AO111" s="787">
        <v>0</v>
      </c>
      <c r="AP111" s="787">
        <v>62000.66</v>
      </c>
      <c r="AQ111" s="787">
        <v>93641.489999999991</v>
      </c>
      <c r="AR111" s="787">
        <v>0</v>
      </c>
      <c r="AS111" s="787">
        <v>0</v>
      </c>
      <c r="AT111" s="787">
        <v>0</v>
      </c>
      <c r="AU111" s="787">
        <v>353.4</v>
      </c>
      <c r="AV111" s="787">
        <v>0</v>
      </c>
      <c r="AW111" s="787">
        <v>3215.14</v>
      </c>
      <c r="AX111" s="787">
        <v>0</v>
      </c>
      <c r="AY111" s="787">
        <v>0</v>
      </c>
      <c r="AZ111" s="787">
        <v>32779.94</v>
      </c>
      <c r="BA111" s="787">
        <v>0</v>
      </c>
      <c r="BB111" s="787">
        <v>10520</v>
      </c>
      <c r="BC111" s="787">
        <v>214891.68</v>
      </c>
      <c r="BD111" s="787">
        <v>50656.46</v>
      </c>
      <c r="BE111" s="787">
        <v>9132.1900000000023</v>
      </c>
      <c r="BF111" s="787">
        <v>244380</v>
      </c>
      <c r="BG111" s="787">
        <v>0</v>
      </c>
      <c r="BH111" s="787">
        <v>0</v>
      </c>
      <c r="BI111" s="787">
        <v>0</v>
      </c>
      <c r="BJ111" s="787">
        <f t="shared" si="9"/>
        <v>3496254.5399999996</v>
      </c>
      <c r="BK111" s="787"/>
      <c r="BL111" s="787"/>
      <c r="BM111" s="787"/>
      <c r="BN111" s="787">
        <v>0</v>
      </c>
      <c r="BO111" s="787">
        <v>0</v>
      </c>
      <c r="BP111" s="787">
        <v>0</v>
      </c>
      <c r="BQ111" s="787">
        <f t="shared" si="10"/>
        <v>0</v>
      </c>
      <c r="BR111" s="787">
        <v>0</v>
      </c>
      <c r="BS111" s="787">
        <v>0</v>
      </c>
      <c r="BT111" s="787">
        <v>0</v>
      </c>
      <c r="BU111" s="787">
        <v>0</v>
      </c>
      <c r="BV111" s="787">
        <v>0</v>
      </c>
      <c r="BW111" s="787">
        <v>0</v>
      </c>
      <c r="BX111" s="787">
        <v>0</v>
      </c>
      <c r="BY111" s="787">
        <v>0</v>
      </c>
      <c r="BZ111" s="787">
        <f t="shared" si="11"/>
        <v>0</v>
      </c>
      <c r="CA111" s="787"/>
      <c r="CB111" s="787"/>
      <c r="CC111" s="787"/>
      <c r="CD111" s="787">
        <v>0</v>
      </c>
      <c r="CE111" s="787">
        <v>0</v>
      </c>
      <c r="CF111" s="787">
        <f t="shared" si="12"/>
        <v>0</v>
      </c>
      <c r="CG111" s="787">
        <v>0</v>
      </c>
      <c r="CH111" s="787">
        <v>0</v>
      </c>
      <c r="CI111" s="787">
        <f t="shared" si="13"/>
        <v>0</v>
      </c>
      <c r="CJ111" s="787"/>
      <c r="CK111" s="787"/>
      <c r="CL111" s="787"/>
      <c r="CM111" s="787"/>
      <c r="CN111" s="787"/>
      <c r="CO111" s="787"/>
      <c r="CP111" s="787"/>
      <c r="CQ111" s="787"/>
      <c r="CR111" s="787"/>
      <c r="CS111" s="787">
        <v>1138349.0900000001</v>
      </c>
      <c r="CT111" s="787">
        <v>17648.72</v>
      </c>
      <c r="CU111" s="787">
        <v>17648.72</v>
      </c>
      <c r="CV111" s="787">
        <v>1138349.0900000001</v>
      </c>
      <c r="CW111" s="787">
        <v>-1085</v>
      </c>
      <c r="CX111" s="787">
        <v>4783.78</v>
      </c>
      <c r="CY111" s="787">
        <v>4549.66</v>
      </c>
      <c r="CZ111" s="787">
        <v>0</v>
      </c>
      <c r="DA111" s="787">
        <v>0</v>
      </c>
      <c r="DB111" s="787">
        <v>1146597.53</v>
      </c>
      <c r="DC111" s="787">
        <v>0</v>
      </c>
      <c r="DD111" s="787">
        <v>0</v>
      </c>
      <c r="DE111" s="787">
        <v>0</v>
      </c>
      <c r="DF111" s="787">
        <v>0</v>
      </c>
      <c r="DG111" s="787"/>
      <c r="DH111" s="787"/>
      <c r="DI111" s="787"/>
      <c r="DJ111" s="787">
        <v>0</v>
      </c>
      <c r="DK111" s="787">
        <v>0</v>
      </c>
      <c r="DL111" s="787">
        <v>0</v>
      </c>
      <c r="DM111" s="787">
        <v>0</v>
      </c>
      <c r="DN111" s="787">
        <v>0</v>
      </c>
      <c r="DO111" s="787">
        <v>0</v>
      </c>
      <c r="DP111" s="787">
        <v>-292474.53000000003</v>
      </c>
      <c r="DQ111" s="787">
        <v>-44878.59</v>
      </c>
      <c r="DR111" s="787">
        <v>-7000</v>
      </c>
      <c r="DS111" s="787">
        <v>-9067.59</v>
      </c>
      <c r="DT111" s="787">
        <v>-353420.71</v>
      </c>
      <c r="DU111" s="787">
        <v>0</v>
      </c>
      <c r="DV111" s="787">
        <v>0</v>
      </c>
      <c r="DW111" s="787">
        <v>0</v>
      </c>
      <c r="DX111" s="787">
        <v>0</v>
      </c>
      <c r="DY111" s="787">
        <v>0</v>
      </c>
      <c r="DZ111" s="787">
        <v>-48460.4</v>
      </c>
      <c r="EA111" s="787">
        <v>-5.999999784398824E-2</v>
      </c>
    </row>
    <row r="112" spans="1:131" ht="15.6">
      <c r="A112" s="782" t="s">
        <v>1405</v>
      </c>
      <c r="B112" s="782" t="s">
        <v>718</v>
      </c>
      <c r="C112" s="783">
        <v>2142</v>
      </c>
      <c r="D112" s="784" t="s">
        <v>719</v>
      </c>
      <c r="E112" s="785" t="s">
        <v>521</v>
      </c>
      <c r="F112" s="786">
        <v>46095</v>
      </c>
      <c r="G112" s="785" t="s">
        <v>5</v>
      </c>
      <c r="H112" s="785" t="str">
        <f t="shared" si="7"/>
        <v>AX043</v>
      </c>
      <c r="I112" s="787">
        <v>0</v>
      </c>
      <c r="J112" s="787">
        <v>0</v>
      </c>
      <c r="K112" s="787">
        <v>0</v>
      </c>
      <c r="L112" s="787">
        <v>0</v>
      </c>
      <c r="M112" s="787">
        <v>0</v>
      </c>
      <c r="N112" s="787">
        <v>0</v>
      </c>
      <c r="O112" s="787">
        <v>0</v>
      </c>
      <c r="P112" s="787">
        <v>0</v>
      </c>
      <c r="Q112" s="787">
        <v>40059.358590000025</v>
      </c>
      <c r="R112" s="787">
        <v>0</v>
      </c>
      <c r="S112" s="787">
        <v>0</v>
      </c>
      <c r="T112" s="787">
        <v>0</v>
      </c>
      <c r="U112" s="787">
        <v>8641.9699999999993</v>
      </c>
      <c r="V112" s="787">
        <v>89633</v>
      </c>
      <c r="W112" s="787">
        <v>0</v>
      </c>
      <c r="X112" s="787">
        <f t="shared" si="8"/>
        <v>138334.32859000002</v>
      </c>
      <c r="Y112" s="787">
        <v>1787498.52</v>
      </c>
      <c r="Z112" s="787">
        <v>0</v>
      </c>
      <c r="AA112" s="787">
        <v>325176.71000000002</v>
      </c>
      <c r="AB112" s="787">
        <v>54057.72</v>
      </c>
      <c r="AC112" s="787">
        <v>66028.47</v>
      </c>
      <c r="AD112" s="787">
        <v>0</v>
      </c>
      <c r="AE112" s="787">
        <v>117756.76</v>
      </c>
      <c r="AF112" s="787">
        <v>21212.38</v>
      </c>
      <c r="AG112" s="787">
        <v>16077.68</v>
      </c>
      <c r="AH112" s="787">
        <v>0</v>
      </c>
      <c r="AI112" s="787">
        <v>0</v>
      </c>
      <c r="AJ112" s="787">
        <v>24411.759999999998</v>
      </c>
      <c r="AK112" s="787">
        <v>2270</v>
      </c>
      <c r="AL112" s="787">
        <v>43690.33</v>
      </c>
      <c r="AM112" s="787">
        <v>1254.6199999999999</v>
      </c>
      <c r="AN112" s="787">
        <v>19336.509999999998</v>
      </c>
      <c r="AO112" s="787">
        <v>0</v>
      </c>
      <c r="AP112" s="787">
        <v>30707.94</v>
      </c>
      <c r="AQ112" s="787">
        <v>142098</v>
      </c>
      <c r="AR112" s="787">
        <v>0</v>
      </c>
      <c r="AS112" s="787">
        <v>0</v>
      </c>
      <c r="AT112" s="787">
        <v>9913.2800000000007</v>
      </c>
      <c r="AU112" s="787">
        <v>0</v>
      </c>
      <c r="AV112" s="787">
        <v>1016.95</v>
      </c>
      <c r="AW112" s="787">
        <v>0</v>
      </c>
      <c r="AX112" s="787">
        <v>0</v>
      </c>
      <c r="AY112" s="787">
        <v>0</v>
      </c>
      <c r="AZ112" s="787">
        <v>209119.14</v>
      </c>
      <c r="BA112" s="787">
        <v>0</v>
      </c>
      <c r="BB112" s="787">
        <v>13568.33</v>
      </c>
      <c r="BC112" s="787">
        <v>200943.55000000002</v>
      </c>
      <c r="BD112" s="787">
        <v>68108.77</v>
      </c>
      <c r="BE112" s="787">
        <v>0</v>
      </c>
      <c r="BF112" s="787">
        <v>388823.34</v>
      </c>
      <c r="BG112" s="787">
        <v>0</v>
      </c>
      <c r="BH112" s="787">
        <v>0</v>
      </c>
      <c r="BI112" s="787">
        <v>0</v>
      </c>
      <c r="BJ112" s="787">
        <f t="shared" si="9"/>
        <v>3543070.76</v>
      </c>
      <c r="BK112" s="787"/>
      <c r="BL112" s="787"/>
      <c r="BM112" s="787"/>
      <c r="BN112" s="787">
        <v>0</v>
      </c>
      <c r="BO112" s="787">
        <v>0</v>
      </c>
      <c r="BP112" s="787">
        <v>0</v>
      </c>
      <c r="BQ112" s="787">
        <f t="shared" si="10"/>
        <v>0</v>
      </c>
      <c r="BR112" s="787">
        <v>17973.990000000002</v>
      </c>
      <c r="BS112" s="787">
        <v>0</v>
      </c>
      <c r="BT112" s="787">
        <v>0</v>
      </c>
      <c r="BU112" s="787">
        <v>0</v>
      </c>
      <c r="BV112" s="787">
        <v>0</v>
      </c>
      <c r="BW112" s="787">
        <v>0</v>
      </c>
      <c r="BX112" s="787">
        <v>0</v>
      </c>
      <c r="BY112" s="787">
        <v>0</v>
      </c>
      <c r="BZ112" s="787">
        <f t="shared" si="11"/>
        <v>17973.990000000002</v>
      </c>
      <c r="CA112" s="787"/>
      <c r="CB112" s="787"/>
      <c r="CC112" s="787"/>
      <c r="CD112" s="787">
        <v>0</v>
      </c>
      <c r="CE112" s="787">
        <v>0</v>
      </c>
      <c r="CF112" s="787">
        <f t="shared" si="12"/>
        <v>0</v>
      </c>
      <c r="CG112" s="787">
        <v>0</v>
      </c>
      <c r="CH112" s="787">
        <v>0</v>
      </c>
      <c r="CI112" s="787">
        <f t="shared" si="13"/>
        <v>0</v>
      </c>
      <c r="CJ112" s="787"/>
      <c r="CK112" s="787"/>
      <c r="CL112" s="787"/>
      <c r="CM112" s="787"/>
      <c r="CN112" s="787"/>
      <c r="CO112" s="787"/>
      <c r="CP112" s="787"/>
      <c r="CQ112" s="787"/>
      <c r="CR112" s="787"/>
      <c r="CS112" s="787"/>
      <c r="CT112" s="787"/>
      <c r="CU112" s="787"/>
      <c r="CV112" s="787"/>
      <c r="CW112" s="787"/>
      <c r="CX112" s="787"/>
      <c r="CY112" s="787"/>
      <c r="CZ112" s="787"/>
      <c r="DA112" s="787"/>
      <c r="DB112" s="787"/>
      <c r="DC112" s="787"/>
      <c r="DD112" s="787"/>
      <c r="DE112" s="787"/>
      <c r="DF112" s="787"/>
      <c r="DG112" s="787"/>
      <c r="DH112" s="787"/>
      <c r="DI112" s="787"/>
      <c r="DJ112" s="787"/>
      <c r="DK112" s="787"/>
      <c r="DL112" s="787"/>
      <c r="DM112" s="787"/>
      <c r="DN112" s="787"/>
      <c r="DO112" s="787"/>
      <c r="DP112" s="787"/>
      <c r="DQ112" s="787"/>
      <c r="DR112" s="787"/>
      <c r="DS112" s="787"/>
      <c r="DT112" s="787"/>
      <c r="DU112" s="787"/>
      <c r="DV112" s="787"/>
      <c r="DW112" s="787"/>
      <c r="DX112" s="787"/>
      <c r="DY112" s="787"/>
      <c r="DZ112" s="787"/>
      <c r="EA112" s="787"/>
    </row>
    <row r="113" spans="1:131" ht="15.6">
      <c r="A113" s="782" t="s">
        <v>1406</v>
      </c>
      <c r="B113" s="782" t="s">
        <v>720</v>
      </c>
      <c r="C113" s="783">
        <v>2469</v>
      </c>
      <c r="D113" s="784" t="s">
        <v>721</v>
      </c>
      <c r="E113" s="785" t="s">
        <v>521</v>
      </c>
      <c r="F113" s="786" t="s">
        <v>1315</v>
      </c>
      <c r="G113" s="785" t="s">
        <v>5</v>
      </c>
      <c r="H113" s="785" t="str">
        <f t="shared" si="7"/>
        <v>AX045</v>
      </c>
      <c r="I113" s="787">
        <v>0</v>
      </c>
      <c r="J113" s="787">
        <v>0</v>
      </c>
      <c r="K113" s="787">
        <v>0</v>
      </c>
      <c r="L113" s="787">
        <v>0</v>
      </c>
      <c r="M113" s="787">
        <v>4000</v>
      </c>
      <c r="N113" s="787">
        <v>0</v>
      </c>
      <c r="O113" s="787">
        <v>360</v>
      </c>
      <c r="P113" s="787">
        <v>4697.83</v>
      </c>
      <c r="Q113" s="787">
        <v>436188.08</v>
      </c>
      <c r="R113" s="787">
        <v>0</v>
      </c>
      <c r="S113" s="787">
        <v>0</v>
      </c>
      <c r="T113" s="787">
        <v>0</v>
      </c>
      <c r="U113" s="787">
        <v>14650.96</v>
      </c>
      <c r="V113" s="787">
        <v>0</v>
      </c>
      <c r="W113" s="787">
        <v>0</v>
      </c>
      <c r="X113" s="787">
        <f t="shared" si="8"/>
        <v>459896.87000000005</v>
      </c>
      <c r="Y113" s="787">
        <v>1333928.76</v>
      </c>
      <c r="Z113" s="787">
        <v>0</v>
      </c>
      <c r="AA113" s="787">
        <v>417374.19</v>
      </c>
      <c r="AB113" s="787">
        <v>50469.13</v>
      </c>
      <c r="AC113" s="787">
        <v>247472.46</v>
      </c>
      <c r="AD113" s="787">
        <v>55347.76</v>
      </c>
      <c r="AE113" s="787">
        <v>90672.48000000001</v>
      </c>
      <c r="AF113" s="787">
        <v>1779.22</v>
      </c>
      <c r="AG113" s="787">
        <v>5824.84</v>
      </c>
      <c r="AH113" s="787">
        <v>10024.59</v>
      </c>
      <c r="AI113" s="787">
        <v>0</v>
      </c>
      <c r="AJ113" s="787">
        <v>23703</v>
      </c>
      <c r="AK113" s="787">
        <v>6845.41</v>
      </c>
      <c r="AL113" s="787">
        <v>31515.200000000001</v>
      </c>
      <c r="AM113" s="787">
        <v>23301.16</v>
      </c>
      <c r="AN113" s="787">
        <v>79750.7</v>
      </c>
      <c r="AO113" s="787">
        <v>0</v>
      </c>
      <c r="AP113" s="787">
        <v>13917.89</v>
      </c>
      <c r="AQ113" s="787">
        <v>61045.67</v>
      </c>
      <c r="AR113" s="787">
        <v>0</v>
      </c>
      <c r="AS113" s="787">
        <v>0</v>
      </c>
      <c r="AT113" s="787">
        <v>0</v>
      </c>
      <c r="AU113" s="787">
        <v>0</v>
      </c>
      <c r="AV113" s="787">
        <v>12.29</v>
      </c>
      <c r="AW113" s="787">
        <v>0</v>
      </c>
      <c r="AX113" s="787">
        <v>0</v>
      </c>
      <c r="AY113" s="787">
        <v>0</v>
      </c>
      <c r="AZ113" s="787">
        <v>342728.28</v>
      </c>
      <c r="BA113" s="787">
        <v>0</v>
      </c>
      <c r="BB113" s="787">
        <v>0</v>
      </c>
      <c r="BC113" s="787">
        <v>26363.61</v>
      </c>
      <c r="BD113" s="787">
        <v>25213.5</v>
      </c>
      <c r="BE113" s="787">
        <v>0</v>
      </c>
      <c r="BF113" s="787">
        <v>152467.31</v>
      </c>
      <c r="BG113" s="787">
        <v>0</v>
      </c>
      <c r="BH113" s="787">
        <v>0</v>
      </c>
      <c r="BI113" s="787">
        <v>0</v>
      </c>
      <c r="BJ113" s="787">
        <f t="shared" si="9"/>
        <v>2999757.45</v>
      </c>
      <c r="BK113" s="787"/>
      <c r="BL113" s="787"/>
      <c r="BM113" s="787"/>
      <c r="BN113" s="787">
        <v>0</v>
      </c>
      <c r="BO113" s="787">
        <v>0</v>
      </c>
      <c r="BP113" s="787">
        <v>0</v>
      </c>
      <c r="BQ113" s="787">
        <f t="shared" si="10"/>
        <v>0</v>
      </c>
      <c r="BR113" s="787">
        <v>0</v>
      </c>
      <c r="BS113" s="787">
        <v>143</v>
      </c>
      <c r="BT113" s="787">
        <v>0</v>
      </c>
      <c r="BU113" s="787">
        <v>0</v>
      </c>
      <c r="BV113" s="787">
        <v>0</v>
      </c>
      <c r="BW113" s="787">
        <v>0</v>
      </c>
      <c r="BX113" s="787">
        <v>2130.94</v>
      </c>
      <c r="BY113" s="787">
        <v>0</v>
      </c>
      <c r="BZ113" s="787">
        <f t="shared" si="11"/>
        <v>2273.94</v>
      </c>
      <c r="CA113" s="787"/>
      <c r="CB113" s="787"/>
      <c r="CC113" s="787"/>
      <c r="CD113" s="787">
        <v>0</v>
      </c>
      <c r="CE113" s="787">
        <v>0</v>
      </c>
      <c r="CF113" s="787">
        <f t="shared" si="12"/>
        <v>0</v>
      </c>
      <c r="CG113" s="787">
        <v>0</v>
      </c>
      <c r="CH113" s="787">
        <v>0</v>
      </c>
      <c r="CI113" s="787">
        <f t="shared" si="13"/>
        <v>0</v>
      </c>
      <c r="CJ113" s="787"/>
      <c r="CK113" s="787"/>
      <c r="CL113" s="787"/>
      <c r="CM113" s="787"/>
      <c r="CN113" s="787"/>
      <c r="CO113" s="787"/>
      <c r="CP113" s="787"/>
      <c r="CQ113" s="787"/>
      <c r="CR113" s="787"/>
      <c r="CS113" s="787"/>
      <c r="CT113" s="787"/>
      <c r="CU113" s="787"/>
      <c r="CV113" s="787"/>
      <c r="CW113" s="787"/>
      <c r="CX113" s="787"/>
      <c r="CY113" s="787"/>
      <c r="CZ113" s="787"/>
      <c r="DA113" s="787"/>
      <c r="DB113" s="787"/>
      <c r="DC113" s="787"/>
      <c r="DD113" s="787"/>
      <c r="DE113" s="787"/>
      <c r="DF113" s="787"/>
      <c r="DG113" s="787"/>
      <c r="DH113" s="787"/>
      <c r="DI113" s="787"/>
      <c r="DJ113" s="787"/>
      <c r="DK113" s="787"/>
      <c r="DL113" s="787"/>
      <c r="DM113" s="787"/>
      <c r="DN113" s="787"/>
      <c r="DO113" s="787"/>
      <c r="DP113" s="787"/>
      <c r="DQ113" s="787"/>
      <c r="DR113" s="787"/>
      <c r="DS113" s="787"/>
      <c r="DT113" s="787"/>
      <c r="DU113" s="787"/>
      <c r="DV113" s="787"/>
      <c r="DW113" s="787"/>
      <c r="DX113" s="787"/>
      <c r="DY113" s="787"/>
      <c r="DZ113" s="787"/>
      <c r="EA113" s="787"/>
    </row>
    <row r="114" spans="1:131" ht="15.6">
      <c r="A114" s="782" t="s">
        <v>1407</v>
      </c>
      <c r="B114" s="782" t="s">
        <v>906</v>
      </c>
      <c r="C114" s="783">
        <v>1028</v>
      </c>
      <c r="D114" s="784" t="s">
        <v>907</v>
      </c>
      <c r="E114" s="785" t="s">
        <v>521</v>
      </c>
      <c r="F114" s="786">
        <v>46094</v>
      </c>
      <c r="G114" s="785" t="s">
        <v>5</v>
      </c>
      <c r="H114" s="785" t="str">
        <f t="shared" si="7"/>
        <v>AX047</v>
      </c>
      <c r="I114" s="787">
        <v>0</v>
      </c>
      <c r="J114" s="787">
        <v>0</v>
      </c>
      <c r="K114" s="787">
        <v>0</v>
      </c>
      <c r="L114" s="787">
        <v>0</v>
      </c>
      <c r="M114" s="787">
        <v>0</v>
      </c>
      <c r="N114" s="787">
        <v>0</v>
      </c>
      <c r="O114" s="787">
        <v>0</v>
      </c>
      <c r="P114" s="787">
        <v>0</v>
      </c>
      <c r="Q114" s="787">
        <v>12710.88</v>
      </c>
      <c r="R114" s="787">
        <v>0</v>
      </c>
      <c r="S114" s="787">
        <v>0</v>
      </c>
      <c r="T114" s="787">
        <v>0</v>
      </c>
      <c r="U114" s="787">
        <v>5845.65</v>
      </c>
      <c r="V114" s="787">
        <v>69076.350000000006</v>
      </c>
      <c r="W114" s="787">
        <v>0</v>
      </c>
      <c r="X114" s="787">
        <f t="shared" si="8"/>
        <v>87632.88</v>
      </c>
      <c r="Y114" s="787">
        <v>116257.36</v>
      </c>
      <c r="Z114" s="787">
        <v>20370.41</v>
      </c>
      <c r="AA114" s="787">
        <v>192178.24</v>
      </c>
      <c r="AB114" s="787">
        <v>1008.15</v>
      </c>
      <c r="AC114" s="787">
        <v>95555.93</v>
      </c>
      <c r="AD114" s="787">
        <v>0</v>
      </c>
      <c r="AE114" s="787">
        <v>0</v>
      </c>
      <c r="AF114" s="787">
        <v>8792.7900000000009</v>
      </c>
      <c r="AG114" s="787">
        <v>1031.1099999999999</v>
      </c>
      <c r="AH114" s="787">
        <v>0</v>
      </c>
      <c r="AI114" s="787">
        <v>0</v>
      </c>
      <c r="AJ114" s="787">
        <v>5023.97</v>
      </c>
      <c r="AK114" s="787">
        <v>475.03</v>
      </c>
      <c r="AL114" s="787">
        <v>14637.74</v>
      </c>
      <c r="AM114" s="787">
        <v>2185.7159999999999</v>
      </c>
      <c r="AN114" s="787">
        <v>6546.01</v>
      </c>
      <c r="AO114" s="787">
        <v>34000</v>
      </c>
      <c r="AP114" s="787">
        <v>24779.61</v>
      </c>
      <c r="AQ114" s="787">
        <v>10627.81</v>
      </c>
      <c r="AR114" s="787">
        <v>1801</v>
      </c>
      <c r="AS114" s="787">
        <v>0</v>
      </c>
      <c r="AT114" s="787">
        <v>0</v>
      </c>
      <c r="AU114" s="787">
        <v>0</v>
      </c>
      <c r="AV114" s="787">
        <v>0</v>
      </c>
      <c r="AW114" s="787">
        <v>0</v>
      </c>
      <c r="AX114" s="787">
        <v>0</v>
      </c>
      <c r="AY114" s="787">
        <v>13.1</v>
      </c>
      <c r="AZ114" s="787">
        <v>7694.08</v>
      </c>
      <c r="BA114" s="787">
        <v>0</v>
      </c>
      <c r="BB114" s="787">
        <v>360</v>
      </c>
      <c r="BC114" s="787">
        <v>5499.04</v>
      </c>
      <c r="BD114" s="787">
        <v>2819.06</v>
      </c>
      <c r="BE114" s="787">
        <v>0</v>
      </c>
      <c r="BF114" s="787">
        <v>172940.38</v>
      </c>
      <c r="BG114" s="787">
        <v>0</v>
      </c>
      <c r="BH114" s="787">
        <v>0</v>
      </c>
      <c r="BI114" s="787">
        <v>0</v>
      </c>
      <c r="BJ114" s="787">
        <f t="shared" si="9"/>
        <v>724596.53600000008</v>
      </c>
      <c r="BK114" s="787"/>
      <c r="BL114" s="787"/>
      <c r="BM114" s="787"/>
      <c r="BN114" s="787">
        <v>0</v>
      </c>
      <c r="BO114" s="787">
        <v>0</v>
      </c>
      <c r="BP114" s="787">
        <v>0</v>
      </c>
      <c r="BQ114" s="787">
        <f t="shared" si="10"/>
        <v>0</v>
      </c>
      <c r="BR114" s="787">
        <v>4567</v>
      </c>
      <c r="BS114" s="787">
        <v>0</v>
      </c>
      <c r="BT114" s="787">
        <v>0</v>
      </c>
      <c r="BU114" s="787">
        <v>0</v>
      </c>
      <c r="BV114" s="787">
        <v>0</v>
      </c>
      <c r="BW114" s="787">
        <v>0</v>
      </c>
      <c r="BX114" s="787">
        <v>0</v>
      </c>
      <c r="BY114" s="787">
        <v>0</v>
      </c>
      <c r="BZ114" s="787">
        <f t="shared" si="11"/>
        <v>4567</v>
      </c>
      <c r="CA114" s="787"/>
      <c r="CB114" s="787"/>
      <c r="CC114" s="787"/>
      <c r="CD114" s="787">
        <v>0</v>
      </c>
      <c r="CE114" s="787">
        <v>0</v>
      </c>
      <c r="CF114" s="787">
        <f t="shared" si="12"/>
        <v>0</v>
      </c>
      <c r="CG114" s="787">
        <v>0</v>
      </c>
      <c r="CH114" s="787">
        <v>0</v>
      </c>
      <c r="CI114" s="787">
        <f t="shared" si="13"/>
        <v>0</v>
      </c>
      <c r="CJ114" s="787"/>
      <c r="CK114" s="787"/>
      <c r="CL114" s="787"/>
      <c r="CM114" s="787"/>
      <c r="CN114" s="787"/>
      <c r="CO114" s="787"/>
      <c r="CP114" s="787"/>
      <c r="CQ114" s="787"/>
      <c r="CR114" s="787"/>
      <c r="CS114" s="787">
        <v>109893.96</v>
      </c>
      <c r="CT114" s="787">
        <v>12844.32</v>
      </c>
      <c r="CU114" s="787">
        <v>0</v>
      </c>
      <c r="CV114" s="787">
        <v>97049.640000000014</v>
      </c>
      <c r="CW114" s="787">
        <v>0</v>
      </c>
      <c r="CX114" s="787">
        <v>4426.8599999999997</v>
      </c>
      <c r="CY114" s="787">
        <v>204.3</v>
      </c>
      <c r="CZ114" s="787">
        <v>9302</v>
      </c>
      <c r="DA114" s="787">
        <v>0</v>
      </c>
      <c r="DB114" s="787">
        <v>110982.80000000002</v>
      </c>
      <c r="DC114" s="787">
        <v>0</v>
      </c>
      <c r="DD114" s="787">
        <v>0</v>
      </c>
      <c r="DE114" s="787">
        <v>0</v>
      </c>
      <c r="DF114" s="787">
        <v>0</v>
      </c>
      <c r="DG114" s="787"/>
      <c r="DH114" s="787"/>
      <c r="DI114" s="787"/>
      <c r="DJ114" s="787">
        <v>-107490.81</v>
      </c>
      <c r="DK114" s="787">
        <v>-107490.81</v>
      </c>
      <c r="DL114" s="787">
        <v>0</v>
      </c>
      <c r="DM114" s="787">
        <v>0</v>
      </c>
      <c r="DN114" s="787">
        <v>0</v>
      </c>
      <c r="DO114" s="787">
        <v>0</v>
      </c>
      <c r="DP114" s="787">
        <v>-27298.080000000002</v>
      </c>
      <c r="DQ114" s="787">
        <v>-34000</v>
      </c>
      <c r="DR114" s="787">
        <v>0</v>
      </c>
      <c r="DS114" s="787">
        <v>0</v>
      </c>
      <c r="DT114" s="787">
        <v>-61298.080000000002</v>
      </c>
      <c r="DU114" s="787">
        <v>0</v>
      </c>
      <c r="DV114" s="787">
        <v>0</v>
      </c>
      <c r="DW114" s="787">
        <v>-916.15</v>
      </c>
      <c r="DX114" s="787">
        <v>0</v>
      </c>
      <c r="DY114" s="787">
        <v>0</v>
      </c>
      <c r="DZ114" s="787">
        <v>-35299.22</v>
      </c>
      <c r="EA114" s="787">
        <v>9.5540003952919506E-2</v>
      </c>
    </row>
    <row r="115" spans="1:131" ht="15.6">
      <c r="A115" s="782" t="s">
        <v>1408</v>
      </c>
      <c r="B115" s="782" t="s">
        <v>722</v>
      </c>
      <c r="C115" s="783">
        <v>1049</v>
      </c>
      <c r="D115" s="784" t="s">
        <v>723</v>
      </c>
      <c r="E115" s="785" t="s">
        <v>521</v>
      </c>
      <c r="F115" s="786">
        <v>46094</v>
      </c>
      <c r="G115" s="785" t="s">
        <v>5</v>
      </c>
      <c r="H115" s="785" t="str">
        <f t="shared" si="7"/>
        <v>AX04B</v>
      </c>
      <c r="I115" s="787">
        <v>0</v>
      </c>
      <c r="J115" s="787">
        <v>0</v>
      </c>
      <c r="K115" s="787">
        <v>0</v>
      </c>
      <c r="L115" s="787">
        <v>0</v>
      </c>
      <c r="M115" s="787">
        <v>0</v>
      </c>
      <c r="N115" s="787">
        <v>0</v>
      </c>
      <c r="O115" s="787">
        <v>28750</v>
      </c>
      <c r="P115" s="787">
        <v>0</v>
      </c>
      <c r="Q115" s="787">
        <v>198958.41</v>
      </c>
      <c r="R115" s="787">
        <v>0</v>
      </c>
      <c r="S115" s="787">
        <v>0</v>
      </c>
      <c r="T115" s="787">
        <v>0</v>
      </c>
      <c r="U115" s="787">
        <v>6227.24</v>
      </c>
      <c r="V115" s="787">
        <v>0</v>
      </c>
      <c r="W115" s="787">
        <v>0</v>
      </c>
      <c r="X115" s="787">
        <f t="shared" si="8"/>
        <v>233935.65</v>
      </c>
      <c r="Y115" s="787">
        <v>291950.7</v>
      </c>
      <c r="Z115" s="787">
        <v>0</v>
      </c>
      <c r="AA115" s="787">
        <v>230229.73</v>
      </c>
      <c r="AB115" s="787">
        <v>24626.62</v>
      </c>
      <c r="AC115" s="787">
        <v>164217.02000000002</v>
      </c>
      <c r="AD115" s="787">
        <v>0</v>
      </c>
      <c r="AE115" s="787">
        <v>20014.7</v>
      </c>
      <c r="AF115" s="787">
        <v>1421.91</v>
      </c>
      <c r="AG115" s="787">
        <v>131.44999999999999</v>
      </c>
      <c r="AH115" s="787">
        <v>0</v>
      </c>
      <c r="AI115" s="787">
        <v>0</v>
      </c>
      <c r="AJ115" s="787">
        <v>15979.23</v>
      </c>
      <c r="AK115" s="787">
        <v>3789.22</v>
      </c>
      <c r="AL115" s="787">
        <v>10414.01</v>
      </c>
      <c r="AM115" s="787">
        <v>1125.57</v>
      </c>
      <c r="AN115" s="787">
        <v>5282.5</v>
      </c>
      <c r="AO115" s="787">
        <v>0</v>
      </c>
      <c r="AP115" s="787">
        <v>11218.66</v>
      </c>
      <c r="AQ115" s="787">
        <v>9754.0400000000009</v>
      </c>
      <c r="AR115" s="787">
        <v>0</v>
      </c>
      <c r="AS115" s="787">
        <v>0</v>
      </c>
      <c r="AT115" s="787">
        <v>0</v>
      </c>
      <c r="AU115" s="787">
        <v>0</v>
      </c>
      <c r="AV115" s="787">
        <v>5365.06</v>
      </c>
      <c r="AW115" s="787">
        <v>0</v>
      </c>
      <c r="AX115" s="787">
        <v>0</v>
      </c>
      <c r="AY115" s="787">
        <v>0</v>
      </c>
      <c r="AZ115" s="787">
        <v>62800.81</v>
      </c>
      <c r="BA115" s="787">
        <v>0</v>
      </c>
      <c r="BB115" s="787">
        <v>0</v>
      </c>
      <c r="BC115" s="787">
        <v>10161.959999999999</v>
      </c>
      <c r="BD115" s="787">
        <v>21094.86</v>
      </c>
      <c r="BE115" s="787">
        <v>92.97</v>
      </c>
      <c r="BF115" s="787">
        <v>142752.78</v>
      </c>
      <c r="BG115" s="787">
        <v>0</v>
      </c>
      <c r="BH115" s="787">
        <v>0</v>
      </c>
      <c r="BI115" s="787">
        <v>0</v>
      </c>
      <c r="BJ115" s="787">
        <f t="shared" si="9"/>
        <v>1032423.7999999999</v>
      </c>
      <c r="BK115" s="787"/>
      <c r="BL115" s="787"/>
      <c r="BM115" s="787"/>
      <c r="BN115" s="787">
        <v>0</v>
      </c>
      <c r="BO115" s="787">
        <v>0</v>
      </c>
      <c r="BP115" s="787">
        <v>0</v>
      </c>
      <c r="BQ115" s="787">
        <f t="shared" si="10"/>
        <v>0</v>
      </c>
      <c r="BR115" s="787">
        <v>0</v>
      </c>
      <c r="BS115" s="787">
        <v>0</v>
      </c>
      <c r="BT115" s="787">
        <v>0</v>
      </c>
      <c r="BU115" s="787">
        <v>0</v>
      </c>
      <c r="BV115" s="787">
        <v>0</v>
      </c>
      <c r="BW115" s="787">
        <v>0</v>
      </c>
      <c r="BX115" s="787">
        <v>0</v>
      </c>
      <c r="BY115" s="787">
        <v>0</v>
      </c>
      <c r="BZ115" s="787">
        <f t="shared" si="11"/>
        <v>0</v>
      </c>
      <c r="CA115" s="787"/>
      <c r="CB115" s="787"/>
      <c r="CC115" s="787"/>
      <c r="CD115" s="787">
        <v>0</v>
      </c>
      <c r="CE115" s="787">
        <v>0</v>
      </c>
      <c r="CF115" s="787">
        <f t="shared" si="12"/>
        <v>0</v>
      </c>
      <c r="CG115" s="787">
        <v>0</v>
      </c>
      <c r="CH115" s="787">
        <v>0</v>
      </c>
      <c r="CI115" s="787">
        <f t="shared" si="13"/>
        <v>0</v>
      </c>
      <c r="CJ115" s="787"/>
      <c r="CK115" s="787"/>
      <c r="CL115" s="787"/>
      <c r="CM115" s="787"/>
      <c r="CN115" s="787"/>
      <c r="CO115" s="787"/>
      <c r="CP115" s="787"/>
      <c r="CQ115" s="787"/>
      <c r="CR115" s="787"/>
      <c r="CS115" s="787"/>
      <c r="CT115" s="787"/>
      <c r="CU115" s="787"/>
      <c r="CV115" s="787"/>
      <c r="CW115" s="787"/>
      <c r="CX115" s="787"/>
      <c r="CY115" s="787"/>
      <c r="CZ115" s="787"/>
      <c r="DA115" s="787"/>
      <c r="DB115" s="787"/>
      <c r="DC115" s="787"/>
      <c r="DD115" s="787"/>
      <c r="DE115" s="787"/>
      <c r="DF115" s="787"/>
      <c r="DG115" s="787"/>
      <c r="DH115" s="787"/>
      <c r="DI115" s="787"/>
      <c r="DJ115" s="787"/>
      <c r="DK115" s="787"/>
      <c r="DL115" s="787"/>
      <c r="DM115" s="787"/>
      <c r="DN115" s="787"/>
      <c r="DO115" s="787"/>
      <c r="DP115" s="787"/>
      <c r="DQ115" s="787"/>
      <c r="DR115" s="787"/>
      <c r="DS115" s="787"/>
      <c r="DT115" s="787"/>
      <c r="DU115" s="787"/>
      <c r="DV115" s="787"/>
      <c r="DW115" s="787"/>
      <c r="DX115" s="787"/>
      <c r="DY115" s="787"/>
      <c r="DZ115" s="787"/>
      <c r="EA115" s="787"/>
    </row>
    <row r="116" spans="1:131" ht="15.6">
      <c r="A116" s="782" t="s">
        <v>1409</v>
      </c>
      <c r="B116" s="782" t="s">
        <v>726</v>
      </c>
      <c r="C116" s="783">
        <v>3351</v>
      </c>
      <c r="D116" s="784" t="s">
        <v>727</v>
      </c>
      <c r="E116" s="785" t="s">
        <v>521</v>
      </c>
      <c r="F116" s="786">
        <v>0</v>
      </c>
      <c r="G116" s="785" t="s">
        <v>5</v>
      </c>
      <c r="H116" s="785" t="str">
        <f t="shared" si="7"/>
        <v>AX04D</v>
      </c>
      <c r="I116" s="787">
        <v>-8.4496213356032968E-2</v>
      </c>
      <c r="J116" s="787">
        <v>0</v>
      </c>
      <c r="K116" s="787">
        <v>-0.43333333333430346</v>
      </c>
      <c r="L116" s="787">
        <v>0</v>
      </c>
      <c r="M116" s="787">
        <v>0</v>
      </c>
      <c r="N116" s="787">
        <v>0</v>
      </c>
      <c r="O116" s="787">
        <v>0</v>
      </c>
      <c r="P116" s="787">
        <v>0</v>
      </c>
      <c r="Q116" s="787">
        <v>1481.2527150000078</v>
      </c>
      <c r="R116" s="787">
        <v>0</v>
      </c>
      <c r="S116" s="787">
        <v>0</v>
      </c>
      <c r="T116" s="787">
        <v>0</v>
      </c>
      <c r="U116" s="787">
        <v>28998.39</v>
      </c>
      <c r="V116" s="787">
        <v>30499.5</v>
      </c>
      <c r="W116" s="787">
        <v>0</v>
      </c>
      <c r="X116" s="787">
        <f t="shared" si="8"/>
        <v>60978.624885453319</v>
      </c>
      <c r="Y116" s="787">
        <v>763770.42</v>
      </c>
      <c r="Z116" s="787">
        <v>0</v>
      </c>
      <c r="AA116" s="787">
        <v>316340.77</v>
      </c>
      <c r="AB116" s="787">
        <v>39009.24</v>
      </c>
      <c r="AC116" s="787">
        <v>113012.72</v>
      </c>
      <c r="AD116" s="787">
        <v>0</v>
      </c>
      <c r="AE116" s="787">
        <v>57502.86</v>
      </c>
      <c r="AF116" s="787">
        <v>7283.4</v>
      </c>
      <c r="AG116" s="787">
        <v>5601.17</v>
      </c>
      <c r="AH116" s="787">
        <v>0</v>
      </c>
      <c r="AI116" s="787">
        <v>0</v>
      </c>
      <c r="AJ116" s="787">
        <v>43046.71</v>
      </c>
      <c r="AK116" s="787">
        <v>63.28</v>
      </c>
      <c r="AL116" s="787">
        <v>1586.18</v>
      </c>
      <c r="AM116" s="787">
        <v>980.24</v>
      </c>
      <c r="AN116" s="787">
        <v>12473.62</v>
      </c>
      <c r="AO116" s="787">
        <v>-0.38000000000101863</v>
      </c>
      <c r="AP116" s="787">
        <v>11706.699999999999</v>
      </c>
      <c r="AQ116" s="787">
        <v>76614.899999999994</v>
      </c>
      <c r="AR116" s="787">
        <v>0</v>
      </c>
      <c r="AS116" s="787">
        <v>0</v>
      </c>
      <c r="AT116" s="787">
        <v>0</v>
      </c>
      <c r="AU116" s="787">
        <v>1845.17</v>
      </c>
      <c r="AV116" s="787">
        <v>0</v>
      </c>
      <c r="AW116" s="787">
        <v>132.94</v>
      </c>
      <c r="AX116" s="787">
        <v>0</v>
      </c>
      <c r="AY116" s="787">
        <v>0</v>
      </c>
      <c r="AZ116" s="787">
        <v>106687.93</v>
      </c>
      <c r="BA116" s="787">
        <v>-0.19000000000050932</v>
      </c>
      <c r="BB116" s="787">
        <v>1250</v>
      </c>
      <c r="BC116" s="787">
        <v>96525.47</v>
      </c>
      <c r="BD116" s="787">
        <v>67.5</v>
      </c>
      <c r="BE116" s="787">
        <v>71934.69</v>
      </c>
      <c r="BF116" s="787">
        <v>91812.89</v>
      </c>
      <c r="BG116" s="787">
        <v>0</v>
      </c>
      <c r="BH116" s="787">
        <v>0</v>
      </c>
      <c r="BI116" s="787">
        <v>0</v>
      </c>
      <c r="BJ116" s="787">
        <f t="shared" si="9"/>
        <v>1819248.2299999995</v>
      </c>
      <c r="BK116" s="787"/>
      <c r="BL116" s="787"/>
      <c r="BM116" s="787"/>
      <c r="BN116" s="787">
        <v>0</v>
      </c>
      <c r="BO116" s="787">
        <v>0</v>
      </c>
      <c r="BP116" s="787">
        <v>0</v>
      </c>
      <c r="BQ116" s="787">
        <f t="shared" si="10"/>
        <v>0</v>
      </c>
      <c r="BR116" s="787">
        <v>0</v>
      </c>
      <c r="BS116" s="787">
        <v>0</v>
      </c>
      <c r="BT116" s="787">
        <v>0</v>
      </c>
      <c r="BU116" s="787">
        <v>0</v>
      </c>
      <c r="BV116" s="787">
        <v>0</v>
      </c>
      <c r="BW116" s="787">
        <v>0</v>
      </c>
      <c r="BX116" s="787">
        <v>0</v>
      </c>
      <c r="BY116" s="787">
        <v>0</v>
      </c>
      <c r="BZ116" s="787">
        <f t="shared" si="11"/>
        <v>0</v>
      </c>
      <c r="CA116" s="787"/>
      <c r="CB116" s="787"/>
      <c r="CC116" s="787"/>
      <c r="CD116" s="787">
        <v>0</v>
      </c>
      <c r="CE116" s="787">
        <v>0</v>
      </c>
      <c r="CF116" s="787">
        <f t="shared" si="12"/>
        <v>0</v>
      </c>
      <c r="CG116" s="787">
        <v>0</v>
      </c>
      <c r="CH116" s="787">
        <v>0</v>
      </c>
      <c r="CI116" s="787">
        <f t="shared" si="13"/>
        <v>0</v>
      </c>
      <c r="CJ116" s="787"/>
      <c r="CK116" s="787"/>
      <c r="CL116" s="787"/>
      <c r="CM116" s="787"/>
      <c r="CN116" s="787"/>
      <c r="CO116" s="787"/>
      <c r="CP116" s="787"/>
      <c r="CQ116" s="787"/>
      <c r="CR116" s="787"/>
      <c r="CS116" s="787"/>
      <c r="CT116" s="787"/>
      <c r="CU116" s="787"/>
      <c r="CV116" s="787"/>
      <c r="CW116" s="787"/>
      <c r="CX116" s="787"/>
      <c r="CY116" s="787"/>
      <c r="CZ116" s="787"/>
      <c r="DA116" s="787"/>
      <c r="DB116" s="787"/>
      <c r="DC116" s="787"/>
      <c r="DD116" s="787"/>
      <c r="DE116" s="787"/>
      <c r="DF116" s="787"/>
      <c r="DG116" s="787"/>
      <c r="DH116" s="787"/>
      <c r="DI116" s="787"/>
      <c r="DJ116" s="787"/>
      <c r="DK116" s="787"/>
      <c r="DL116" s="787"/>
      <c r="DM116" s="787"/>
      <c r="DN116" s="787"/>
      <c r="DO116" s="787"/>
      <c r="DP116" s="787"/>
      <c r="DQ116" s="787"/>
      <c r="DR116" s="787"/>
      <c r="DS116" s="787"/>
      <c r="DT116" s="787"/>
      <c r="DU116" s="787"/>
      <c r="DV116" s="787"/>
      <c r="DW116" s="787"/>
      <c r="DX116" s="787"/>
      <c r="DY116" s="787"/>
      <c r="DZ116" s="787"/>
      <c r="EA116" s="787"/>
    </row>
    <row r="117" spans="1:131" ht="15.6">
      <c r="A117" s="782" t="s">
        <v>1410</v>
      </c>
      <c r="B117" s="782" t="s">
        <v>728</v>
      </c>
      <c r="C117" s="783">
        <v>3328</v>
      </c>
      <c r="D117" s="784" t="s">
        <v>729</v>
      </c>
      <c r="E117" s="785" t="s">
        <v>521</v>
      </c>
      <c r="F117" s="786" t="s">
        <v>1315</v>
      </c>
      <c r="G117" s="785" t="s">
        <v>5</v>
      </c>
      <c r="H117" s="785" t="str">
        <f t="shared" si="7"/>
        <v>AX04E</v>
      </c>
      <c r="I117" s="787">
        <v>0</v>
      </c>
      <c r="J117" s="787">
        <v>0</v>
      </c>
      <c r="K117" s="787">
        <v>0</v>
      </c>
      <c r="L117" s="787">
        <v>0</v>
      </c>
      <c r="M117" s="787">
        <v>0</v>
      </c>
      <c r="N117" s="787">
        <v>0</v>
      </c>
      <c r="O117" s="787">
        <v>0</v>
      </c>
      <c r="P117" s="787">
        <v>0</v>
      </c>
      <c r="Q117" s="787">
        <v>9802.98</v>
      </c>
      <c r="R117" s="787">
        <v>10426</v>
      </c>
      <c r="S117" s="787">
        <v>0</v>
      </c>
      <c r="T117" s="787">
        <v>0</v>
      </c>
      <c r="U117" s="787">
        <v>12420.93</v>
      </c>
      <c r="V117" s="787">
        <v>121780.34</v>
      </c>
      <c r="W117" s="787">
        <v>0</v>
      </c>
      <c r="X117" s="787">
        <f t="shared" si="8"/>
        <v>154430.25</v>
      </c>
      <c r="Y117" s="787">
        <v>784043.81</v>
      </c>
      <c r="Z117" s="787">
        <v>0</v>
      </c>
      <c r="AA117" s="787">
        <v>171750.16999999998</v>
      </c>
      <c r="AB117" s="787">
        <v>5670.6100000000006</v>
      </c>
      <c r="AC117" s="787">
        <v>136020.64000000001</v>
      </c>
      <c r="AD117" s="787">
        <v>0</v>
      </c>
      <c r="AE117" s="787">
        <v>75959.98000000001</v>
      </c>
      <c r="AF117" s="787">
        <v>0</v>
      </c>
      <c r="AG117" s="787">
        <v>0</v>
      </c>
      <c r="AH117" s="787">
        <v>0</v>
      </c>
      <c r="AI117" s="787">
        <v>0</v>
      </c>
      <c r="AJ117" s="787">
        <v>19121.400000000001</v>
      </c>
      <c r="AK117" s="787">
        <v>0</v>
      </c>
      <c r="AL117" s="787">
        <v>1173.94</v>
      </c>
      <c r="AM117" s="787">
        <v>6141.73</v>
      </c>
      <c r="AN117" s="787">
        <v>17579.84</v>
      </c>
      <c r="AO117" s="787">
        <v>0</v>
      </c>
      <c r="AP117" s="787">
        <v>6900.53</v>
      </c>
      <c r="AQ117" s="787">
        <v>107057.25</v>
      </c>
      <c r="AR117" s="787">
        <v>0</v>
      </c>
      <c r="AS117" s="787">
        <v>0</v>
      </c>
      <c r="AT117" s="787">
        <v>0</v>
      </c>
      <c r="AU117" s="787">
        <v>0</v>
      </c>
      <c r="AV117" s="787">
        <v>0</v>
      </c>
      <c r="AW117" s="787">
        <v>0</v>
      </c>
      <c r="AX117" s="787">
        <v>258</v>
      </c>
      <c r="AY117" s="787">
        <v>52.4</v>
      </c>
      <c r="AZ117" s="787">
        <v>68393.39</v>
      </c>
      <c r="BA117" s="787">
        <v>4048</v>
      </c>
      <c r="BB117" s="787">
        <v>0</v>
      </c>
      <c r="BC117" s="787">
        <v>83819.08</v>
      </c>
      <c r="BD117" s="787">
        <v>51912.33</v>
      </c>
      <c r="BE117" s="787">
        <v>0</v>
      </c>
      <c r="BF117" s="787">
        <v>105783.33</v>
      </c>
      <c r="BG117" s="787">
        <v>0</v>
      </c>
      <c r="BH117" s="787">
        <v>0</v>
      </c>
      <c r="BI117" s="787">
        <v>0</v>
      </c>
      <c r="BJ117" s="787">
        <f t="shared" si="9"/>
        <v>1645686.43</v>
      </c>
      <c r="BK117" s="787"/>
      <c r="BL117" s="787"/>
      <c r="BM117" s="787"/>
      <c r="BN117" s="787">
        <v>0</v>
      </c>
      <c r="BO117" s="787">
        <v>0</v>
      </c>
      <c r="BP117" s="787">
        <v>0</v>
      </c>
      <c r="BQ117" s="787">
        <f t="shared" si="10"/>
        <v>0</v>
      </c>
      <c r="BR117" s="787">
        <v>0</v>
      </c>
      <c r="BS117" s="787">
        <v>0</v>
      </c>
      <c r="BT117" s="787">
        <v>0</v>
      </c>
      <c r="BU117" s="787">
        <v>0</v>
      </c>
      <c r="BV117" s="787">
        <v>0</v>
      </c>
      <c r="BW117" s="787">
        <v>0</v>
      </c>
      <c r="BX117" s="787">
        <v>0</v>
      </c>
      <c r="BY117" s="787">
        <v>0</v>
      </c>
      <c r="BZ117" s="787">
        <f t="shared" si="11"/>
        <v>0</v>
      </c>
      <c r="CA117" s="787"/>
      <c r="CB117" s="787"/>
      <c r="CC117" s="787"/>
      <c r="CD117" s="787">
        <v>0</v>
      </c>
      <c r="CE117" s="787">
        <v>0</v>
      </c>
      <c r="CF117" s="787">
        <f t="shared" si="12"/>
        <v>0</v>
      </c>
      <c r="CG117" s="787">
        <v>0</v>
      </c>
      <c r="CH117" s="787">
        <v>0</v>
      </c>
      <c r="CI117" s="787">
        <f t="shared" si="13"/>
        <v>0</v>
      </c>
      <c r="CJ117" s="787"/>
      <c r="CK117" s="787"/>
      <c r="CL117" s="787"/>
      <c r="CM117" s="787"/>
      <c r="CN117" s="787"/>
      <c r="CO117" s="787"/>
      <c r="CP117" s="787"/>
      <c r="CQ117" s="787"/>
      <c r="CR117" s="787"/>
      <c r="CS117" s="787"/>
      <c r="CT117" s="787"/>
      <c r="CU117" s="787"/>
      <c r="CV117" s="787"/>
      <c r="CW117" s="787"/>
      <c r="CX117" s="787"/>
      <c r="CY117" s="787"/>
      <c r="CZ117" s="787"/>
      <c r="DA117" s="787"/>
      <c r="DB117" s="787"/>
      <c r="DC117" s="787"/>
      <c r="DD117" s="787"/>
      <c r="DE117" s="787"/>
      <c r="DF117" s="787"/>
      <c r="DG117" s="787"/>
      <c r="DH117" s="787"/>
      <c r="DI117" s="787"/>
      <c r="DJ117" s="787"/>
      <c r="DK117" s="787"/>
      <c r="DL117" s="787"/>
      <c r="DM117" s="787"/>
      <c r="DN117" s="787"/>
      <c r="DO117" s="787"/>
      <c r="DP117" s="787"/>
      <c r="DQ117" s="787"/>
      <c r="DR117" s="787"/>
      <c r="DS117" s="787"/>
      <c r="DT117" s="787"/>
      <c r="DU117" s="787"/>
      <c r="DV117" s="787"/>
      <c r="DW117" s="787"/>
      <c r="DX117" s="787"/>
      <c r="DY117" s="787"/>
      <c r="DZ117" s="787"/>
      <c r="EA117" s="787"/>
    </row>
    <row r="118" spans="1:131" ht="15.6">
      <c r="A118" s="782" t="s">
        <v>1411</v>
      </c>
      <c r="B118" s="782" t="s">
        <v>908</v>
      </c>
      <c r="C118" s="783">
        <v>2150</v>
      </c>
      <c r="D118" s="784" t="s">
        <v>909</v>
      </c>
      <c r="E118" s="785" t="s">
        <v>521</v>
      </c>
      <c r="F118" s="786">
        <v>46094</v>
      </c>
      <c r="G118" s="785" t="s">
        <v>5</v>
      </c>
      <c r="H118" s="785" t="str">
        <f t="shared" si="7"/>
        <v>AX04J</v>
      </c>
      <c r="I118" s="787">
        <v>0</v>
      </c>
      <c r="J118" s="787">
        <v>0</v>
      </c>
      <c r="K118" s="787">
        <v>0</v>
      </c>
      <c r="L118" s="787">
        <v>0</v>
      </c>
      <c r="M118" s="787">
        <v>0</v>
      </c>
      <c r="N118" s="787">
        <v>47395</v>
      </c>
      <c r="O118" s="787">
        <v>0</v>
      </c>
      <c r="P118" s="787">
        <v>0</v>
      </c>
      <c r="Q118" s="787">
        <v>9047.5399999999991</v>
      </c>
      <c r="R118" s="787">
        <v>2709.13</v>
      </c>
      <c r="S118" s="787">
        <v>0</v>
      </c>
      <c r="T118" s="787">
        <v>0</v>
      </c>
      <c r="U118" s="787">
        <v>2817.06</v>
      </c>
      <c r="V118" s="787">
        <v>1866.49</v>
      </c>
      <c r="W118" s="787">
        <v>0</v>
      </c>
      <c r="X118" s="787">
        <f t="shared" si="8"/>
        <v>63835.219999999994</v>
      </c>
      <c r="Y118" s="787">
        <v>889494.25</v>
      </c>
      <c r="Z118" s="787">
        <v>32677</v>
      </c>
      <c r="AA118" s="787">
        <v>473368.04</v>
      </c>
      <c r="AB118" s="787">
        <v>86986.240000000005</v>
      </c>
      <c r="AC118" s="787">
        <v>75446.27</v>
      </c>
      <c r="AD118" s="787">
        <v>0</v>
      </c>
      <c r="AE118" s="787">
        <v>59722</v>
      </c>
      <c r="AF118" s="787">
        <v>490</v>
      </c>
      <c r="AG118" s="787">
        <v>563</v>
      </c>
      <c r="AH118" s="787">
        <v>0</v>
      </c>
      <c r="AI118" s="787">
        <v>0</v>
      </c>
      <c r="AJ118" s="787">
        <v>12136</v>
      </c>
      <c r="AK118" s="787">
        <v>0</v>
      </c>
      <c r="AL118" s="787">
        <v>3089</v>
      </c>
      <c r="AM118" s="787">
        <v>14131</v>
      </c>
      <c r="AN118" s="787">
        <v>111039.85</v>
      </c>
      <c r="AO118" s="787">
        <v>0</v>
      </c>
      <c r="AP118" s="787">
        <v>19870.28</v>
      </c>
      <c r="AQ118" s="787">
        <v>38232</v>
      </c>
      <c r="AR118" s="787">
        <v>0</v>
      </c>
      <c r="AS118" s="787">
        <v>0</v>
      </c>
      <c r="AT118" s="787">
        <v>3255</v>
      </c>
      <c r="AU118" s="787">
        <v>0</v>
      </c>
      <c r="AV118" s="787">
        <v>0</v>
      </c>
      <c r="AW118" s="787">
        <v>109</v>
      </c>
      <c r="AX118" s="787">
        <v>65</v>
      </c>
      <c r="AY118" s="787">
        <v>0</v>
      </c>
      <c r="AZ118" s="787">
        <v>17215</v>
      </c>
      <c r="BA118" s="787">
        <v>0</v>
      </c>
      <c r="BB118" s="787">
        <v>2900</v>
      </c>
      <c r="BC118" s="787">
        <v>140748.53</v>
      </c>
      <c r="BD118" s="787">
        <v>90746</v>
      </c>
      <c r="BE118" s="787">
        <v>335</v>
      </c>
      <c r="BF118" s="787">
        <v>96644.9</v>
      </c>
      <c r="BG118" s="787">
        <v>0</v>
      </c>
      <c r="BH118" s="787">
        <v>0</v>
      </c>
      <c r="BI118" s="787">
        <v>0</v>
      </c>
      <c r="BJ118" s="787">
        <f t="shared" si="9"/>
        <v>2169263.3600000003</v>
      </c>
      <c r="BK118" s="787"/>
      <c r="BL118" s="787"/>
      <c r="BM118" s="787"/>
      <c r="BN118" s="787">
        <v>0</v>
      </c>
      <c r="BO118" s="787">
        <v>0</v>
      </c>
      <c r="BP118" s="787">
        <v>0</v>
      </c>
      <c r="BQ118" s="787">
        <f t="shared" si="10"/>
        <v>0</v>
      </c>
      <c r="BR118" s="787">
        <v>0</v>
      </c>
      <c r="BS118" s="787">
        <v>0</v>
      </c>
      <c r="BT118" s="787">
        <v>0</v>
      </c>
      <c r="BU118" s="787">
        <v>0</v>
      </c>
      <c r="BV118" s="787">
        <v>0</v>
      </c>
      <c r="BW118" s="787">
        <v>0</v>
      </c>
      <c r="BX118" s="787">
        <v>0</v>
      </c>
      <c r="BY118" s="787">
        <v>0</v>
      </c>
      <c r="BZ118" s="787">
        <f t="shared" si="11"/>
        <v>0</v>
      </c>
      <c r="CA118" s="787"/>
      <c r="CB118" s="787"/>
      <c r="CC118" s="787"/>
      <c r="CD118" s="787">
        <v>0</v>
      </c>
      <c r="CE118" s="787">
        <v>0</v>
      </c>
      <c r="CF118" s="787">
        <f t="shared" si="12"/>
        <v>0</v>
      </c>
      <c r="CG118" s="787">
        <v>0</v>
      </c>
      <c r="CH118" s="787">
        <v>0</v>
      </c>
      <c r="CI118" s="787">
        <f t="shared" si="13"/>
        <v>0</v>
      </c>
      <c r="CJ118" s="787"/>
      <c r="CK118" s="787"/>
      <c r="CL118" s="787"/>
      <c r="CM118" s="787"/>
      <c r="CN118" s="787"/>
      <c r="CO118" s="787"/>
      <c r="CP118" s="787"/>
      <c r="CQ118" s="787"/>
      <c r="CR118" s="787"/>
      <c r="CS118" s="787">
        <v>-491887.96</v>
      </c>
      <c r="CT118" s="787">
        <v>0</v>
      </c>
      <c r="CU118" s="787">
        <v>0</v>
      </c>
      <c r="CV118" s="787">
        <v>-491887.96</v>
      </c>
      <c r="CW118" s="787">
        <v>0</v>
      </c>
      <c r="CX118" s="787">
        <v>16594.810000000001</v>
      </c>
      <c r="CY118" s="787">
        <v>3980.1</v>
      </c>
      <c r="CZ118" s="787">
        <v>0</v>
      </c>
      <c r="DA118" s="787">
        <v>0</v>
      </c>
      <c r="DB118" s="787">
        <v>-471313.05000000005</v>
      </c>
      <c r="DC118" s="787">
        <v>0</v>
      </c>
      <c r="DD118" s="787">
        <v>0</v>
      </c>
      <c r="DE118" s="787">
        <v>0</v>
      </c>
      <c r="DF118" s="787">
        <v>0</v>
      </c>
      <c r="DG118" s="787"/>
      <c r="DH118" s="787"/>
      <c r="DI118" s="787"/>
      <c r="DJ118" s="787">
        <v>0</v>
      </c>
      <c r="DK118" s="787">
        <v>0</v>
      </c>
      <c r="DL118" s="787">
        <v>0</v>
      </c>
      <c r="DM118" s="787">
        <v>8743.39</v>
      </c>
      <c r="DN118" s="787">
        <v>0</v>
      </c>
      <c r="DO118" s="787">
        <v>0</v>
      </c>
      <c r="DP118" s="787">
        <v>-154749.65</v>
      </c>
      <c r="DQ118" s="787">
        <v>-36730.81</v>
      </c>
      <c r="DR118" s="787">
        <v>0</v>
      </c>
      <c r="DS118" s="787">
        <v>0</v>
      </c>
      <c r="DT118" s="787">
        <v>-182737.07</v>
      </c>
      <c r="DU118" s="787">
        <v>0</v>
      </c>
      <c r="DV118" s="787">
        <v>0</v>
      </c>
      <c r="DW118" s="787">
        <v>0</v>
      </c>
      <c r="DX118" s="787">
        <v>0</v>
      </c>
      <c r="DY118" s="787">
        <v>0</v>
      </c>
      <c r="DZ118" s="787">
        <v>-24787.18</v>
      </c>
      <c r="EA118" s="787">
        <v>0.47734793880954385</v>
      </c>
    </row>
    <row r="119" spans="1:131" ht="15.6">
      <c r="A119" s="782" t="s">
        <v>1412</v>
      </c>
      <c r="B119" s="782" t="s">
        <v>910</v>
      </c>
      <c r="C119" s="783">
        <v>2425</v>
      </c>
      <c r="D119" s="784" t="s">
        <v>911</v>
      </c>
      <c r="E119" s="785" t="s">
        <v>521</v>
      </c>
      <c r="F119" s="786">
        <v>46094</v>
      </c>
      <c r="G119" s="785" t="s">
        <v>5</v>
      </c>
      <c r="H119" s="785" t="str">
        <f t="shared" si="7"/>
        <v>AX04K</v>
      </c>
      <c r="I119" s="787">
        <v>0</v>
      </c>
      <c r="J119" s="787">
        <v>0</v>
      </c>
      <c r="K119" s="787">
        <v>-3.3333333267364651E-3</v>
      </c>
      <c r="L119" s="787">
        <v>0</v>
      </c>
      <c r="M119" s="787">
        <v>0</v>
      </c>
      <c r="N119" s="787">
        <v>0</v>
      </c>
      <c r="O119" s="787">
        <v>597</v>
      </c>
      <c r="P119" s="787">
        <v>0</v>
      </c>
      <c r="Q119" s="787">
        <v>9345</v>
      </c>
      <c r="R119" s="787">
        <v>-0.48999999999796273</v>
      </c>
      <c r="S119" s="787">
        <v>0</v>
      </c>
      <c r="T119" s="787">
        <v>0</v>
      </c>
      <c r="U119" s="787">
        <v>20512.91</v>
      </c>
      <c r="V119" s="787">
        <v>0</v>
      </c>
      <c r="W119" s="787">
        <v>0</v>
      </c>
      <c r="X119" s="787">
        <f t="shared" si="8"/>
        <v>30454.416666666675</v>
      </c>
      <c r="Y119" s="787">
        <v>816454.92</v>
      </c>
      <c r="Z119" s="787">
        <v>0</v>
      </c>
      <c r="AA119" s="787">
        <v>217613.29</v>
      </c>
      <c r="AB119" s="787">
        <v>53601.619999999995</v>
      </c>
      <c r="AC119" s="787">
        <v>6877.89</v>
      </c>
      <c r="AD119" s="787">
        <v>0</v>
      </c>
      <c r="AE119" s="787">
        <v>45296.61</v>
      </c>
      <c r="AF119" s="787">
        <v>4013</v>
      </c>
      <c r="AG119" s="787">
        <v>6009.01</v>
      </c>
      <c r="AH119" s="787">
        <v>0</v>
      </c>
      <c r="AI119" s="787">
        <v>1442</v>
      </c>
      <c r="AJ119" s="787">
        <v>3934.49</v>
      </c>
      <c r="AK119" s="787">
        <v>35468.959999999999</v>
      </c>
      <c r="AL119" s="787">
        <v>35443.170000000006</v>
      </c>
      <c r="AM119" s="787">
        <v>6334.81</v>
      </c>
      <c r="AN119" s="787">
        <v>28271.750000000004</v>
      </c>
      <c r="AO119" s="787">
        <v>0</v>
      </c>
      <c r="AP119" s="787">
        <v>1818.8800000000003</v>
      </c>
      <c r="AQ119" s="787">
        <v>35158.01</v>
      </c>
      <c r="AR119" s="787">
        <v>0</v>
      </c>
      <c r="AS119" s="787">
        <v>0</v>
      </c>
      <c r="AT119" s="787">
        <v>3285.4</v>
      </c>
      <c r="AU119" s="787">
        <v>0</v>
      </c>
      <c r="AV119" s="787">
        <v>176.98</v>
      </c>
      <c r="AW119" s="787">
        <v>0</v>
      </c>
      <c r="AX119" s="787">
        <v>0</v>
      </c>
      <c r="AY119" s="787">
        <v>0</v>
      </c>
      <c r="AZ119" s="787">
        <v>3664.9</v>
      </c>
      <c r="BA119" s="787">
        <v>0</v>
      </c>
      <c r="BB119" s="787">
        <v>0</v>
      </c>
      <c r="BC119" s="787">
        <v>85203.13</v>
      </c>
      <c r="BD119" s="787">
        <v>2389.5</v>
      </c>
      <c r="BE119" s="787">
        <v>51432.74</v>
      </c>
      <c r="BF119" s="787">
        <v>30555.35</v>
      </c>
      <c r="BG119" s="787">
        <v>0</v>
      </c>
      <c r="BH119" s="787">
        <v>0</v>
      </c>
      <c r="BI119" s="787">
        <v>0</v>
      </c>
      <c r="BJ119" s="787">
        <f t="shared" si="9"/>
        <v>1474446.41</v>
      </c>
      <c r="BK119" s="787"/>
      <c r="BL119" s="787"/>
      <c r="BM119" s="787"/>
      <c r="BN119" s="787">
        <v>0</v>
      </c>
      <c r="BO119" s="787">
        <v>0</v>
      </c>
      <c r="BP119" s="787">
        <v>0</v>
      </c>
      <c r="BQ119" s="787">
        <f t="shared" si="10"/>
        <v>0</v>
      </c>
      <c r="BR119" s="787">
        <v>0</v>
      </c>
      <c r="BS119" s="787">
        <v>0</v>
      </c>
      <c r="BT119" s="787">
        <v>0</v>
      </c>
      <c r="BU119" s="787">
        <v>0</v>
      </c>
      <c r="BV119" s="787">
        <v>0</v>
      </c>
      <c r="BW119" s="787">
        <v>0</v>
      </c>
      <c r="BX119" s="787">
        <v>0</v>
      </c>
      <c r="BY119" s="787">
        <v>0</v>
      </c>
      <c r="BZ119" s="787">
        <f t="shared" si="11"/>
        <v>0</v>
      </c>
      <c r="CA119" s="787"/>
      <c r="CB119" s="787"/>
      <c r="CC119" s="787"/>
      <c r="CD119" s="787">
        <v>0</v>
      </c>
      <c r="CE119" s="787">
        <v>0</v>
      </c>
      <c r="CF119" s="787">
        <f t="shared" si="12"/>
        <v>0</v>
      </c>
      <c r="CG119" s="787">
        <v>0</v>
      </c>
      <c r="CH119" s="787">
        <v>0</v>
      </c>
      <c r="CI119" s="787">
        <f t="shared" si="13"/>
        <v>0</v>
      </c>
      <c r="CJ119" s="787"/>
      <c r="CK119" s="787"/>
      <c r="CL119" s="787"/>
      <c r="CM119" s="787"/>
      <c r="CN119" s="787"/>
      <c r="CO119" s="787"/>
      <c r="CP119" s="787"/>
      <c r="CQ119" s="787"/>
      <c r="CR119" s="787"/>
      <c r="CS119" s="787"/>
      <c r="CT119" s="787"/>
      <c r="CU119" s="787"/>
      <c r="CV119" s="787"/>
      <c r="CW119" s="787"/>
      <c r="CX119" s="787"/>
      <c r="CY119" s="787"/>
      <c r="CZ119" s="787"/>
      <c r="DA119" s="787"/>
      <c r="DB119" s="787"/>
      <c r="DC119" s="787"/>
      <c r="DD119" s="787"/>
      <c r="DE119" s="787"/>
      <c r="DF119" s="787"/>
      <c r="DG119" s="787"/>
      <c r="DH119" s="787"/>
      <c r="DI119" s="787"/>
      <c r="DJ119" s="787"/>
      <c r="DK119" s="787"/>
      <c r="DL119" s="787"/>
      <c r="DM119" s="787"/>
      <c r="DN119" s="787"/>
      <c r="DO119" s="787"/>
      <c r="DP119" s="787"/>
      <c r="DQ119" s="787"/>
      <c r="DR119" s="787"/>
      <c r="DS119" s="787"/>
      <c r="DT119" s="787"/>
      <c r="DU119" s="787"/>
      <c r="DV119" s="787"/>
      <c r="DW119" s="787"/>
      <c r="DX119" s="787"/>
      <c r="DY119" s="787"/>
      <c r="DZ119" s="787"/>
      <c r="EA119" s="787"/>
    </row>
    <row r="120" spans="1:131" ht="15.6">
      <c r="A120" s="782" t="s">
        <v>1413</v>
      </c>
      <c r="B120" s="782" t="s">
        <v>730</v>
      </c>
      <c r="C120" s="783">
        <v>1008</v>
      </c>
      <c r="D120" s="784" t="s">
        <v>731</v>
      </c>
      <c r="E120" s="785" t="s">
        <v>521</v>
      </c>
      <c r="F120" s="786">
        <v>46093</v>
      </c>
      <c r="G120" s="785" t="s">
        <v>5</v>
      </c>
      <c r="H120" s="785" t="str">
        <f t="shared" si="7"/>
        <v>AX04N</v>
      </c>
      <c r="I120" s="787">
        <v>0</v>
      </c>
      <c r="J120" s="787">
        <v>0</v>
      </c>
      <c r="K120" s="787">
        <v>0</v>
      </c>
      <c r="L120" s="787">
        <v>0</v>
      </c>
      <c r="M120" s="787">
        <v>0</v>
      </c>
      <c r="N120" s="787">
        <v>0</v>
      </c>
      <c r="O120" s="787">
        <v>0</v>
      </c>
      <c r="P120" s="787">
        <v>0</v>
      </c>
      <c r="Q120" s="787">
        <v>0</v>
      </c>
      <c r="R120" s="787">
        <v>0</v>
      </c>
      <c r="S120" s="787">
        <v>0</v>
      </c>
      <c r="T120" s="787">
        <v>0</v>
      </c>
      <c r="U120" s="787">
        <v>0</v>
      </c>
      <c r="V120" s="787">
        <v>22867.78</v>
      </c>
      <c r="W120" s="787">
        <v>0</v>
      </c>
      <c r="X120" s="787">
        <f t="shared" si="8"/>
        <v>22867.78</v>
      </c>
      <c r="Y120" s="787">
        <v>123667.88</v>
      </c>
      <c r="Z120" s="787">
        <v>0</v>
      </c>
      <c r="AA120" s="787">
        <v>98044.85</v>
      </c>
      <c r="AB120" s="787">
        <v>0</v>
      </c>
      <c r="AC120" s="787">
        <v>4696</v>
      </c>
      <c r="AD120" s="787">
        <v>0</v>
      </c>
      <c r="AE120" s="787">
        <v>49565.26</v>
      </c>
      <c r="AF120" s="787">
        <v>55</v>
      </c>
      <c r="AG120" s="787">
        <v>2047.25</v>
      </c>
      <c r="AH120" s="787">
        <v>0</v>
      </c>
      <c r="AI120" s="787">
        <v>0</v>
      </c>
      <c r="AJ120" s="787">
        <v>918.86</v>
      </c>
      <c r="AK120" s="787">
        <v>0</v>
      </c>
      <c r="AL120" s="787">
        <v>0</v>
      </c>
      <c r="AM120" s="787">
        <v>2142.27</v>
      </c>
      <c r="AN120" s="787">
        <v>15970.78</v>
      </c>
      <c r="AO120" s="787">
        <v>0</v>
      </c>
      <c r="AP120" s="787">
        <v>6215.05</v>
      </c>
      <c r="AQ120" s="787">
        <v>20723.16</v>
      </c>
      <c r="AR120" s="787">
        <v>0</v>
      </c>
      <c r="AS120" s="787">
        <v>0</v>
      </c>
      <c r="AT120" s="787">
        <v>0</v>
      </c>
      <c r="AU120" s="787">
        <v>0</v>
      </c>
      <c r="AV120" s="787">
        <v>0</v>
      </c>
      <c r="AW120" s="787">
        <v>0</v>
      </c>
      <c r="AX120" s="787">
        <v>0</v>
      </c>
      <c r="AY120" s="787">
        <v>0</v>
      </c>
      <c r="AZ120" s="787">
        <v>14479.52</v>
      </c>
      <c r="BA120" s="787">
        <v>0</v>
      </c>
      <c r="BB120" s="787">
        <v>0</v>
      </c>
      <c r="BC120" s="787">
        <v>134.34</v>
      </c>
      <c r="BD120" s="787">
        <v>129401.52</v>
      </c>
      <c r="BE120" s="787">
        <v>4547.8</v>
      </c>
      <c r="BF120" s="787">
        <v>91898.739999999991</v>
      </c>
      <c r="BG120" s="787">
        <v>16803</v>
      </c>
      <c r="BH120" s="787">
        <v>0</v>
      </c>
      <c r="BI120" s="787">
        <v>0</v>
      </c>
      <c r="BJ120" s="787">
        <f t="shared" si="9"/>
        <v>581311.28</v>
      </c>
      <c r="BK120" s="787"/>
      <c r="BL120" s="787"/>
      <c r="BM120" s="787"/>
      <c r="BN120" s="787">
        <v>0</v>
      </c>
      <c r="BO120" s="787">
        <v>0</v>
      </c>
      <c r="BP120" s="787">
        <v>0</v>
      </c>
      <c r="BQ120" s="787">
        <f t="shared" si="10"/>
        <v>0</v>
      </c>
      <c r="BR120" s="787">
        <v>0</v>
      </c>
      <c r="BS120" s="787">
        <v>0</v>
      </c>
      <c r="BT120" s="787">
        <v>0</v>
      </c>
      <c r="BU120" s="787">
        <v>0</v>
      </c>
      <c r="BV120" s="787">
        <v>0</v>
      </c>
      <c r="BW120" s="787">
        <v>0</v>
      </c>
      <c r="BX120" s="787">
        <v>0</v>
      </c>
      <c r="BY120" s="787">
        <v>0</v>
      </c>
      <c r="BZ120" s="787">
        <f t="shared" si="11"/>
        <v>0</v>
      </c>
      <c r="CA120" s="787"/>
      <c r="CB120" s="787"/>
      <c r="CC120" s="787"/>
      <c r="CD120" s="787">
        <v>0</v>
      </c>
      <c r="CE120" s="787">
        <v>0</v>
      </c>
      <c r="CF120" s="787">
        <f t="shared" si="12"/>
        <v>0</v>
      </c>
      <c r="CG120" s="787">
        <v>0</v>
      </c>
      <c r="CH120" s="787">
        <v>0</v>
      </c>
      <c r="CI120" s="787">
        <f t="shared" si="13"/>
        <v>0</v>
      </c>
      <c r="CJ120" s="787"/>
      <c r="CK120" s="787"/>
      <c r="CL120" s="787"/>
      <c r="CM120" s="787"/>
      <c r="CN120" s="787"/>
      <c r="CO120" s="787"/>
      <c r="CP120" s="787"/>
      <c r="CQ120" s="787"/>
      <c r="CR120" s="787"/>
      <c r="CS120" s="787">
        <v>19627.400000000001</v>
      </c>
      <c r="CT120" s="787">
        <v>0</v>
      </c>
      <c r="CU120" s="787">
        <v>0</v>
      </c>
      <c r="CV120" s="787">
        <v>19627.400000000001</v>
      </c>
      <c r="CW120" s="787">
        <v>0</v>
      </c>
      <c r="CX120" s="787">
        <v>2033.14</v>
      </c>
      <c r="CY120" s="787">
        <v>4096.24</v>
      </c>
      <c r="CZ120" s="787">
        <v>0</v>
      </c>
      <c r="DA120" s="787">
        <v>-500</v>
      </c>
      <c r="DB120" s="787">
        <v>25256.78</v>
      </c>
      <c r="DC120" s="787">
        <v>0</v>
      </c>
      <c r="DD120" s="787">
        <v>0</v>
      </c>
      <c r="DE120" s="787">
        <v>0</v>
      </c>
      <c r="DF120" s="787">
        <v>0</v>
      </c>
      <c r="DG120" s="787"/>
      <c r="DH120" s="787"/>
      <c r="DI120" s="787"/>
      <c r="DJ120" s="787">
        <v>0</v>
      </c>
      <c r="DK120" s="787">
        <v>0</v>
      </c>
      <c r="DL120" s="787">
        <v>0</v>
      </c>
      <c r="DM120" s="787">
        <v>0</v>
      </c>
      <c r="DN120" s="787">
        <v>0</v>
      </c>
      <c r="DO120" s="787">
        <v>0</v>
      </c>
      <c r="DP120" s="787">
        <v>-32218.87</v>
      </c>
      <c r="DQ120" s="787">
        <v>0</v>
      </c>
      <c r="DR120" s="787">
        <v>0</v>
      </c>
      <c r="DS120" s="787">
        <v>0</v>
      </c>
      <c r="DT120" s="787">
        <v>-32218.87</v>
      </c>
      <c r="DU120" s="787">
        <v>0</v>
      </c>
      <c r="DV120" s="787">
        <v>31057.8</v>
      </c>
      <c r="DW120" s="787">
        <v>0</v>
      </c>
      <c r="DX120" s="787">
        <v>0</v>
      </c>
      <c r="DY120" s="787">
        <v>0</v>
      </c>
      <c r="DZ120" s="787">
        <v>-521.91999999999996</v>
      </c>
      <c r="EA120" s="787">
        <v>0.35368655779166147</v>
      </c>
    </row>
    <row r="121" spans="1:131" ht="15.6">
      <c r="A121" s="782" t="s">
        <v>1414</v>
      </c>
      <c r="B121" s="782" t="s">
        <v>912</v>
      </c>
      <c r="C121" s="783">
        <v>7034</v>
      </c>
      <c r="D121" s="784" t="s">
        <v>913</v>
      </c>
      <c r="E121" s="785" t="s">
        <v>521</v>
      </c>
      <c r="F121" s="786">
        <v>0</v>
      </c>
      <c r="G121" s="785" t="s">
        <v>5</v>
      </c>
      <c r="H121" s="785" t="str">
        <f t="shared" si="7"/>
        <v>AX04Q</v>
      </c>
      <c r="I121" s="787">
        <v>51669.739999999991</v>
      </c>
      <c r="J121" s="787">
        <v>0</v>
      </c>
      <c r="K121" s="787">
        <v>416059.52</v>
      </c>
      <c r="L121" s="787">
        <v>0</v>
      </c>
      <c r="M121" s="787">
        <v>4500</v>
      </c>
      <c r="N121" s="787">
        <v>241591.96</v>
      </c>
      <c r="O121" s="787">
        <v>18935</v>
      </c>
      <c r="P121" s="787">
        <v>0</v>
      </c>
      <c r="Q121" s="787">
        <v>0</v>
      </c>
      <c r="R121" s="787">
        <v>178178.97999999998</v>
      </c>
      <c r="S121" s="787">
        <v>0</v>
      </c>
      <c r="T121" s="787">
        <v>32237.880435861181</v>
      </c>
      <c r="U121" s="787">
        <v>10921.11</v>
      </c>
      <c r="V121" s="787">
        <v>36598.050000000003</v>
      </c>
      <c r="W121" s="787">
        <v>0</v>
      </c>
      <c r="X121" s="787">
        <f t="shared" si="8"/>
        <v>990692.24043586117</v>
      </c>
      <c r="Y121" s="787">
        <v>1303161.73</v>
      </c>
      <c r="Z121" s="787">
        <v>0</v>
      </c>
      <c r="AA121" s="787">
        <v>704634.95</v>
      </c>
      <c r="AB121" s="787">
        <v>0</v>
      </c>
      <c r="AC121" s="787">
        <v>316021.81999999995</v>
      </c>
      <c r="AD121" s="787">
        <v>0</v>
      </c>
      <c r="AE121" s="787">
        <v>133558.98000000001</v>
      </c>
      <c r="AF121" s="787">
        <v>13821</v>
      </c>
      <c r="AG121" s="787">
        <v>9285.2999999999993</v>
      </c>
      <c r="AH121" s="787">
        <v>0</v>
      </c>
      <c r="AI121" s="787">
        <v>0</v>
      </c>
      <c r="AJ121" s="787">
        <v>23295.88</v>
      </c>
      <c r="AK121" s="787">
        <v>0</v>
      </c>
      <c r="AL121" s="787">
        <v>0</v>
      </c>
      <c r="AM121" s="787">
        <v>6577.82</v>
      </c>
      <c r="AN121" s="787">
        <v>31113.53</v>
      </c>
      <c r="AO121" s="787">
        <v>0</v>
      </c>
      <c r="AP121" s="787">
        <v>7058.48</v>
      </c>
      <c r="AQ121" s="787">
        <v>40619.78</v>
      </c>
      <c r="AR121" s="787">
        <v>0</v>
      </c>
      <c r="AS121" s="787">
        <v>0</v>
      </c>
      <c r="AT121" s="787">
        <v>2981.45</v>
      </c>
      <c r="AU121" s="787">
        <v>0</v>
      </c>
      <c r="AV121" s="787">
        <v>5814.5</v>
      </c>
      <c r="AW121" s="787">
        <v>0</v>
      </c>
      <c r="AX121" s="787">
        <v>2700</v>
      </c>
      <c r="AY121" s="787">
        <v>1585.76</v>
      </c>
      <c r="AZ121" s="787">
        <v>48353.63000000082</v>
      </c>
      <c r="BA121" s="787">
        <v>0</v>
      </c>
      <c r="BB121" s="787">
        <v>1237.5</v>
      </c>
      <c r="BC121" s="787">
        <v>20998.13</v>
      </c>
      <c r="BD121" s="787">
        <v>50946.35</v>
      </c>
      <c r="BE121" s="787">
        <v>164507.01</v>
      </c>
      <c r="BF121" s="787">
        <v>123631.56</v>
      </c>
      <c r="BG121" s="787">
        <v>415954.6</v>
      </c>
      <c r="BH121" s="787">
        <v>0</v>
      </c>
      <c r="BI121" s="787">
        <v>0</v>
      </c>
      <c r="BJ121" s="787">
        <f t="shared" si="9"/>
        <v>3427859.76</v>
      </c>
      <c r="BK121" s="787"/>
      <c r="BL121" s="787"/>
      <c r="BM121" s="787"/>
      <c r="BN121" s="787">
        <v>0</v>
      </c>
      <c r="BO121" s="787">
        <v>0</v>
      </c>
      <c r="BP121" s="787">
        <v>0</v>
      </c>
      <c r="BQ121" s="787">
        <f t="shared" si="10"/>
        <v>0</v>
      </c>
      <c r="BR121" s="787">
        <v>0</v>
      </c>
      <c r="BS121" s="787">
        <v>8964.35</v>
      </c>
      <c r="BT121" s="787">
        <v>0</v>
      </c>
      <c r="BU121" s="787">
        <v>0</v>
      </c>
      <c r="BV121" s="787">
        <v>0</v>
      </c>
      <c r="BW121" s="787">
        <v>0</v>
      </c>
      <c r="BX121" s="787">
        <v>0</v>
      </c>
      <c r="BY121" s="787">
        <v>0</v>
      </c>
      <c r="BZ121" s="787">
        <f t="shared" si="11"/>
        <v>8964.35</v>
      </c>
      <c r="CA121" s="787"/>
      <c r="CB121" s="787"/>
      <c r="CC121" s="787"/>
      <c r="CD121" s="787">
        <v>0</v>
      </c>
      <c r="CE121" s="787">
        <v>0</v>
      </c>
      <c r="CF121" s="787">
        <f t="shared" si="12"/>
        <v>0</v>
      </c>
      <c r="CG121" s="787">
        <v>0</v>
      </c>
      <c r="CH121" s="787">
        <v>0</v>
      </c>
      <c r="CI121" s="787">
        <f t="shared" si="13"/>
        <v>0</v>
      </c>
      <c r="CJ121" s="787"/>
      <c r="CK121" s="787"/>
      <c r="CL121" s="787"/>
      <c r="CM121" s="787"/>
      <c r="CN121" s="787"/>
      <c r="CO121" s="787"/>
      <c r="CP121" s="787"/>
      <c r="CQ121" s="787"/>
      <c r="CR121" s="787"/>
      <c r="CS121" s="787"/>
      <c r="CT121" s="787"/>
      <c r="CU121" s="787"/>
      <c r="CV121" s="787"/>
      <c r="CW121" s="787"/>
      <c r="CX121" s="787"/>
      <c r="CY121" s="787"/>
      <c r="CZ121" s="787"/>
      <c r="DA121" s="787"/>
      <c r="DB121" s="787"/>
      <c r="DC121" s="787"/>
      <c r="DD121" s="787"/>
      <c r="DE121" s="787"/>
      <c r="DF121" s="787"/>
      <c r="DG121" s="787"/>
      <c r="DH121" s="787"/>
      <c r="DI121" s="787"/>
      <c r="DJ121" s="787"/>
      <c r="DK121" s="787"/>
      <c r="DL121" s="787"/>
      <c r="DM121" s="787"/>
      <c r="DN121" s="787"/>
      <c r="DO121" s="787"/>
      <c r="DP121" s="787"/>
      <c r="DQ121" s="787"/>
      <c r="DR121" s="787"/>
      <c r="DS121" s="787"/>
      <c r="DT121" s="787"/>
      <c r="DU121" s="787"/>
      <c r="DV121" s="787"/>
      <c r="DW121" s="787"/>
      <c r="DX121" s="787"/>
      <c r="DY121" s="787"/>
      <c r="DZ121" s="787"/>
      <c r="EA121" s="787"/>
    </row>
    <row r="122" spans="1:131" ht="15.6">
      <c r="A122" s="782" t="s">
        <v>1415</v>
      </c>
      <c r="B122" s="782" t="s">
        <v>732</v>
      </c>
      <c r="C122" s="783">
        <v>4173</v>
      </c>
      <c r="D122" s="784" t="s">
        <v>733</v>
      </c>
      <c r="E122" s="785" t="s">
        <v>521</v>
      </c>
      <c r="F122" s="786">
        <v>0</v>
      </c>
      <c r="G122" s="785" t="s">
        <v>5</v>
      </c>
      <c r="H122" s="785" t="str">
        <f t="shared" si="7"/>
        <v>AX0BD</v>
      </c>
      <c r="I122" s="787">
        <v>0</v>
      </c>
      <c r="J122" s="787">
        <v>0</v>
      </c>
      <c r="K122" s="787">
        <v>0</v>
      </c>
      <c r="L122" s="787">
        <v>0</v>
      </c>
      <c r="M122" s="787">
        <v>25252</v>
      </c>
      <c r="N122" s="787">
        <v>2750.0600000000031</v>
      </c>
      <c r="O122" s="787">
        <v>0</v>
      </c>
      <c r="P122" s="787">
        <v>16056.25</v>
      </c>
      <c r="Q122" s="787">
        <v>13419.73</v>
      </c>
      <c r="R122" s="787">
        <v>105586.24000000001</v>
      </c>
      <c r="S122" s="787">
        <v>73795.38</v>
      </c>
      <c r="T122" s="787">
        <v>105697.96</v>
      </c>
      <c r="U122" s="787">
        <v>0</v>
      </c>
      <c r="V122" s="787">
        <v>0</v>
      </c>
      <c r="W122" s="787">
        <v>136534.15</v>
      </c>
      <c r="X122" s="787">
        <f t="shared" si="8"/>
        <v>479091.77</v>
      </c>
      <c r="Y122" s="787">
        <v>4629540.0228369143</v>
      </c>
      <c r="Z122" s="787">
        <v>0</v>
      </c>
      <c r="AA122" s="787">
        <v>1202232.538864746</v>
      </c>
      <c r="AB122" s="787">
        <v>145100.18423828125</v>
      </c>
      <c r="AC122" s="787">
        <v>491955.27842773439</v>
      </c>
      <c r="AD122" s="787">
        <v>0</v>
      </c>
      <c r="AE122" s="787">
        <v>74116.691630859379</v>
      </c>
      <c r="AF122" s="787">
        <v>18610.740000000002</v>
      </c>
      <c r="AG122" s="787">
        <v>16836.8</v>
      </c>
      <c r="AH122" s="787">
        <v>0</v>
      </c>
      <c r="AI122" s="787">
        <v>0</v>
      </c>
      <c r="AJ122" s="787">
        <v>66202.3</v>
      </c>
      <c r="AK122" s="787">
        <v>27827.27</v>
      </c>
      <c r="AL122" s="787">
        <v>165163.41</v>
      </c>
      <c r="AM122" s="787">
        <v>18583.36</v>
      </c>
      <c r="AN122" s="787">
        <v>101792.83</v>
      </c>
      <c r="AO122" s="787">
        <v>0</v>
      </c>
      <c r="AP122" s="787">
        <v>31065.5</v>
      </c>
      <c r="AQ122" s="787">
        <v>128096.03</v>
      </c>
      <c r="AR122" s="787">
        <v>0</v>
      </c>
      <c r="AS122" s="787">
        <v>0</v>
      </c>
      <c r="AT122" s="787">
        <v>71148.259999999995</v>
      </c>
      <c r="AU122" s="787">
        <v>16809.22</v>
      </c>
      <c r="AV122" s="787">
        <v>0</v>
      </c>
      <c r="AW122" s="787">
        <v>79669.19</v>
      </c>
      <c r="AX122" s="787">
        <v>1541.4</v>
      </c>
      <c r="AY122" s="787">
        <v>88565.5</v>
      </c>
      <c r="AZ122" s="787">
        <v>68118</v>
      </c>
      <c r="BA122" s="787">
        <v>2084.5299999999988</v>
      </c>
      <c r="BB122" s="787">
        <v>0</v>
      </c>
      <c r="BC122" s="787">
        <v>225125.64</v>
      </c>
      <c r="BD122" s="787">
        <v>98483.48</v>
      </c>
      <c r="BE122" s="787">
        <v>206.86999999999898</v>
      </c>
      <c r="BF122" s="787">
        <v>366949.98</v>
      </c>
      <c r="BG122" s="787">
        <v>258264.97</v>
      </c>
      <c r="BH122" s="787">
        <v>0</v>
      </c>
      <c r="BI122" s="787">
        <v>0</v>
      </c>
      <c r="BJ122" s="787">
        <f t="shared" si="9"/>
        <v>8394089.9959985353</v>
      </c>
      <c r="BK122" s="787"/>
      <c r="BL122" s="787"/>
      <c r="BM122" s="787"/>
      <c r="BN122" s="787">
        <v>20059.999999999996</v>
      </c>
      <c r="BO122" s="787">
        <v>0</v>
      </c>
      <c r="BP122" s="787">
        <v>0</v>
      </c>
      <c r="BQ122" s="787">
        <f t="shared" si="10"/>
        <v>20059.999999999996</v>
      </c>
      <c r="BR122" s="787">
        <v>20060.25</v>
      </c>
      <c r="BS122" s="787">
        <v>87120</v>
      </c>
      <c r="BT122" s="787">
        <v>0</v>
      </c>
      <c r="BU122" s="787">
        <v>0</v>
      </c>
      <c r="BV122" s="787">
        <v>0</v>
      </c>
      <c r="BW122" s="787">
        <v>0</v>
      </c>
      <c r="BX122" s="787">
        <v>4845</v>
      </c>
      <c r="BY122" s="787">
        <v>0</v>
      </c>
      <c r="BZ122" s="787">
        <f t="shared" si="11"/>
        <v>112025.25</v>
      </c>
      <c r="CA122" s="787"/>
      <c r="CB122" s="787"/>
      <c r="CC122" s="787"/>
      <c r="CD122" s="787">
        <v>0</v>
      </c>
      <c r="CE122" s="787">
        <v>0</v>
      </c>
      <c r="CF122" s="787">
        <f t="shared" si="12"/>
        <v>0</v>
      </c>
      <c r="CG122" s="787">
        <v>0</v>
      </c>
      <c r="CH122" s="787">
        <v>0</v>
      </c>
      <c r="CI122" s="787">
        <f t="shared" si="13"/>
        <v>0</v>
      </c>
      <c r="CJ122" s="787"/>
      <c r="CK122" s="787"/>
      <c r="CL122" s="787"/>
      <c r="CM122" s="787"/>
      <c r="CN122" s="787"/>
      <c r="CO122" s="787"/>
      <c r="CP122" s="787"/>
      <c r="CQ122" s="787"/>
      <c r="CR122" s="787"/>
      <c r="CS122" s="787">
        <v>50000</v>
      </c>
      <c r="CT122" s="787">
        <v>0</v>
      </c>
      <c r="CU122" s="787">
        <v>0</v>
      </c>
      <c r="CV122" s="787">
        <v>50000</v>
      </c>
      <c r="CW122" s="787">
        <v>0</v>
      </c>
      <c r="CX122" s="787">
        <v>31301.21</v>
      </c>
      <c r="CY122" s="787">
        <v>36015.82</v>
      </c>
      <c r="CZ122" s="787">
        <v>2297.3300000000004</v>
      </c>
      <c r="DA122" s="787">
        <v>0</v>
      </c>
      <c r="DB122" s="787">
        <v>119614.36</v>
      </c>
      <c r="DC122" s="787">
        <v>1203533.4500000002</v>
      </c>
      <c r="DD122" s="787">
        <v>0</v>
      </c>
      <c r="DE122" s="787">
        <v>0</v>
      </c>
      <c r="DF122" s="787">
        <v>1203533.4500000002</v>
      </c>
      <c r="DG122" s="787"/>
      <c r="DH122" s="787"/>
      <c r="DI122" s="787"/>
      <c r="DJ122" s="787">
        <v>0</v>
      </c>
      <c r="DK122" s="787">
        <v>1203533.4500000002</v>
      </c>
      <c r="DL122" s="787">
        <v>20060</v>
      </c>
      <c r="DM122" s="787">
        <v>0</v>
      </c>
      <c r="DN122" s="787">
        <v>0</v>
      </c>
      <c r="DO122" s="787">
        <v>0</v>
      </c>
      <c r="DP122" s="787">
        <v>-627561.56999999995</v>
      </c>
      <c r="DQ122" s="787">
        <v>-1731.2</v>
      </c>
      <c r="DR122" s="787">
        <v>0</v>
      </c>
      <c r="DS122" s="787">
        <v>0</v>
      </c>
      <c r="DT122" s="787">
        <v>-609232.7699999999</v>
      </c>
      <c r="DU122" s="787">
        <v>0</v>
      </c>
      <c r="DV122" s="787">
        <v>0</v>
      </c>
      <c r="DW122" s="787">
        <v>-201258.99</v>
      </c>
      <c r="DX122" s="787">
        <v>0</v>
      </c>
      <c r="DY122" s="787">
        <v>0</v>
      </c>
      <c r="DZ122" s="787">
        <v>-169.7</v>
      </c>
      <c r="EA122" s="787">
        <v>0.29346682800678536</v>
      </c>
    </row>
    <row r="123" spans="1:131" ht="15.6">
      <c r="A123" s="782" t="s">
        <v>1416</v>
      </c>
      <c r="B123" s="782" t="s">
        <v>914</v>
      </c>
      <c r="C123" s="783">
        <v>2157</v>
      </c>
      <c r="D123" s="784" t="s">
        <v>915</v>
      </c>
      <c r="E123" s="785" t="s">
        <v>521</v>
      </c>
      <c r="F123" s="786">
        <v>46093</v>
      </c>
      <c r="G123" s="785" t="s">
        <v>5</v>
      </c>
      <c r="H123" s="785" t="str">
        <f t="shared" si="7"/>
        <v>AX04V</v>
      </c>
      <c r="I123" s="787">
        <v>0</v>
      </c>
      <c r="J123" s="787">
        <v>0</v>
      </c>
      <c r="K123" s="787">
        <v>0</v>
      </c>
      <c r="L123" s="787">
        <v>0</v>
      </c>
      <c r="M123" s="787">
        <v>0</v>
      </c>
      <c r="N123" s="787">
        <v>0</v>
      </c>
      <c r="O123" s="787">
        <v>0</v>
      </c>
      <c r="P123" s="787">
        <v>0</v>
      </c>
      <c r="Q123" s="787">
        <v>25857.61</v>
      </c>
      <c r="R123" s="787">
        <v>0</v>
      </c>
      <c r="S123" s="787">
        <v>0</v>
      </c>
      <c r="T123" s="787">
        <v>0</v>
      </c>
      <c r="U123" s="787">
        <v>27428</v>
      </c>
      <c r="V123" s="787">
        <v>10379.09</v>
      </c>
      <c r="W123" s="787">
        <v>0</v>
      </c>
      <c r="X123" s="787">
        <f t="shared" si="8"/>
        <v>63664.7</v>
      </c>
      <c r="Y123" s="787">
        <v>1308795.54</v>
      </c>
      <c r="Z123" s="787">
        <v>0</v>
      </c>
      <c r="AA123" s="787">
        <v>266450.25</v>
      </c>
      <c r="AB123" s="787">
        <v>95429.26999999999</v>
      </c>
      <c r="AC123" s="787">
        <v>91084.51999999999</v>
      </c>
      <c r="AD123" s="787">
        <v>0</v>
      </c>
      <c r="AE123" s="787">
        <v>80665.790000000008</v>
      </c>
      <c r="AF123" s="787">
        <v>7282.15</v>
      </c>
      <c r="AG123" s="787">
        <v>6819.52</v>
      </c>
      <c r="AH123" s="787">
        <v>0</v>
      </c>
      <c r="AI123" s="787">
        <v>0</v>
      </c>
      <c r="AJ123" s="787">
        <v>4300.93</v>
      </c>
      <c r="AK123" s="787">
        <v>259.64</v>
      </c>
      <c r="AL123" s="787">
        <v>3999.25</v>
      </c>
      <c r="AM123" s="787">
        <v>8320.0399999999991</v>
      </c>
      <c r="AN123" s="787">
        <v>98584.81</v>
      </c>
      <c r="AO123" s="787">
        <v>0</v>
      </c>
      <c r="AP123" s="787">
        <v>19876.849999999999</v>
      </c>
      <c r="AQ123" s="787">
        <v>50246.65</v>
      </c>
      <c r="AR123" s="787">
        <v>0</v>
      </c>
      <c r="AS123" s="787">
        <v>0</v>
      </c>
      <c r="AT123" s="787">
        <v>43735.17</v>
      </c>
      <c r="AU123" s="787">
        <v>1366.1</v>
      </c>
      <c r="AV123" s="787">
        <v>0</v>
      </c>
      <c r="AW123" s="787">
        <v>894.84</v>
      </c>
      <c r="AX123" s="787">
        <v>5123.83</v>
      </c>
      <c r="AY123" s="787">
        <v>0</v>
      </c>
      <c r="AZ123" s="787">
        <v>13927.06</v>
      </c>
      <c r="BA123" s="787">
        <v>1075.0499999999993</v>
      </c>
      <c r="BB123" s="787">
        <v>0</v>
      </c>
      <c r="BC123" s="787">
        <v>71177.179999999993</v>
      </c>
      <c r="BD123" s="787">
        <v>219288.33000000002</v>
      </c>
      <c r="BE123" s="787">
        <v>9000.8599999999988</v>
      </c>
      <c r="BF123" s="787">
        <v>159282.1</v>
      </c>
      <c r="BG123" s="787">
        <v>0</v>
      </c>
      <c r="BH123" s="787">
        <v>0</v>
      </c>
      <c r="BI123" s="787">
        <v>0</v>
      </c>
      <c r="BJ123" s="787">
        <f t="shared" si="9"/>
        <v>2566985.73</v>
      </c>
      <c r="BK123" s="787"/>
      <c r="BL123" s="787"/>
      <c r="BM123" s="787"/>
      <c r="BN123" s="787">
        <v>0</v>
      </c>
      <c r="BO123" s="787">
        <v>0</v>
      </c>
      <c r="BP123" s="787">
        <v>0</v>
      </c>
      <c r="BQ123" s="787">
        <f t="shared" si="10"/>
        <v>0</v>
      </c>
      <c r="BR123" s="787">
        <v>0</v>
      </c>
      <c r="BS123" s="787">
        <v>956.77</v>
      </c>
      <c r="BT123" s="787">
        <v>0</v>
      </c>
      <c r="BU123" s="787">
        <v>0</v>
      </c>
      <c r="BV123" s="787">
        <v>0</v>
      </c>
      <c r="BW123" s="787">
        <v>0</v>
      </c>
      <c r="BX123" s="787">
        <v>0</v>
      </c>
      <c r="BY123" s="787">
        <v>16381</v>
      </c>
      <c r="BZ123" s="787">
        <f t="shared" si="11"/>
        <v>17337.77</v>
      </c>
      <c r="CA123" s="787"/>
      <c r="CB123" s="787"/>
      <c r="CC123" s="787"/>
      <c r="CD123" s="787">
        <v>0</v>
      </c>
      <c r="CE123" s="787">
        <v>0</v>
      </c>
      <c r="CF123" s="787">
        <f t="shared" si="12"/>
        <v>0</v>
      </c>
      <c r="CG123" s="787">
        <v>0</v>
      </c>
      <c r="CH123" s="787">
        <v>0</v>
      </c>
      <c r="CI123" s="787">
        <f t="shared" si="13"/>
        <v>0</v>
      </c>
      <c r="CJ123" s="787"/>
      <c r="CK123" s="787"/>
      <c r="CL123" s="787"/>
      <c r="CM123" s="787"/>
      <c r="CN123" s="787"/>
      <c r="CO123" s="787"/>
      <c r="CP123" s="787"/>
      <c r="CQ123" s="787"/>
      <c r="CR123" s="787"/>
      <c r="CS123" s="787"/>
      <c r="CT123" s="787"/>
      <c r="CU123" s="787"/>
      <c r="CV123" s="787"/>
      <c r="CW123" s="787"/>
      <c r="CX123" s="787"/>
      <c r="CY123" s="787"/>
      <c r="CZ123" s="787"/>
      <c r="DA123" s="787"/>
      <c r="DB123" s="787"/>
      <c r="DC123" s="787"/>
      <c r="DD123" s="787"/>
      <c r="DE123" s="787"/>
      <c r="DF123" s="787"/>
      <c r="DG123" s="787"/>
      <c r="DH123" s="787"/>
      <c r="DI123" s="787"/>
      <c r="DJ123" s="787"/>
      <c r="DK123" s="787"/>
      <c r="DL123" s="787"/>
      <c r="DM123" s="787"/>
      <c r="DN123" s="787"/>
      <c r="DO123" s="787"/>
      <c r="DP123" s="787"/>
      <c r="DQ123" s="787"/>
      <c r="DR123" s="787"/>
      <c r="DS123" s="787"/>
      <c r="DT123" s="787"/>
      <c r="DU123" s="787"/>
      <c r="DV123" s="787"/>
      <c r="DW123" s="787"/>
      <c r="DX123" s="787"/>
      <c r="DY123" s="787"/>
      <c r="DZ123" s="787"/>
      <c r="EA123" s="787"/>
    </row>
    <row r="124" spans="1:131" ht="15.6">
      <c r="A124" s="782" t="s">
        <v>1417</v>
      </c>
      <c r="B124" s="782" t="s">
        <v>734</v>
      </c>
      <c r="C124" s="783">
        <v>2159</v>
      </c>
      <c r="D124" s="784" t="s">
        <v>735</v>
      </c>
      <c r="E124" s="785" t="s">
        <v>521</v>
      </c>
      <c r="F124" s="786">
        <v>46094</v>
      </c>
      <c r="G124" s="785" t="s">
        <v>5</v>
      </c>
      <c r="H124" s="785" t="str">
        <f t="shared" si="7"/>
        <v>AX04W</v>
      </c>
      <c r="I124" s="787">
        <v>5102</v>
      </c>
      <c r="J124" s="787">
        <v>0</v>
      </c>
      <c r="K124" s="787">
        <v>0</v>
      </c>
      <c r="L124" s="787">
        <v>0</v>
      </c>
      <c r="M124" s="787">
        <v>0</v>
      </c>
      <c r="N124" s="787">
        <v>0</v>
      </c>
      <c r="O124" s="787">
        <v>0</v>
      </c>
      <c r="P124" s="787">
        <v>0</v>
      </c>
      <c r="Q124" s="787">
        <v>0</v>
      </c>
      <c r="R124" s="787">
        <v>8304</v>
      </c>
      <c r="S124" s="787">
        <v>0</v>
      </c>
      <c r="T124" s="787">
        <v>0</v>
      </c>
      <c r="U124" s="787">
        <v>1825</v>
      </c>
      <c r="V124" s="787">
        <v>100</v>
      </c>
      <c r="W124" s="787">
        <v>0</v>
      </c>
      <c r="X124" s="787">
        <f t="shared" si="8"/>
        <v>15331</v>
      </c>
      <c r="Y124" s="787">
        <v>738226</v>
      </c>
      <c r="Z124" s="787">
        <v>0</v>
      </c>
      <c r="AA124" s="787">
        <v>267212</v>
      </c>
      <c r="AB124" s="787">
        <v>42098</v>
      </c>
      <c r="AC124" s="787">
        <v>104611</v>
      </c>
      <c r="AD124" s="787">
        <v>0</v>
      </c>
      <c r="AE124" s="787">
        <v>47583</v>
      </c>
      <c r="AF124" s="787">
        <v>4723</v>
      </c>
      <c r="AG124" s="787">
        <v>786</v>
      </c>
      <c r="AH124" s="787">
        <v>0</v>
      </c>
      <c r="AI124" s="787">
        <v>0</v>
      </c>
      <c r="AJ124" s="787">
        <v>11135</v>
      </c>
      <c r="AK124" s="787">
        <v>829</v>
      </c>
      <c r="AL124" s="787">
        <v>23388</v>
      </c>
      <c r="AM124" s="787">
        <v>4223</v>
      </c>
      <c r="AN124" s="787">
        <v>35882.36</v>
      </c>
      <c r="AO124" s="787">
        <v>0</v>
      </c>
      <c r="AP124" s="787">
        <v>7648.48</v>
      </c>
      <c r="AQ124" s="787">
        <v>28593</v>
      </c>
      <c r="AR124" s="787">
        <v>0</v>
      </c>
      <c r="AS124" s="787">
        <v>0</v>
      </c>
      <c r="AT124" s="787">
        <v>3886</v>
      </c>
      <c r="AU124" s="787">
        <v>0</v>
      </c>
      <c r="AV124" s="787">
        <v>4966</v>
      </c>
      <c r="AW124" s="787">
        <v>10387</v>
      </c>
      <c r="AX124" s="787">
        <v>359</v>
      </c>
      <c r="AY124" s="787">
        <v>0</v>
      </c>
      <c r="AZ124" s="787">
        <v>1998</v>
      </c>
      <c r="BA124" s="787">
        <v>706</v>
      </c>
      <c r="BB124" s="787">
        <v>4235</v>
      </c>
      <c r="BC124" s="787">
        <v>89427</v>
      </c>
      <c r="BD124" s="787">
        <v>94061</v>
      </c>
      <c r="BE124" s="787">
        <v>250</v>
      </c>
      <c r="BF124" s="787">
        <v>63296</v>
      </c>
      <c r="BG124" s="787">
        <v>0</v>
      </c>
      <c r="BH124" s="787">
        <v>0</v>
      </c>
      <c r="BI124" s="787">
        <v>0</v>
      </c>
      <c r="BJ124" s="787">
        <f t="shared" si="9"/>
        <v>1590508.84</v>
      </c>
      <c r="BK124" s="787"/>
      <c r="BL124" s="787"/>
      <c r="BM124" s="787"/>
      <c r="BN124" s="787">
        <v>0</v>
      </c>
      <c r="BO124" s="787">
        <v>0</v>
      </c>
      <c r="BP124" s="787">
        <v>0</v>
      </c>
      <c r="BQ124" s="787">
        <f t="shared" si="10"/>
        <v>0</v>
      </c>
      <c r="BR124" s="787">
        <v>0</v>
      </c>
      <c r="BS124" s="787">
        <v>0</v>
      </c>
      <c r="BT124" s="787">
        <v>0</v>
      </c>
      <c r="BU124" s="787">
        <v>0</v>
      </c>
      <c r="BV124" s="787">
        <v>0</v>
      </c>
      <c r="BW124" s="787">
        <v>0</v>
      </c>
      <c r="BX124" s="787">
        <v>0</v>
      </c>
      <c r="BY124" s="787">
        <v>0</v>
      </c>
      <c r="BZ124" s="787">
        <f t="shared" si="11"/>
        <v>0</v>
      </c>
      <c r="CA124" s="787"/>
      <c r="CB124" s="787"/>
      <c r="CC124" s="787"/>
      <c r="CD124" s="787">
        <v>0</v>
      </c>
      <c r="CE124" s="787">
        <v>0</v>
      </c>
      <c r="CF124" s="787">
        <f t="shared" si="12"/>
        <v>0</v>
      </c>
      <c r="CG124" s="787">
        <v>0</v>
      </c>
      <c r="CH124" s="787">
        <v>0</v>
      </c>
      <c r="CI124" s="787">
        <f t="shared" si="13"/>
        <v>0</v>
      </c>
      <c r="CJ124" s="787"/>
      <c r="CK124" s="787"/>
      <c r="CL124" s="787"/>
      <c r="CM124" s="787"/>
      <c r="CN124" s="787"/>
      <c r="CO124" s="787"/>
      <c r="CP124" s="787"/>
      <c r="CQ124" s="787"/>
      <c r="CR124" s="787"/>
      <c r="CS124" s="787">
        <v>184527.15</v>
      </c>
      <c r="CT124" s="787">
        <v>0</v>
      </c>
      <c r="CU124" s="787">
        <v>0</v>
      </c>
      <c r="CV124" s="787">
        <v>184527.15</v>
      </c>
      <c r="CW124" s="787">
        <v>0</v>
      </c>
      <c r="CX124" s="787">
        <v>3785.19</v>
      </c>
      <c r="CY124" s="787">
        <v>1297.31</v>
      </c>
      <c r="CZ124" s="787">
        <v>0</v>
      </c>
      <c r="DA124" s="787">
        <v>0</v>
      </c>
      <c r="DB124" s="787">
        <v>189609.65</v>
      </c>
      <c r="DC124" s="787">
        <v>0</v>
      </c>
      <c r="DD124" s="787">
        <v>0</v>
      </c>
      <c r="DE124" s="787">
        <v>0</v>
      </c>
      <c r="DF124" s="787">
        <v>0</v>
      </c>
      <c r="DG124" s="787"/>
      <c r="DH124" s="787"/>
      <c r="DI124" s="787"/>
      <c r="DJ124" s="787">
        <v>0</v>
      </c>
      <c r="DK124" s="787">
        <v>0</v>
      </c>
      <c r="DL124" s="787">
        <v>0</v>
      </c>
      <c r="DM124" s="787">
        <v>0</v>
      </c>
      <c r="DN124" s="787">
        <v>0</v>
      </c>
      <c r="DO124" s="787">
        <v>0</v>
      </c>
      <c r="DP124" s="787">
        <v>-29025.360000000001</v>
      </c>
      <c r="DQ124" s="787">
        <v>-2064.48</v>
      </c>
      <c r="DR124" s="787">
        <v>0</v>
      </c>
      <c r="DS124" s="787">
        <v>0</v>
      </c>
      <c r="DT124" s="787">
        <v>-31089.84</v>
      </c>
      <c r="DU124" s="787">
        <v>0</v>
      </c>
      <c r="DV124" s="787">
        <v>0</v>
      </c>
      <c r="DW124" s="787">
        <v>-102284</v>
      </c>
      <c r="DX124" s="787">
        <v>0</v>
      </c>
      <c r="DY124" s="787">
        <v>0</v>
      </c>
      <c r="DZ124" s="787">
        <v>0</v>
      </c>
      <c r="EA124" s="787">
        <v>0.29742508281196933</v>
      </c>
    </row>
    <row r="125" spans="1:131" ht="15.6">
      <c r="A125" s="782" t="s">
        <v>1418</v>
      </c>
      <c r="B125" s="782" t="s">
        <v>736</v>
      </c>
      <c r="C125" s="783">
        <v>2161</v>
      </c>
      <c r="D125" s="784" t="s">
        <v>737</v>
      </c>
      <c r="E125" s="785" t="s">
        <v>521</v>
      </c>
      <c r="F125" s="786">
        <v>46094</v>
      </c>
      <c r="G125" s="785" t="s">
        <v>5</v>
      </c>
      <c r="H125" s="785" t="str">
        <f t="shared" si="7"/>
        <v>AX04X</v>
      </c>
      <c r="I125" s="787">
        <v>6.9999999832361937E-2</v>
      </c>
      <c r="J125" s="787">
        <v>0</v>
      </c>
      <c r="K125" s="787">
        <v>14599.989999999991</v>
      </c>
      <c r="L125" s="787">
        <v>0</v>
      </c>
      <c r="M125" s="787">
        <v>3500</v>
      </c>
      <c r="N125" s="787">
        <v>0</v>
      </c>
      <c r="O125" s="787">
        <v>0</v>
      </c>
      <c r="P125" s="787">
        <v>0</v>
      </c>
      <c r="Q125" s="787">
        <v>6019.5099999999984</v>
      </c>
      <c r="R125" s="787">
        <v>0</v>
      </c>
      <c r="S125" s="787">
        <v>0</v>
      </c>
      <c r="T125" s="787">
        <v>0</v>
      </c>
      <c r="U125" s="787">
        <v>796.65</v>
      </c>
      <c r="V125" s="787">
        <v>7247.4</v>
      </c>
      <c r="W125" s="787">
        <v>0</v>
      </c>
      <c r="X125" s="787">
        <f t="shared" si="8"/>
        <v>32163.619999999821</v>
      </c>
      <c r="Y125" s="787">
        <v>969951.98</v>
      </c>
      <c r="Z125" s="787">
        <v>0</v>
      </c>
      <c r="AA125" s="787">
        <v>508478.28</v>
      </c>
      <c r="AB125" s="787">
        <v>63830.04</v>
      </c>
      <c r="AC125" s="787">
        <v>93336.1</v>
      </c>
      <c r="AD125" s="787">
        <v>0</v>
      </c>
      <c r="AE125" s="787">
        <v>86360.21</v>
      </c>
      <c r="AF125" s="787">
        <v>6152.9</v>
      </c>
      <c r="AG125" s="787">
        <v>4106.45</v>
      </c>
      <c r="AH125" s="787">
        <v>0</v>
      </c>
      <c r="AI125" s="787">
        <v>252</v>
      </c>
      <c r="AJ125" s="787">
        <v>27179.31</v>
      </c>
      <c r="AK125" s="787">
        <v>2342</v>
      </c>
      <c r="AL125" s="787">
        <v>12827.77</v>
      </c>
      <c r="AM125" s="787">
        <v>3434.1</v>
      </c>
      <c r="AN125" s="787">
        <v>21981.07</v>
      </c>
      <c r="AO125" s="787">
        <v>4.9999999999272404E-2</v>
      </c>
      <c r="AP125" s="787">
        <v>9307.85</v>
      </c>
      <c r="AQ125" s="787">
        <v>32633.61</v>
      </c>
      <c r="AR125" s="787">
        <v>0</v>
      </c>
      <c r="AS125" s="787">
        <v>0</v>
      </c>
      <c r="AT125" s="787">
        <v>5877.31</v>
      </c>
      <c r="AU125" s="787">
        <v>48766.7</v>
      </c>
      <c r="AV125" s="787">
        <v>0</v>
      </c>
      <c r="AW125" s="787">
        <v>0</v>
      </c>
      <c r="AX125" s="787">
        <v>0</v>
      </c>
      <c r="AY125" s="787">
        <v>0</v>
      </c>
      <c r="AZ125" s="787">
        <v>8293.11</v>
      </c>
      <c r="BA125" s="787">
        <v>0</v>
      </c>
      <c r="BB125" s="787">
        <v>0</v>
      </c>
      <c r="BC125" s="787">
        <v>101437.66</v>
      </c>
      <c r="BD125" s="787">
        <v>54202.77</v>
      </c>
      <c r="BE125" s="787">
        <v>-1.9999999999527063E-2</v>
      </c>
      <c r="BF125" s="787">
        <v>38660.81</v>
      </c>
      <c r="BG125" s="787">
        <v>0</v>
      </c>
      <c r="BH125" s="787">
        <v>0</v>
      </c>
      <c r="BI125" s="787">
        <v>0</v>
      </c>
      <c r="BJ125" s="787">
        <f t="shared" si="9"/>
        <v>2099412.0600000005</v>
      </c>
      <c r="BK125" s="787"/>
      <c r="BL125" s="787"/>
      <c r="BM125" s="787"/>
      <c r="BN125" s="787">
        <v>0</v>
      </c>
      <c r="BO125" s="787">
        <v>0</v>
      </c>
      <c r="BP125" s="787">
        <v>0</v>
      </c>
      <c r="BQ125" s="787">
        <f t="shared" si="10"/>
        <v>0</v>
      </c>
      <c r="BR125" s="787">
        <v>8333.33</v>
      </c>
      <c r="BS125" s="787">
        <v>0</v>
      </c>
      <c r="BT125" s="787">
        <v>0</v>
      </c>
      <c r="BU125" s="787">
        <v>0</v>
      </c>
      <c r="BV125" s="787">
        <v>0</v>
      </c>
      <c r="BW125" s="787">
        <v>6712.15</v>
      </c>
      <c r="BX125" s="787">
        <v>0</v>
      </c>
      <c r="BY125" s="787">
        <v>0</v>
      </c>
      <c r="BZ125" s="787">
        <f t="shared" si="11"/>
        <v>15045.48</v>
      </c>
      <c r="CA125" s="787"/>
      <c r="CB125" s="787"/>
      <c r="CC125" s="787"/>
      <c r="CD125" s="787">
        <v>0</v>
      </c>
      <c r="CE125" s="787">
        <v>0</v>
      </c>
      <c r="CF125" s="787">
        <f t="shared" si="12"/>
        <v>0</v>
      </c>
      <c r="CG125" s="787">
        <v>0</v>
      </c>
      <c r="CH125" s="787">
        <v>0</v>
      </c>
      <c r="CI125" s="787">
        <f t="shared" si="13"/>
        <v>0</v>
      </c>
      <c r="CJ125" s="787"/>
      <c r="CK125" s="787"/>
      <c r="CL125" s="787"/>
      <c r="CM125" s="787"/>
      <c r="CN125" s="787"/>
      <c r="CO125" s="787"/>
      <c r="CP125" s="787"/>
      <c r="CQ125" s="787"/>
      <c r="CR125" s="787"/>
      <c r="CS125" s="787">
        <v>477300.01</v>
      </c>
      <c r="CT125" s="787">
        <v>0</v>
      </c>
      <c r="CU125" s="787">
        <v>0</v>
      </c>
      <c r="CV125" s="787">
        <v>477300.01</v>
      </c>
      <c r="CW125" s="787">
        <v>0</v>
      </c>
      <c r="CX125" s="787">
        <v>10779.08</v>
      </c>
      <c r="CY125" s="787">
        <v>6818.19</v>
      </c>
      <c r="CZ125" s="787">
        <v>0</v>
      </c>
      <c r="DA125" s="787">
        <v>0</v>
      </c>
      <c r="DB125" s="787">
        <v>494897.28</v>
      </c>
      <c r="DC125" s="787">
        <v>0</v>
      </c>
      <c r="DD125" s="787">
        <v>0</v>
      </c>
      <c r="DE125" s="787">
        <v>0</v>
      </c>
      <c r="DF125" s="787">
        <v>0</v>
      </c>
      <c r="DG125" s="787"/>
      <c r="DH125" s="787"/>
      <c r="DI125" s="787"/>
      <c r="DJ125" s="787">
        <v>0</v>
      </c>
      <c r="DK125" s="787">
        <v>0</v>
      </c>
      <c r="DL125" s="787">
        <v>0</v>
      </c>
      <c r="DM125" s="787">
        <v>0</v>
      </c>
      <c r="DN125" s="787">
        <v>0</v>
      </c>
      <c r="DO125" s="787">
        <v>0</v>
      </c>
      <c r="DP125" s="787">
        <v>-165856.01</v>
      </c>
      <c r="DQ125" s="787">
        <v>-3036.88</v>
      </c>
      <c r="DR125" s="787">
        <v>0</v>
      </c>
      <c r="DS125" s="787">
        <v>0</v>
      </c>
      <c r="DT125" s="787">
        <v>-168892.89</v>
      </c>
      <c r="DU125" s="787">
        <v>0</v>
      </c>
      <c r="DV125" s="787">
        <v>0</v>
      </c>
      <c r="DW125" s="787">
        <v>0</v>
      </c>
      <c r="DX125" s="787">
        <v>0</v>
      </c>
      <c r="DY125" s="787">
        <v>2024.61</v>
      </c>
      <c r="DZ125" s="787">
        <v>-183.55</v>
      </c>
      <c r="EA125" s="787">
        <v>-7.7384276082739234E-3</v>
      </c>
    </row>
    <row r="126" spans="1:131" ht="15.6">
      <c r="A126" s="782" t="s">
        <v>1419</v>
      </c>
      <c r="B126" s="782" t="s">
        <v>738</v>
      </c>
      <c r="C126" s="783">
        <v>2160</v>
      </c>
      <c r="D126" s="784" t="s">
        <v>739</v>
      </c>
      <c r="E126" s="785" t="s">
        <v>521</v>
      </c>
      <c r="F126" s="786">
        <v>46094</v>
      </c>
      <c r="G126" s="785" t="s">
        <v>5</v>
      </c>
      <c r="H126" s="785" t="str">
        <f t="shared" si="7"/>
        <v>AX04Y</v>
      </c>
      <c r="I126" s="787">
        <v>0</v>
      </c>
      <c r="J126" s="787">
        <v>0</v>
      </c>
      <c r="K126" s="787">
        <v>0</v>
      </c>
      <c r="L126" s="787">
        <v>0</v>
      </c>
      <c r="M126" s="787">
        <v>1100</v>
      </c>
      <c r="N126" s="787">
        <v>0</v>
      </c>
      <c r="O126" s="787">
        <v>0</v>
      </c>
      <c r="P126" s="787">
        <v>0</v>
      </c>
      <c r="Q126" s="787">
        <v>2013</v>
      </c>
      <c r="R126" s="787">
        <v>2283.75</v>
      </c>
      <c r="S126" s="787">
        <v>0</v>
      </c>
      <c r="T126" s="787">
        <v>0</v>
      </c>
      <c r="U126" s="787">
        <v>76994.429999999993</v>
      </c>
      <c r="V126" s="787">
        <v>74636.34</v>
      </c>
      <c r="W126" s="787">
        <v>0</v>
      </c>
      <c r="X126" s="787">
        <f t="shared" si="8"/>
        <v>157027.51999999999</v>
      </c>
      <c r="Y126" s="787">
        <v>1247075.6599999999</v>
      </c>
      <c r="Z126" s="787">
        <v>0</v>
      </c>
      <c r="AA126" s="787">
        <v>412837.21</v>
      </c>
      <c r="AB126" s="787">
        <v>50368.05</v>
      </c>
      <c r="AC126" s="787">
        <v>144848.89000000001</v>
      </c>
      <c r="AD126" s="787">
        <v>0</v>
      </c>
      <c r="AE126" s="787">
        <v>159687.71</v>
      </c>
      <c r="AF126" s="787">
        <v>11827.9</v>
      </c>
      <c r="AG126" s="787">
        <v>9995.09</v>
      </c>
      <c r="AH126" s="787">
        <v>0</v>
      </c>
      <c r="AI126" s="787">
        <v>0</v>
      </c>
      <c r="AJ126" s="787">
        <v>7584.93</v>
      </c>
      <c r="AK126" s="787">
        <v>2276.5100000000002</v>
      </c>
      <c r="AL126" s="787">
        <v>43946.54</v>
      </c>
      <c r="AM126" s="787">
        <v>9642.61</v>
      </c>
      <c r="AN126" s="787">
        <v>21790.76</v>
      </c>
      <c r="AO126" s="787">
        <v>0</v>
      </c>
      <c r="AP126" s="787">
        <v>5642</v>
      </c>
      <c r="AQ126" s="787">
        <v>77443.27</v>
      </c>
      <c r="AR126" s="787">
        <v>0</v>
      </c>
      <c r="AS126" s="787">
        <v>0</v>
      </c>
      <c r="AT126" s="787">
        <v>0</v>
      </c>
      <c r="AU126" s="787">
        <v>0</v>
      </c>
      <c r="AV126" s="787">
        <v>4210.6499999999996</v>
      </c>
      <c r="AW126" s="787">
        <v>0</v>
      </c>
      <c r="AX126" s="787">
        <v>0</v>
      </c>
      <c r="AY126" s="787">
        <v>0</v>
      </c>
      <c r="AZ126" s="787">
        <v>32537.77</v>
      </c>
      <c r="BA126" s="787">
        <v>1300</v>
      </c>
      <c r="BB126" s="787">
        <v>5687</v>
      </c>
      <c r="BC126" s="787">
        <v>81765.920000000013</v>
      </c>
      <c r="BD126" s="787">
        <v>67091.929999999993</v>
      </c>
      <c r="BE126" s="787">
        <v>4470.0500000000011</v>
      </c>
      <c r="BF126" s="787">
        <v>93061.27</v>
      </c>
      <c r="BG126" s="787">
        <v>0</v>
      </c>
      <c r="BH126" s="787">
        <v>0</v>
      </c>
      <c r="BI126" s="787">
        <v>0</v>
      </c>
      <c r="BJ126" s="787">
        <f t="shared" si="9"/>
        <v>2495091.7199999997</v>
      </c>
      <c r="BK126" s="787"/>
      <c r="BL126" s="787"/>
      <c r="BM126" s="787"/>
      <c r="BN126" s="787">
        <v>0</v>
      </c>
      <c r="BO126" s="787">
        <v>0</v>
      </c>
      <c r="BP126" s="787">
        <v>0</v>
      </c>
      <c r="BQ126" s="787">
        <f t="shared" si="10"/>
        <v>0</v>
      </c>
      <c r="BR126" s="787">
        <v>0</v>
      </c>
      <c r="BS126" s="787">
        <v>6880</v>
      </c>
      <c r="BT126" s="787">
        <v>0</v>
      </c>
      <c r="BU126" s="787">
        <v>0</v>
      </c>
      <c r="BV126" s="787">
        <v>0</v>
      </c>
      <c r="BW126" s="787">
        <v>3295</v>
      </c>
      <c r="BX126" s="787">
        <v>0</v>
      </c>
      <c r="BY126" s="787">
        <v>0</v>
      </c>
      <c r="BZ126" s="787">
        <f t="shared" si="11"/>
        <v>10175</v>
      </c>
      <c r="CA126" s="787"/>
      <c r="CB126" s="787"/>
      <c r="CC126" s="787"/>
      <c r="CD126" s="787">
        <v>0</v>
      </c>
      <c r="CE126" s="787">
        <v>0</v>
      </c>
      <c r="CF126" s="787">
        <f t="shared" si="12"/>
        <v>0</v>
      </c>
      <c r="CG126" s="787">
        <v>0</v>
      </c>
      <c r="CH126" s="787">
        <v>0</v>
      </c>
      <c r="CI126" s="787">
        <f t="shared" si="13"/>
        <v>0</v>
      </c>
      <c r="CJ126" s="787"/>
      <c r="CK126" s="787"/>
      <c r="CL126" s="787"/>
      <c r="CM126" s="787"/>
      <c r="CN126" s="787"/>
      <c r="CO126" s="787"/>
      <c r="CP126" s="787"/>
      <c r="CQ126" s="787"/>
      <c r="CR126" s="787"/>
      <c r="CS126" s="787"/>
      <c r="CT126" s="787"/>
      <c r="CU126" s="787"/>
      <c r="CV126" s="787"/>
      <c r="CW126" s="787"/>
      <c r="CX126" s="787"/>
      <c r="CY126" s="787"/>
      <c r="CZ126" s="787"/>
      <c r="DA126" s="787"/>
      <c r="DB126" s="787"/>
      <c r="DC126" s="787"/>
      <c r="DD126" s="787"/>
      <c r="DE126" s="787"/>
      <c r="DF126" s="787"/>
      <c r="DG126" s="787"/>
      <c r="DH126" s="787"/>
      <c r="DI126" s="787"/>
      <c r="DJ126" s="787"/>
      <c r="DK126" s="787"/>
      <c r="DL126" s="787"/>
      <c r="DM126" s="787"/>
      <c r="DN126" s="787"/>
      <c r="DO126" s="787"/>
      <c r="DP126" s="787"/>
      <c r="DQ126" s="787"/>
      <c r="DR126" s="787"/>
      <c r="DS126" s="787"/>
      <c r="DT126" s="787"/>
      <c r="DU126" s="787"/>
      <c r="DV126" s="787"/>
      <c r="DW126" s="787"/>
      <c r="DX126" s="787"/>
      <c r="DY126" s="787"/>
      <c r="DZ126" s="787"/>
      <c r="EA126" s="787"/>
    </row>
    <row r="127" spans="1:131" ht="15.6">
      <c r="A127" s="782" t="s">
        <v>1420</v>
      </c>
      <c r="B127" s="782" t="s">
        <v>740</v>
      </c>
      <c r="C127" s="783">
        <v>2063</v>
      </c>
      <c r="D127" s="784" t="s">
        <v>741</v>
      </c>
      <c r="E127" s="785" t="s">
        <v>521</v>
      </c>
      <c r="F127" s="786">
        <v>46094</v>
      </c>
      <c r="G127" s="785" t="s">
        <v>5</v>
      </c>
      <c r="H127" s="785" t="str">
        <f t="shared" si="7"/>
        <v>AX04Z</v>
      </c>
      <c r="I127" s="787">
        <v>0</v>
      </c>
      <c r="J127" s="787">
        <v>0</v>
      </c>
      <c r="K127" s="787">
        <v>0</v>
      </c>
      <c r="L127" s="787">
        <v>0</v>
      </c>
      <c r="M127" s="787">
        <v>0</v>
      </c>
      <c r="N127" s="787">
        <v>0</v>
      </c>
      <c r="O127" s="787">
        <v>0</v>
      </c>
      <c r="P127" s="787">
        <v>0</v>
      </c>
      <c r="Q127" s="787">
        <v>3793.6100000000006</v>
      </c>
      <c r="R127" s="787">
        <v>8205.4</v>
      </c>
      <c r="S127" s="787">
        <v>0</v>
      </c>
      <c r="T127" s="787">
        <v>0</v>
      </c>
      <c r="U127" s="787">
        <v>7891.8</v>
      </c>
      <c r="V127" s="787">
        <v>19015.45</v>
      </c>
      <c r="W127" s="787">
        <v>0</v>
      </c>
      <c r="X127" s="787">
        <f t="shared" si="8"/>
        <v>38906.26</v>
      </c>
      <c r="Y127" s="787">
        <v>1644083.02</v>
      </c>
      <c r="Z127" s="787">
        <v>1786.05</v>
      </c>
      <c r="AA127" s="787">
        <v>426348.11</v>
      </c>
      <c r="AB127" s="787">
        <v>139206.63999999998</v>
      </c>
      <c r="AC127" s="787">
        <v>253214.54</v>
      </c>
      <c r="AD127" s="787">
        <v>117280.15</v>
      </c>
      <c r="AE127" s="787">
        <v>119573.62</v>
      </c>
      <c r="AF127" s="787">
        <v>12577.34</v>
      </c>
      <c r="AG127" s="787">
        <v>10188.9</v>
      </c>
      <c r="AH127" s="787">
        <v>0</v>
      </c>
      <c r="AI127" s="787">
        <v>0</v>
      </c>
      <c r="AJ127" s="787">
        <v>33794.18</v>
      </c>
      <c r="AK127" s="787">
        <v>0</v>
      </c>
      <c r="AL127" s="787">
        <v>3882.19</v>
      </c>
      <c r="AM127" s="787">
        <v>17256.349999999999</v>
      </c>
      <c r="AN127" s="787">
        <v>44239.89</v>
      </c>
      <c r="AO127" s="787">
        <v>0</v>
      </c>
      <c r="AP127" s="787">
        <v>13166</v>
      </c>
      <c r="AQ127" s="787">
        <v>110282.7</v>
      </c>
      <c r="AR127" s="787">
        <v>0</v>
      </c>
      <c r="AS127" s="787">
        <v>0</v>
      </c>
      <c r="AT127" s="787">
        <v>0</v>
      </c>
      <c r="AU127" s="787">
        <v>0</v>
      </c>
      <c r="AV127" s="787">
        <v>0</v>
      </c>
      <c r="AW127" s="787">
        <v>0</v>
      </c>
      <c r="AX127" s="787">
        <v>0</v>
      </c>
      <c r="AY127" s="787">
        <v>0</v>
      </c>
      <c r="AZ127" s="787">
        <v>17023.650000000001</v>
      </c>
      <c r="BA127" s="787">
        <v>8485.61</v>
      </c>
      <c r="BB127" s="787">
        <v>14117</v>
      </c>
      <c r="BC127" s="787">
        <v>55180.59</v>
      </c>
      <c r="BD127" s="787">
        <v>33291.33</v>
      </c>
      <c r="BE127" s="787">
        <v>113953.75999999998</v>
      </c>
      <c r="BF127" s="787">
        <v>181719.33000000002</v>
      </c>
      <c r="BG127" s="787">
        <v>0</v>
      </c>
      <c r="BH127" s="787">
        <v>0</v>
      </c>
      <c r="BI127" s="787">
        <v>0</v>
      </c>
      <c r="BJ127" s="787">
        <f t="shared" si="9"/>
        <v>3370650.95</v>
      </c>
      <c r="BK127" s="787"/>
      <c r="BL127" s="787"/>
      <c r="BM127" s="787"/>
      <c r="BN127" s="787">
        <v>0</v>
      </c>
      <c r="BO127" s="787">
        <v>0</v>
      </c>
      <c r="BP127" s="787">
        <v>0</v>
      </c>
      <c r="BQ127" s="787">
        <f t="shared" si="10"/>
        <v>0</v>
      </c>
      <c r="BR127" s="787">
        <v>27115.11</v>
      </c>
      <c r="BS127" s="787">
        <v>0</v>
      </c>
      <c r="BT127" s="787">
        <v>0</v>
      </c>
      <c r="BU127" s="787">
        <v>0</v>
      </c>
      <c r="BV127" s="787">
        <v>0</v>
      </c>
      <c r="BW127" s="787">
        <v>0</v>
      </c>
      <c r="BX127" s="787">
        <v>0</v>
      </c>
      <c r="BY127" s="787">
        <v>11257.5</v>
      </c>
      <c r="BZ127" s="787">
        <f t="shared" si="11"/>
        <v>38372.61</v>
      </c>
      <c r="CA127" s="787"/>
      <c r="CB127" s="787"/>
      <c r="CC127" s="787"/>
      <c r="CD127" s="787">
        <v>0</v>
      </c>
      <c r="CE127" s="787">
        <v>0</v>
      </c>
      <c r="CF127" s="787">
        <f t="shared" si="12"/>
        <v>0</v>
      </c>
      <c r="CG127" s="787">
        <v>0</v>
      </c>
      <c r="CH127" s="787">
        <v>0</v>
      </c>
      <c r="CI127" s="787">
        <f t="shared" si="13"/>
        <v>0</v>
      </c>
      <c r="CJ127" s="787"/>
      <c r="CK127" s="787"/>
      <c r="CL127" s="787"/>
      <c r="CM127" s="787"/>
      <c r="CN127" s="787"/>
      <c r="CO127" s="787"/>
      <c r="CP127" s="787"/>
      <c r="CQ127" s="787"/>
      <c r="CR127" s="787"/>
      <c r="CS127" s="787">
        <v>333395.96999999997</v>
      </c>
      <c r="CT127" s="787">
        <v>130368.11</v>
      </c>
      <c r="CU127" s="787">
        <v>0</v>
      </c>
      <c r="CV127" s="787">
        <v>203027.86</v>
      </c>
      <c r="CW127" s="787">
        <v>0</v>
      </c>
      <c r="CX127" s="787">
        <v>10825.32</v>
      </c>
      <c r="CY127" s="787">
        <v>11005.15</v>
      </c>
      <c r="CZ127" s="787">
        <v>0</v>
      </c>
      <c r="DA127" s="787">
        <v>0</v>
      </c>
      <c r="DB127" s="787">
        <v>224858.33</v>
      </c>
      <c r="DC127" s="787">
        <v>0</v>
      </c>
      <c r="DD127" s="787">
        <v>0</v>
      </c>
      <c r="DE127" s="787">
        <v>0</v>
      </c>
      <c r="DF127" s="787">
        <v>0</v>
      </c>
      <c r="DG127" s="787"/>
      <c r="DH127" s="787"/>
      <c r="DI127" s="787"/>
      <c r="DJ127" s="787">
        <v>0</v>
      </c>
      <c r="DK127" s="787">
        <v>0</v>
      </c>
      <c r="DL127" s="787">
        <v>0</v>
      </c>
      <c r="DM127" s="787">
        <v>0</v>
      </c>
      <c r="DN127" s="787">
        <v>0</v>
      </c>
      <c r="DO127" s="787">
        <v>0</v>
      </c>
      <c r="DP127" s="787">
        <v>-267428.53000000003</v>
      </c>
      <c r="DQ127" s="787">
        <v>0</v>
      </c>
      <c r="DR127" s="787">
        <v>0</v>
      </c>
      <c r="DS127" s="787">
        <v>0</v>
      </c>
      <c r="DT127" s="787">
        <v>-267428.53000000003</v>
      </c>
      <c r="DU127" s="787">
        <v>0</v>
      </c>
      <c r="DV127" s="787">
        <v>0</v>
      </c>
      <c r="DW127" s="787">
        <v>0</v>
      </c>
      <c r="DX127" s="787">
        <v>0</v>
      </c>
      <c r="DY127" s="787">
        <v>0</v>
      </c>
      <c r="DZ127" s="787">
        <v>0</v>
      </c>
      <c r="EA127" s="787">
        <v>0.27959611205005785</v>
      </c>
    </row>
    <row r="128" spans="1:131" ht="15.6">
      <c r="A128" s="782" t="s">
        <v>1421</v>
      </c>
      <c r="B128" s="782" t="s">
        <v>742</v>
      </c>
      <c r="C128" s="783">
        <v>1018</v>
      </c>
      <c r="D128" s="784" t="s">
        <v>743</v>
      </c>
      <c r="E128" s="785" t="s">
        <v>521</v>
      </c>
      <c r="F128" s="786">
        <v>0</v>
      </c>
      <c r="G128" s="785" t="s">
        <v>5</v>
      </c>
      <c r="H128" s="785" t="str">
        <f t="shared" si="7"/>
        <v>AX052</v>
      </c>
      <c r="I128" s="787">
        <v>0</v>
      </c>
      <c r="J128" s="787">
        <v>0</v>
      </c>
      <c r="K128" s="787">
        <v>0</v>
      </c>
      <c r="L128" s="787">
        <v>0</v>
      </c>
      <c r="M128" s="787">
        <v>0</v>
      </c>
      <c r="N128" s="787">
        <v>0</v>
      </c>
      <c r="O128" s="787">
        <v>0</v>
      </c>
      <c r="P128" s="787">
        <v>0</v>
      </c>
      <c r="Q128" s="787">
        <v>83.04</v>
      </c>
      <c r="R128" s="787">
        <v>0</v>
      </c>
      <c r="S128" s="787">
        <v>0</v>
      </c>
      <c r="T128" s="787">
        <v>0</v>
      </c>
      <c r="U128" s="787">
        <v>7440</v>
      </c>
      <c r="V128" s="787">
        <v>108264.85999999917</v>
      </c>
      <c r="W128" s="787">
        <v>0</v>
      </c>
      <c r="X128" s="787">
        <f t="shared" si="8"/>
        <v>115787.89999999916</v>
      </c>
      <c r="Y128" s="787">
        <v>206446.78999999998</v>
      </c>
      <c r="Z128" s="787">
        <v>0</v>
      </c>
      <c r="AA128" s="787">
        <v>275050.95999999996</v>
      </c>
      <c r="AB128" s="787">
        <v>29258.079999999998</v>
      </c>
      <c r="AC128" s="787">
        <v>37587.450000000004</v>
      </c>
      <c r="AD128" s="787">
        <v>0</v>
      </c>
      <c r="AE128" s="787">
        <v>19405.690000000002</v>
      </c>
      <c r="AF128" s="787">
        <v>3085.02</v>
      </c>
      <c r="AG128" s="787">
        <v>2680</v>
      </c>
      <c r="AH128" s="787">
        <v>0</v>
      </c>
      <c r="AI128" s="787">
        <v>0</v>
      </c>
      <c r="AJ128" s="787">
        <v>116</v>
      </c>
      <c r="AK128" s="787">
        <v>0</v>
      </c>
      <c r="AL128" s="787">
        <v>30651.46</v>
      </c>
      <c r="AM128" s="787">
        <v>0</v>
      </c>
      <c r="AN128" s="787">
        <v>55351.64</v>
      </c>
      <c r="AO128" s="787">
        <v>0</v>
      </c>
      <c r="AP128" s="787">
        <v>3705.52</v>
      </c>
      <c r="AQ128" s="787">
        <v>13390.75</v>
      </c>
      <c r="AR128" s="787">
        <v>0</v>
      </c>
      <c r="AS128" s="787">
        <v>0</v>
      </c>
      <c r="AT128" s="787">
        <v>0</v>
      </c>
      <c r="AU128" s="787">
        <v>0</v>
      </c>
      <c r="AV128" s="787">
        <v>0</v>
      </c>
      <c r="AW128" s="787">
        <v>0</v>
      </c>
      <c r="AX128" s="787">
        <v>0</v>
      </c>
      <c r="AY128" s="787">
        <v>0</v>
      </c>
      <c r="AZ128" s="787">
        <v>51581.430000000633</v>
      </c>
      <c r="BA128" s="787">
        <v>0</v>
      </c>
      <c r="BB128" s="787">
        <v>0</v>
      </c>
      <c r="BC128" s="787">
        <v>12854.07</v>
      </c>
      <c r="BD128" s="787">
        <v>104136.25</v>
      </c>
      <c r="BE128" s="787">
        <v>950</v>
      </c>
      <c r="BF128" s="787">
        <v>224075.24</v>
      </c>
      <c r="BG128" s="787">
        <v>0</v>
      </c>
      <c r="BH128" s="787">
        <v>0</v>
      </c>
      <c r="BI128" s="787">
        <v>0</v>
      </c>
      <c r="BJ128" s="787">
        <f t="shared" si="9"/>
        <v>1070326.3500000006</v>
      </c>
      <c r="BK128" s="787"/>
      <c r="BL128" s="787"/>
      <c r="BM128" s="787"/>
      <c r="BN128" s="787">
        <v>0</v>
      </c>
      <c r="BO128" s="787">
        <v>0</v>
      </c>
      <c r="BP128" s="787">
        <v>0</v>
      </c>
      <c r="BQ128" s="787">
        <f t="shared" si="10"/>
        <v>0</v>
      </c>
      <c r="BR128" s="787">
        <v>0</v>
      </c>
      <c r="BS128" s="787">
        <v>0</v>
      </c>
      <c r="BT128" s="787">
        <v>0</v>
      </c>
      <c r="BU128" s="787">
        <v>0</v>
      </c>
      <c r="BV128" s="787">
        <v>0</v>
      </c>
      <c r="BW128" s="787">
        <v>0</v>
      </c>
      <c r="BX128" s="787">
        <v>31925.97</v>
      </c>
      <c r="BY128" s="787">
        <v>0</v>
      </c>
      <c r="BZ128" s="787">
        <f t="shared" si="11"/>
        <v>31925.97</v>
      </c>
      <c r="CA128" s="787"/>
      <c r="CB128" s="787"/>
      <c r="CC128" s="787"/>
      <c r="CD128" s="787">
        <v>0</v>
      </c>
      <c r="CE128" s="787">
        <v>0</v>
      </c>
      <c r="CF128" s="787">
        <f t="shared" si="12"/>
        <v>0</v>
      </c>
      <c r="CG128" s="787">
        <v>0</v>
      </c>
      <c r="CH128" s="787">
        <v>0</v>
      </c>
      <c r="CI128" s="787">
        <f t="shared" si="13"/>
        <v>0</v>
      </c>
      <c r="CJ128" s="787"/>
      <c r="CK128" s="787"/>
      <c r="CL128" s="787"/>
      <c r="CM128" s="787"/>
      <c r="CN128" s="787"/>
      <c r="CO128" s="787"/>
      <c r="CP128" s="787"/>
      <c r="CQ128" s="787"/>
      <c r="CR128" s="787"/>
      <c r="CS128" s="787"/>
      <c r="CT128" s="787"/>
      <c r="CU128" s="787"/>
      <c r="CV128" s="787"/>
      <c r="CW128" s="787"/>
      <c r="CX128" s="787"/>
      <c r="CY128" s="787"/>
      <c r="CZ128" s="787"/>
      <c r="DA128" s="787"/>
      <c r="DB128" s="787"/>
      <c r="DC128" s="787"/>
      <c r="DD128" s="787"/>
      <c r="DE128" s="787"/>
      <c r="DF128" s="787"/>
      <c r="DG128" s="787"/>
      <c r="DH128" s="787"/>
      <c r="DI128" s="787"/>
      <c r="DJ128" s="787"/>
      <c r="DK128" s="787"/>
      <c r="DL128" s="787"/>
      <c r="DM128" s="787"/>
      <c r="DN128" s="787"/>
      <c r="DO128" s="787"/>
      <c r="DP128" s="787"/>
      <c r="DQ128" s="787"/>
      <c r="DR128" s="787"/>
      <c r="DS128" s="787"/>
      <c r="DT128" s="787"/>
      <c r="DU128" s="787"/>
      <c r="DV128" s="787"/>
      <c r="DW128" s="787"/>
      <c r="DX128" s="787"/>
      <c r="DY128" s="787"/>
      <c r="DZ128" s="787"/>
      <c r="EA128" s="787"/>
    </row>
    <row r="129" spans="1:131" ht="15.6">
      <c r="A129" s="782" t="s">
        <v>1422</v>
      </c>
      <c r="B129" s="782" t="s">
        <v>916</v>
      </c>
      <c r="C129" s="783">
        <v>1000</v>
      </c>
      <c r="D129" s="784" t="s">
        <v>917</v>
      </c>
      <c r="E129" s="785" t="s">
        <v>521</v>
      </c>
      <c r="F129" s="786">
        <v>0</v>
      </c>
      <c r="G129" s="785" t="s">
        <v>5</v>
      </c>
      <c r="H129" s="785" t="str">
        <f t="shared" si="7"/>
        <v>AX053</v>
      </c>
      <c r="I129" s="787">
        <v>0</v>
      </c>
      <c r="J129" s="787">
        <v>0</v>
      </c>
      <c r="K129" s="787">
        <v>0</v>
      </c>
      <c r="L129" s="787">
        <v>0</v>
      </c>
      <c r="M129" s="787">
        <v>0</v>
      </c>
      <c r="N129" s="787">
        <v>0</v>
      </c>
      <c r="O129" s="787">
        <v>0</v>
      </c>
      <c r="P129" s="787">
        <v>0</v>
      </c>
      <c r="Q129" s="787">
        <v>3954</v>
      </c>
      <c r="R129" s="787">
        <v>0</v>
      </c>
      <c r="S129" s="787">
        <v>0</v>
      </c>
      <c r="T129" s="787">
        <v>0</v>
      </c>
      <c r="U129" s="787">
        <v>83167.17</v>
      </c>
      <c r="V129" s="787">
        <v>0</v>
      </c>
      <c r="W129" s="787">
        <v>0</v>
      </c>
      <c r="X129" s="787">
        <f t="shared" si="8"/>
        <v>87121.17</v>
      </c>
      <c r="Y129" s="787">
        <v>188752.13999999998</v>
      </c>
      <c r="Z129" s="787">
        <v>0</v>
      </c>
      <c r="AA129" s="787">
        <v>174003.65000000002</v>
      </c>
      <c r="AB129" s="787">
        <v>1896.89</v>
      </c>
      <c r="AC129" s="787">
        <v>94863.77</v>
      </c>
      <c r="AD129" s="787">
        <v>0</v>
      </c>
      <c r="AE129" s="787">
        <v>14250.16</v>
      </c>
      <c r="AF129" s="787">
        <v>4938.26</v>
      </c>
      <c r="AG129" s="787">
        <v>2207.9699999999998</v>
      </c>
      <c r="AH129" s="787">
        <v>0</v>
      </c>
      <c r="AI129" s="787">
        <v>0</v>
      </c>
      <c r="AJ129" s="787">
        <v>24094.95</v>
      </c>
      <c r="AK129" s="787">
        <v>0</v>
      </c>
      <c r="AL129" s="787">
        <v>1361.75</v>
      </c>
      <c r="AM129" s="787">
        <v>2506.86</v>
      </c>
      <c r="AN129" s="787">
        <v>7431.72</v>
      </c>
      <c r="AO129" s="787">
        <v>0</v>
      </c>
      <c r="AP129" s="787">
        <v>1927.72</v>
      </c>
      <c r="AQ129" s="787">
        <v>12099.35</v>
      </c>
      <c r="AR129" s="787">
        <v>0</v>
      </c>
      <c r="AS129" s="787">
        <v>0</v>
      </c>
      <c r="AT129" s="787">
        <v>0</v>
      </c>
      <c r="AU129" s="787">
        <v>0</v>
      </c>
      <c r="AV129" s="787">
        <v>0</v>
      </c>
      <c r="AW129" s="787">
        <v>0</v>
      </c>
      <c r="AX129" s="787">
        <v>0</v>
      </c>
      <c r="AY129" s="787">
        <v>0</v>
      </c>
      <c r="AZ129" s="787">
        <v>12671.71</v>
      </c>
      <c r="BA129" s="787">
        <v>0</v>
      </c>
      <c r="BB129" s="787">
        <v>0</v>
      </c>
      <c r="BC129" s="787">
        <v>1996.85</v>
      </c>
      <c r="BD129" s="787">
        <v>0</v>
      </c>
      <c r="BE129" s="787">
        <v>0</v>
      </c>
      <c r="BF129" s="787">
        <v>2722</v>
      </c>
      <c r="BG129" s="787">
        <v>61080.98</v>
      </c>
      <c r="BH129" s="787">
        <v>0</v>
      </c>
      <c r="BI129" s="787">
        <v>0</v>
      </c>
      <c r="BJ129" s="787">
        <f t="shared" si="9"/>
        <v>608806.72999999986</v>
      </c>
      <c r="BK129" s="787"/>
      <c r="BL129" s="787"/>
      <c r="BM129" s="787"/>
      <c r="BN129" s="787">
        <v>0</v>
      </c>
      <c r="BO129" s="787">
        <v>0</v>
      </c>
      <c r="BP129" s="787">
        <v>0</v>
      </c>
      <c r="BQ129" s="787">
        <f t="shared" si="10"/>
        <v>0</v>
      </c>
      <c r="BR129" s="787">
        <v>0</v>
      </c>
      <c r="BS129" s="787">
        <v>0</v>
      </c>
      <c r="BT129" s="787">
        <v>0</v>
      </c>
      <c r="BU129" s="787">
        <v>0</v>
      </c>
      <c r="BV129" s="787">
        <v>0</v>
      </c>
      <c r="BW129" s="787">
        <v>0</v>
      </c>
      <c r="BX129" s="787">
        <v>0</v>
      </c>
      <c r="BY129" s="787">
        <v>0</v>
      </c>
      <c r="BZ129" s="787">
        <f t="shared" si="11"/>
        <v>0</v>
      </c>
      <c r="CA129" s="787"/>
      <c r="CB129" s="787"/>
      <c r="CC129" s="787"/>
      <c r="CD129" s="787">
        <v>0</v>
      </c>
      <c r="CE129" s="787">
        <v>0</v>
      </c>
      <c r="CF129" s="787">
        <f t="shared" si="12"/>
        <v>0</v>
      </c>
      <c r="CG129" s="787">
        <v>0</v>
      </c>
      <c r="CH129" s="787">
        <v>0</v>
      </c>
      <c r="CI129" s="787">
        <f t="shared" si="13"/>
        <v>0</v>
      </c>
      <c r="CJ129" s="787"/>
      <c r="CK129" s="787"/>
      <c r="CL129" s="787"/>
      <c r="CM129" s="787"/>
      <c r="CN129" s="787"/>
      <c r="CO129" s="787"/>
      <c r="CP129" s="787"/>
      <c r="CQ129" s="787"/>
      <c r="CR129" s="787"/>
      <c r="CS129" s="787">
        <v>128953.1</v>
      </c>
      <c r="CT129" s="787">
        <v>15537.26</v>
      </c>
      <c r="CU129" s="787">
        <v>0</v>
      </c>
      <c r="CV129" s="787">
        <v>113415.84000000001</v>
      </c>
      <c r="CW129" s="787">
        <v>385.79</v>
      </c>
      <c r="CX129" s="787">
        <v>512.72</v>
      </c>
      <c r="CY129" s="787">
        <v>126.36</v>
      </c>
      <c r="CZ129" s="787">
        <v>2810.17</v>
      </c>
      <c r="DA129" s="787">
        <v>0</v>
      </c>
      <c r="DB129" s="787">
        <v>117250.88</v>
      </c>
      <c r="DC129" s="787">
        <v>0</v>
      </c>
      <c r="DD129" s="787">
        <v>0</v>
      </c>
      <c r="DE129" s="787">
        <v>0</v>
      </c>
      <c r="DF129" s="787">
        <v>0</v>
      </c>
      <c r="DG129" s="787"/>
      <c r="DH129" s="787"/>
      <c r="DI129" s="787"/>
      <c r="DJ129" s="787">
        <v>-60000</v>
      </c>
      <c r="DK129" s="787">
        <v>-60000</v>
      </c>
      <c r="DL129" s="787">
        <v>3054</v>
      </c>
      <c r="DM129" s="787">
        <v>0</v>
      </c>
      <c r="DN129" s="787">
        <v>0</v>
      </c>
      <c r="DO129" s="787">
        <v>0</v>
      </c>
      <c r="DP129" s="787">
        <v>-36103.43</v>
      </c>
      <c r="DQ129" s="787">
        <v>0</v>
      </c>
      <c r="DR129" s="787">
        <v>0</v>
      </c>
      <c r="DS129" s="787">
        <v>0</v>
      </c>
      <c r="DT129" s="787">
        <v>-33049.43</v>
      </c>
      <c r="DU129" s="787">
        <v>0</v>
      </c>
      <c r="DV129" s="787">
        <v>0</v>
      </c>
      <c r="DW129" s="787">
        <v>0</v>
      </c>
      <c r="DX129" s="787">
        <v>0</v>
      </c>
      <c r="DY129" s="787">
        <v>0</v>
      </c>
      <c r="DZ129" s="787">
        <v>-31662.12</v>
      </c>
      <c r="EA129" s="787">
        <v>8.4609680603534798E-2</v>
      </c>
    </row>
    <row r="130" spans="1:131" ht="15.6">
      <c r="A130" s="782" t="s">
        <v>1423</v>
      </c>
      <c r="B130" s="782" t="s">
        <v>744</v>
      </c>
      <c r="C130" s="783">
        <v>7033</v>
      </c>
      <c r="D130" s="784" t="s">
        <v>745</v>
      </c>
      <c r="E130" s="785"/>
      <c r="F130" s="786"/>
      <c r="G130" s="785"/>
      <c r="H130" s="785" t="str">
        <f t="shared" si="7"/>
        <v>AX0BK</v>
      </c>
      <c r="I130" s="787">
        <v>0</v>
      </c>
      <c r="J130" s="787">
        <v>0</v>
      </c>
      <c r="K130" s="787">
        <v>0</v>
      </c>
      <c r="L130" s="787">
        <v>0</v>
      </c>
      <c r="M130" s="787">
        <v>0</v>
      </c>
      <c r="N130" s="787">
        <v>145253</v>
      </c>
      <c r="O130" s="787">
        <v>299265.96999999997</v>
      </c>
      <c r="P130" s="787">
        <v>0</v>
      </c>
      <c r="Q130" s="787">
        <v>233513.21</v>
      </c>
      <c r="R130" s="787">
        <v>30442.73</v>
      </c>
      <c r="S130" s="787">
        <v>0</v>
      </c>
      <c r="T130" s="787">
        <v>0</v>
      </c>
      <c r="U130" s="787">
        <v>37475.050000000003</v>
      </c>
      <c r="V130" s="787">
        <v>0</v>
      </c>
      <c r="W130" s="787">
        <v>0</v>
      </c>
      <c r="X130" s="787">
        <f t="shared" si="8"/>
        <v>745949.96</v>
      </c>
      <c r="Y130" s="787">
        <v>3966605.0527272727</v>
      </c>
      <c r="Z130" s="787">
        <v>0</v>
      </c>
      <c r="AA130" s="787">
        <v>1820083.6472727272</v>
      </c>
      <c r="AB130" s="787">
        <v>80644.363636363632</v>
      </c>
      <c r="AC130" s="787">
        <v>1810735.2327272727</v>
      </c>
      <c r="AD130" s="787">
        <v>0</v>
      </c>
      <c r="AE130" s="787">
        <v>0</v>
      </c>
      <c r="AF130" s="787">
        <v>2057.87</v>
      </c>
      <c r="AG130" s="787">
        <v>0</v>
      </c>
      <c r="AH130" s="787">
        <v>0</v>
      </c>
      <c r="AI130" s="787">
        <v>0</v>
      </c>
      <c r="AJ130" s="787">
        <v>168748.64</v>
      </c>
      <c r="AK130" s="787">
        <v>503</v>
      </c>
      <c r="AL130" s="787">
        <v>119611.71</v>
      </c>
      <c r="AM130" s="787">
        <v>20172.22</v>
      </c>
      <c r="AN130" s="787">
        <v>144908.81</v>
      </c>
      <c r="AO130" s="787">
        <v>0</v>
      </c>
      <c r="AP130" s="787">
        <v>13878.86</v>
      </c>
      <c r="AQ130" s="787">
        <v>315856.69</v>
      </c>
      <c r="AR130" s="787">
        <v>0</v>
      </c>
      <c r="AS130" s="787">
        <v>0</v>
      </c>
      <c r="AT130" s="787">
        <v>0</v>
      </c>
      <c r="AU130" s="787">
        <v>0</v>
      </c>
      <c r="AV130" s="787">
        <v>47845.57</v>
      </c>
      <c r="AW130" s="787">
        <v>832</v>
      </c>
      <c r="AX130" s="787">
        <v>0</v>
      </c>
      <c r="AY130" s="787">
        <v>31659.16</v>
      </c>
      <c r="AZ130" s="787">
        <v>372360.98</v>
      </c>
      <c r="BA130" s="787">
        <v>0</v>
      </c>
      <c r="BB130" s="787">
        <v>1652</v>
      </c>
      <c r="BC130" s="787">
        <v>103055.44</v>
      </c>
      <c r="BD130" s="787">
        <v>363570.88</v>
      </c>
      <c r="BE130" s="787">
        <v>0</v>
      </c>
      <c r="BF130" s="787">
        <v>365714.26</v>
      </c>
      <c r="BG130" s="787">
        <v>0</v>
      </c>
      <c r="BH130" s="787">
        <v>0</v>
      </c>
      <c r="BI130" s="787">
        <v>0</v>
      </c>
      <c r="BJ130" s="787">
        <f t="shared" si="9"/>
        <v>9750496.3863636367</v>
      </c>
      <c r="BK130" s="787"/>
      <c r="BL130" s="787"/>
      <c r="BM130" s="787"/>
      <c r="BN130" s="787">
        <v>29999.87</v>
      </c>
      <c r="BO130" s="787">
        <v>0</v>
      </c>
      <c r="BP130" s="787">
        <v>0</v>
      </c>
      <c r="BQ130" s="787">
        <f t="shared" si="10"/>
        <v>29999.87</v>
      </c>
      <c r="BR130" s="787">
        <v>0</v>
      </c>
      <c r="BS130" s="787">
        <v>0</v>
      </c>
      <c r="BT130" s="787">
        <v>0</v>
      </c>
      <c r="BU130" s="787">
        <v>0</v>
      </c>
      <c r="BV130" s="787">
        <v>0</v>
      </c>
      <c r="BW130" s="787">
        <v>0</v>
      </c>
      <c r="BX130" s="787">
        <v>0</v>
      </c>
      <c r="BY130" s="787">
        <v>0</v>
      </c>
      <c r="BZ130" s="787">
        <f t="shared" si="11"/>
        <v>0</v>
      </c>
      <c r="CA130" s="787"/>
      <c r="CB130" s="787"/>
      <c r="CC130" s="787"/>
      <c r="CD130" s="787">
        <v>0</v>
      </c>
      <c r="CE130" s="787">
        <v>0</v>
      </c>
      <c r="CF130" s="787">
        <f t="shared" si="12"/>
        <v>0</v>
      </c>
      <c r="CG130" s="787">
        <v>0</v>
      </c>
      <c r="CH130" s="787">
        <v>0</v>
      </c>
      <c r="CI130" s="787">
        <f t="shared" si="13"/>
        <v>0</v>
      </c>
      <c r="CJ130" s="787"/>
      <c r="CK130" s="787"/>
      <c r="CL130" s="787"/>
      <c r="CM130" s="787"/>
      <c r="CN130" s="787"/>
      <c r="CO130" s="787"/>
      <c r="CP130" s="787"/>
      <c r="CQ130" s="787"/>
      <c r="CR130" s="787"/>
      <c r="CS130" s="787"/>
      <c r="CT130" s="787"/>
      <c r="CU130" s="787"/>
      <c r="CV130" s="787"/>
      <c r="CW130" s="787"/>
      <c r="CX130" s="787"/>
      <c r="CY130" s="787"/>
      <c r="CZ130" s="787"/>
      <c r="DA130" s="787"/>
      <c r="DB130" s="787"/>
      <c r="DC130" s="787"/>
      <c r="DD130" s="787"/>
      <c r="DE130" s="787"/>
      <c r="DF130" s="787"/>
      <c r="DG130" s="787"/>
      <c r="DH130" s="787"/>
      <c r="DI130" s="787"/>
      <c r="DJ130" s="787"/>
      <c r="DK130" s="787"/>
      <c r="DL130" s="787"/>
      <c r="DM130" s="787"/>
      <c r="DN130" s="787"/>
      <c r="DO130" s="787"/>
      <c r="DP130" s="787"/>
      <c r="DQ130" s="787"/>
      <c r="DR130" s="787"/>
      <c r="DS130" s="787"/>
      <c r="DT130" s="787"/>
      <c r="DU130" s="787"/>
      <c r="DV130" s="787"/>
      <c r="DW130" s="787"/>
      <c r="DX130" s="787"/>
      <c r="DY130" s="787"/>
      <c r="DZ130" s="787"/>
      <c r="EA130" s="787"/>
    </row>
    <row r="131" spans="1:131" ht="15.6">
      <c r="A131" s="782" t="s">
        <v>1424</v>
      </c>
      <c r="B131" s="782" t="s">
        <v>746</v>
      </c>
      <c r="C131" s="783">
        <v>4177</v>
      </c>
      <c r="D131" s="784" t="s">
        <v>747</v>
      </c>
      <c r="E131" s="785" t="s">
        <v>521</v>
      </c>
      <c r="F131" s="786">
        <v>46094</v>
      </c>
      <c r="G131" s="785" t="s">
        <v>5</v>
      </c>
      <c r="H131" s="785" t="str">
        <f t="shared" si="7"/>
        <v>AX0BL</v>
      </c>
      <c r="I131" s="787">
        <v>0</v>
      </c>
      <c r="J131" s="787">
        <v>0</v>
      </c>
      <c r="K131" s="787">
        <v>0</v>
      </c>
      <c r="L131" s="787">
        <v>0</v>
      </c>
      <c r="M131" s="787">
        <v>0</v>
      </c>
      <c r="N131" s="787">
        <v>0</v>
      </c>
      <c r="O131" s="787">
        <v>12335</v>
      </c>
      <c r="P131" s="787">
        <v>0</v>
      </c>
      <c r="Q131" s="787">
        <v>122413</v>
      </c>
      <c r="R131" s="787">
        <v>0</v>
      </c>
      <c r="S131" s="787">
        <v>0</v>
      </c>
      <c r="T131" s="787">
        <v>0</v>
      </c>
      <c r="U131" s="787">
        <v>39426</v>
      </c>
      <c r="V131" s="787">
        <v>0</v>
      </c>
      <c r="W131" s="787">
        <v>0</v>
      </c>
      <c r="X131" s="787">
        <f t="shared" si="8"/>
        <v>174174</v>
      </c>
      <c r="Y131" s="787">
        <v>4689352</v>
      </c>
      <c r="Z131" s="787">
        <v>0</v>
      </c>
      <c r="AA131" s="787">
        <v>395762</v>
      </c>
      <c r="AB131" s="787">
        <v>69759</v>
      </c>
      <c r="AC131" s="787">
        <v>611189</v>
      </c>
      <c r="AD131" s="787">
        <v>0</v>
      </c>
      <c r="AE131" s="787">
        <v>3294</v>
      </c>
      <c r="AF131" s="787">
        <v>96851</v>
      </c>
      <c r="AG131" s="787">
        <v>43681</v>
      </c>
      <c r="AH131" s="787">
        <v>0</v>
      </c>
      <c r="AI131" s="787">
        <v>0</v>
      </c>
      <c r="AJ131" s="787">
        <v>81942.67</v>
      </c>
      <c r="AK131" s="787">
        <v>3399</v>
      </c>
      <c r="AL131" s="787">
        <v>149704.06</v>
      </c>
      <c r="AM131" s="787">
        <v>23275.200000000001</v>
      </c>
      <c r="AN131" s="787">
        <v>149026.79999999999</v>
      </c>
      <c r="AO131" s="787">
        <v>1740</v>
      </c>
      <c r="AP131" s="787">
        <v>17349.099999999999</v>
      </c>
      <c r="AQ131" s="787">
        <v>120016.02</v>
      </c>
      <c r="AR131" s="787">
        <v>170978.46</v>
      </c>
      <c r="AS131" s="787">
        <v>0</v>
      </c>
      <c r="AT131" s="787">
        <v>0</v>
      </c>
      <c r="AU131" s="787">
        <v>0</v>
      </c>
      <c r="AV131" s="787">
        <v>0</v>
      </c>
      <c r="AW131" s="787">
        <v>0</v>
      </c>
      <c r="AX131" s="787">
        <v>0</v>
      </c>
      <c r="AY131" s="787">
        <v>78212.55</v>
      </c>
      <c r="AZ131" s="787">
        <v>87108.65</v>
      </c>
      <c r="BA131" s="787">
        <v>0</v>
      </c>
      <c r="BB131" s="787">
        <v>15920</v>
      </c>
      <c r="BC131" s="787">
        <v>173723</v>
      </c>
      <c r="BD131" s="787">
        <v>36060</v>
      </c>
      <c r="BE131" s="787">
        <v>81404</v>
      </c>
      <c r="BF131" s="787">
        <v>342959.77</v>
      </c>
      <c r="BG131" s="787">
        <v>0</v>
      </c>
      <c r="BH131" s="787">
        <v>0</v>
      </c>
      <c r="BI131" s="787">
        <v>108</v>
      </c>
      <c r="BJ131" s="787">
        <f t="shared" si="9"/>
        <v>7442815.2799999993</v>
      </c>
      <c r="BK131" s="787"/>
      <c r="BL131" s="787"/>
      <c r="BM131" s="787"/>
      <c r="BN131" s="787">
        <v>0</v>
      </c>
      <c r="BO131" s="787">
        <v>0</v>
      </c>
      <c r="BP131" s="787">
        <v>108</v>
      </c>
      <c r="BQ131" s="787">
        <f t="shared" si="10"/>
        <v>108</v>
      </c>
      <c r="BR131" s="787">
        <v>0</v>
      </c>
      <c r="BS131" s="787">
        <v>51421.7</v>
      </c>
      <c r="BT131" s="787">
        <v>0</v>
      </c>
      <c r="BU131" s="787">
        <v>0</v>
      </c>
      <c r="BV131" s="787">
        <v>0</v>
      </c>
      <c r="BW131" s="787">
        <v>0</v>
      </c>
      <c r="BX131" s="787">
        <v>0</v>
      </c>
      <c r="BY131" s="787">
        <v>0</v>
      </c>
      <c r="BZ131" s="787">
        <f t="shared" si="11"/>
        <v>51421.7</v>
      </c>
      <c r="CA131" s="787"/>
      <c r="CB131" s="787"/>
      <c r="CC131" s="787"/>
      <c r="CD131" s="787">
        <v>0</v>
      </c>
      <c r="CE131" s="787">
        <v>0</v>
      </c>
      <c r="CF131" s="787">
        <f t="shared" si="12"/>
        <v>0</v>
      </c>
      <c r="CG131" s="787">
        <v>0</v>
      </c>
      <c r="CH131" s="787">
        <v>0</v>
      </c>
      <c r="CI131" s="787">
        <f t="shared" si="13"/>
        <v>0</v>
      </c>
      <c r="CJ131" s="787"/>
      <c r="CK131" s="787"/>
      <c r="CL131" s="787"/>
      <c r="CM131" s="787"/>
      <c r="CN131" s="787"/>
      <c r="CO131" s="787"/>
      <c r="CP131" s="787"/>
      <c r="CQ131" s="787"/>
      <c r="CR131" s="787"/>
      <c r="CS131" s="787"/>
      <c r="CT131" s="787"/>
      <c r="CU131" s="787"/>
      <c r="CV131" s="787"/>
      <c r="CW131" s="787"/>
      <c r="CX131" s="787"/>
      <c r="CY131" s="787"/>
      <c r="CZ131" s="787"/>
      <c r="DA131" s="787"/>
      <c r="DB131" s="787"/>
      <c r="DC131" s="787"/>
      <c r="DD131" s="787"/>
      <c r="DE131" s="787"/>
      <c r="DF131" s="787"/>
      <c r="DG131" s="787"/>
      <c r="DH131" s="787"/>
      <c r="DI131" s="787"/>
      <c r="DJ131" s="787"/>
      <c r="DK131" s="787"/>
      <c r="DL131" s="787"/>
      <c r="DM131" s="787"/>
      <c r="DN131" s="787"/>
      <c r="DO131" s="787"/>
      <c r="DP131" s="787"/>
      <c r="DQ131" s="787"/>
      <c r="DR131" s="787"/>
      <c r="DS131" s="787"/>
      <c r="DT131" s="787"/>
      <c r="DU131" s="787"/>
      <c r="DV131" s="787"/>
      <c r="DW131" s="787"/>
      <c r="DX131" s="787"/>
      <c r="DY131" s="787"/>
      <c r="DZ131" s="787"/>
      <c r="EA131" s="787"/>
    </row>
    <row r="132" spans="1:131" ht="15.6">
      <c r="A132" s="782" t="s">
        <v>1425</v>
      </c>
      <c r="B132" s="782" t="s">
        <v>748</v>
      </c>
      <c r="C132" s="783">
        <v>2169</v>
      </c>
      <c r="D132" s="784" t="s">
        <v>749</v>
      </c>
      <c r="E132" s="785" t="s">
        <v>521</v>
      </c>
      <c r="F132" s="786">
        <v>46094</v>
      </c>
      <c r="G132" s="785" t="s">
        <v>5</v>
      </c>
      <c r="H132" s="785" t="str">
        <f t="shared" si="7"/>
        <v>AX054</v>
      </c>
      <c r="I132" s="787">
        <v>0</v>
      </c>
      <c r="J132" s="787">
        <v>0</v>
      </c>
      <c r="K132" s="787">
        <v>2000</v>
      </c>
      <c r="L132" s="787">
        <v>0</v>
      </c>
      <c r="M132" s="787">
        <v>4100</v>
      </c>
      <c r="N132" s="787">
        <v>0</v>
      </c>
      <c r="O132" s="787">
        <v>0</v>
      </c>
      <c r="P132" s="787">
        <v>0</v>
      </c>
      <c r="Q132" s="787">
        <v>11058</v>
      </c>
      <c r="R132" s="787">
        <v>14299.06</v>
      </c>
      <c r="S132" s="787">
        <v>0</v>
      </c>
      <c r="T132" s="787">
        <v>0</v>
      </c>
      <c r="U132" s="787">
        <v>14654.5</v>
      </c>
      <c r="V132" s="787">
        <v>42735.75</v>
      </c>
      <c r="W132" s="787">
        <v>0</v>
      </c>
      <c r="X132" s="787">
        <f t="shared" si="8"/>
        <v>88847.31</v>
      </c>
      <c r="Y132" s="787">
        <v>1457911.2899999998</v>
      </c>
      <c r="Z132" s="787">
        <v>0</v>
      </c>
      <c r="AA132" s="787">
        <v>559911.37</v>
      </c>
      <c r="AB132" s="787">
        <v>41067.83</v>
      </c>
      <c r="AC132" s="787">
        <v>176943.25</v>
      </c>
      <c r="AD132" s="787">
        <v>0</v>
      </c>
      <c r="AE132" s="787">
        <v>67854.179999999993</v>
      </c>
      <c r="AF132" s="787">
        <v>9969.93</v>
      </c>
      <c r="AG132" s="787">
        <v>8150.03</v>
      </c>
      <c r="AH132" s="787">
        <v>0</v>
      </c>
      <c r="AI132" s="787">
        <v>0</v>
      </c>
      <c r="AJ132" s="787">
        <v>46399.44</v>
      </c>
      <c r="AK132" s="787">
        <v>1050</v>
      </c>
      <c r="AL132" s="787">
        <v>62142.76</v>
      </c>
      <c r="AM132" s="787">
        <v>15263.92</v>
      </c>
      <c r="AN132" s="787">
        <v>39617.089999999997</v>
      </c>
      <c r="AO132" s="787">
        <v>0</v>
      </c>
      <c r="AP132" s="787">
        <v>9092.0600000000013</v>
      </c>
      <c r="AQ132" s="787">
        <v>69545.08</v>
      </c>
      <c r="AR132" s="787">
        <v>22301.52</v>
      </c>
      <c r="AS132" s="787">
        <v>0</v>
      </c>
      <c r="AT132" s="787">
        <v>5063.83</v>
      </c>
      <c r="AU132" s="787">
        <v>10509.48</v>
      </c>
      <c r="AV132" s="787">
        <v>20158.650000000001</v>
      </c>
      <c r="AW132" s="787">
        <v>51.84</v>
      </c>
      <c r="AX132" s="787">
        <v>469</v>
      </c>
      <c r="AY132" s="787">
        <v>0</v>
      </c>
      <c r="AZ132" s="787">
        <v>2736.08</v>
      </c>
      <c r="BA132" s="787">
        <v>367.13999999999942</v>
      </c>
      <c r="BB132" s="787">
        <v>5687</v>
      </c>
      <c r="BC132" s="787">
        <v>187073.49000000002</v>
      </c>
      <c r="BD132" s="787">
        <v>67843.45</v>
      </c>
      <c r="BE132" s="787">
        <v>90812.459999999992</v>
      </c>
      <c r="BF132" s="787">
        <v>28768.109999999997</v>
      </c>
      <c r="BG132" s="787">
        <v>0</v>
      </c>
      <c r="BH132" s="787">
        <v>0</v>
      </c>
      <c r="BI132" s="787">
        <v>0</v>
      </c>
      <c r="BJ132" s="787">
        <f t="shared" si="9"/>
        <v>3006760.28</v>
      </c>
      <c r="BK132" s="787"/>
      <c r="BL132" s="787"/>
      <c r="BM132" s="787"/>
      <c r="BN132" s="787">
        <v>0</v>
      </c>
      <c r="BO132" s="787">
        <v>0</v>
      </c>
      <c r="BP132" s="787">
        <v>0</v>
      </c>
      <c r="BQ132" s="787">
        <f t="shared" si="10"/>
        <v>0</v>
      </c>
      <c r="BR132" s="787">
        <v>0</v>
      </c>
      <c r="BS132" s="787">
        <v>13625</v>
      </c>
      <c r="BT132" s="787">
        <v>0</v>
      </c>
      <c r="BU132" s="787">
        <v>0</v>
      </c>
      <c r="BV132" s="787">
        <v>0</v>
      </c>
      <c r="BW132" s="787">
        <v>0</v>
      </c>
      <c r="BX132" s="787">
        <v>0</v>
      </c>
      <c r="BY132" s="787">
        <v>0</v>
      </c>
      <c r="BZ132" s="787">
        <f t="shared" si="11"/>
        <v>13625</v>
      </c>
      <c r="CA132" s="787"/>
      <c r="CB132" s="787"/>
      <c r="CC132" s="787"/>
      <c r="CD132" s="787">
        <v>0</v>
      </c>
      <c r="CE132" s="787">
        <v>0</v>
      </c>
      <c r="CF132" s="787">
        <f t="shared" si="12"/>
        <v>0</v>
      </c>
      <c r="CG132" s="787">
        <v>0</v>
      </c>
      <c r="CH132" s="787">
        <v>0</v>
      </c>
      <c r="CI132" s="787">
        <f t="shared" si="13"/>
        <v>0</v>
      </c>
      <c r="CJ132" s="787"/>
      <c r="CK132" s="787"/>
      <c r="CL132" s="787"/>
      <c r="CM132" s="787"/>
      <c r="CN132" s="787"/>
      <c r="CO132" s="787"/>
      <c r="CP132" s="787"/>
      <c r="CQ132" s="787"/>
      <c r="CR132" s="787"/>
      <c r="CS132" s="787">
        <v>980478.32</v>
      </c>
      <c r="CT132" s="787">
        <v>0</v>
      </c>
      <c r="CU132" s="787">
        <v>0</v>
      </c>
      <c r="CV132" s="787">
        <v>980478.32</v>
      </c>
      <c r="CW132" s="787">
        <v>0</v>
      </c>
      <c r="CX132" s="787">
        <v>5132.91</v>
      </c>
      <c r="CY132" s="787">
        <v>5946.23</v>
      </c>
      <c r="CZ132" s="787">
        <v>0</v>
      </c>
      <c r="DA132" s="787">
        <v>0</v>
      </c>
      <c r="DB132" s="787">
        <v>991557.46</v>
      </c>
      <c r="DC132" s="787">
        <v>0</v>
      </c>
      <c r="DD132" s="787">
        <v>0</v>
      </c>
      <c r="DE132" s="787">
        <v>0</v>
      </c>
      <c r="DF132" s="787">
        <v>0</v>
      </c>
      <c r="DG132" s="787"/>
      <c r="DH132" s="787"/>
      <c r="DI132" s="787"/>
      <c r="DJ132" s="787">
        <v>0</v>
      </c>
      <c r="DK132" s="787">
        <v>0</v>
      </c>
      <c r="DL132" s="787">
        <v>0</v>
      </c>
      <c r="DM132" s="787">
        <v>0</v>
      </c>
      <c r="DN132" s="787">
        <v>0</v>
      </c>
      <c r="DO132" s="787">
        <v>0</v>
      </c>
      <c r="DP132" s="787">
        <v>-242135.01</v>
      </c>
      <c r="DQ132" s="787">
        <v>-50393.22</v>
      </c>
      <c r="DR132" s="787">
        <v>0</v>
      </c>
      <c r="DS132" s="787">
        <v>0</v>
      </c>
      <c r="DT132" s="787">
        <v>-292528.23</v>
      </c>
      <c r="DU132" s="787">
        <v>0</v>
      </c>
      <c r="DV132" s="787">
        <v>0</v>
      </c>
      <c r="DW132" s="787">
        <v>0</v>
      </c>
      <c r="DX132" s="787">
        <v>0</v>
      </c>
      <c r="DY132" s="787">
        <v>0</v>
      </c>
      <c r="DZ132" s="787">
        <v>-44582</v>
      </c>
      <c r="EA132" s="787">
        <v>-0.33469460683409125</v>
      </c>
    </row>
    <row r="133" spans="1:131" ht="15.6">
      <c r="A133" s="782" t="s">
        <v>1426</v>
      </c>
      <c r="B133" s="782" t="s">
        <v>750</v>
      </c>
      <c r="C133" s="783">
        <v>2008</v>
      </c>
      <c r="D133" s="784" t="s">
        <v>751</v>
      </c>
      <c r="E133" s="785" t="s">
        <v>521</v>
      </c>
      <c r="F133" s="786">
        <v>46101</v>
      </c>
      <c r="G133" s="785" t="s">
        <v>5</v>
      </c>
      <c r="H133" s="785" t="str">
        <f t="shared" si="7"/>
        <v>AX055</v>
      </c>
      <c r="I133" s="787">
        <v>0</v>
      </c>
      <c r="J133" s="787">
        <v>0</v>
      </c>
      <c r="K133" s="787">
        <v>0</v>
      </c>
      <c r="L133" s="787">
        <v>0</v>
      </c>
      <c r="M133" s="787">
        <v>0</v>
      </c>
      <c r="N133" s="787">
        <v>0</v>
      </c>
      <c r="O133" s="787">
        <v>0</v>
      </c>
      <c r="P133" s="787">
        <v>2659.55</v>
      </c>
      <c r="Q133" s="787">
        <v>0</v>
      </c>
      <c r="R133" s="787">
        <v>0</v>
      </c>
      <c r="S133" s="787">
        <v>0</v>
      </c>
      <c r="T133" s="787">
        <v>0</v>
      </c>
      <c r="U133" s="787">
        <v>0</v>
      </c>
      <c r="V133" s="787">
        <v>0</v>
      </c>
      <c r="W133" s="787">
        <v>0</v>
      </c>
      <c r="X133" s="787">
        <f t="shared" si="8"/>
        <v>2659.55</v>
      </c>
      <c r="Y133" s="787">
        <v>1385384.21</v>
      </c>
      <c r="Z133" s="787">
        <v>15419.35</v>
      </c>
      <c r="AA133" s="787">
        <v>494365.42</v>
      </c>
      <c r="AB133" s="787">
        <v>51203.34</v>
      </c>
      <c r="AC133" s="787">
        <v>152013.57999999999</v>
      </c>
      <c r="AD133" s="787">
        <v>0</v>
      </c>
      <c r="AE133" s="787">
        <v>33127.53</v>
      </c>
      <c r="AF133" s="787">
        <v>6290</v>
      </c>
      <c r="AG133" s="787">
        <v>2045</v>
      </c>
      <c r="AH133" s="787">
        <v>0</v>
      </c>
      <c r="AI133" s="787">
        <v>0</v>
      </c>
      <c r="AJ133" s="787">
        <v>6921.21</v>
      </c>
      <c r="AK133" s="787">
        <v>2568.09</v>
      </c>
      <c r="AL133" s="787">
        <v>14357.87</v>
      </c>
      <c r="AM133" s="787">
        <v>13156.65</v>
      </c>
      <c r="AN133" s="787">
        <v>27736.37</v>
      </c>
      <c r="AO133" s="787">
        <v>0</v>
      </c>
      <c r="AP133" s="787">
        <v>28066.38</v>
      </c>
      <c r="AQ133" s="787">
        <v>157441.62</v>
      </c>
      <c r="AR133" s="787">
        <v>26082.69</v>
      </c>
      <c r="AS133" s="787">
        <v>0</v>
      </c>
      <c r="AT133" s="787">
        <v>12833.17</v>
      </c>
      <c r="AU133" s="787">
        <v>0</v>
      </c>
      <c r="AV133" s="787">
        <v>0</v>
      </c>
      <c r="AW133" s="787">
        <v>870.49</v>
      </c>
      <c r="AX133" s="787">
        <v>0</v>
      </c>
      <c r="AY133" s="787">
        <v>0</v>
      </c>
      <c r="AZ133" s="787">
        <v>10615.95</v>
      </c>
      <c r="BA133" s="787">
        <v>0</v>
      </c>
      <c r="BB133" s="787">
        <v>6344</v>
      </c>
      <c r="BC133" s="787">
        <v>214941.98</v>
      </c>
      <c r="BD133" s="787">
        <v>401478.01</v>
      </c>
      <c r="BE133" s="787">
        <v>2573.5</v>
      </c>
      <c r="BF133" s="787">
        <v>176248.55</v>
      </c>
      <c r="BG133" s="787">
        <v>0</v>
      </c>
      <c r="BH133" s="787">
        <v>0</v>
      </c>
      <c r="BI133" s="787">
        <v>0</v>
      </c>
      <c r="BJ133" s="787">
        <f t="shared" si="9"/>
        <v>3242084.96</v>
      </c>
      <c r="BK133" s="787"/>
      <c r="BL133" s="787"/>
      <c r="BM133" s="787"/>
      <c r="BN133" s="787">
        <v>0</v>
      </c>
      <c r="BO133" s="787">
        <v>40000</v>
      </c>
      <c r="BP133" s="787">
        <v>0</v>
      </c>
      <c r="BQ133" s="787">
        <f t="shared" si="10"/>
        <v>40000</v>
      </c>
      <c r="BR133" s="787">
        <v>10882</v>
      </c>
      <c r="BS133" s="787">
        <v>41296.5</v>
      </c>
      <c r="BT133" s="787">
        <v>0</v>
      </c>
      <c r="BU133" s="787">
        <v>12625</v>
      </c>
      <c r="BV133" s="787">
        <v>0</v>
      </c>
      <c r="BW133" s="787">
        <v>0</v>
      </c>
      <c r="BX133" s="787">
        <v>0</v>
      </c>
      <c r="BY133" s="787">
        <v>0</v>
      </c>
      <c r="BZ133" s="787">
        <f t="shared" si="11"/>
        <v>64803.5</v>
      </c>
      <c r="CA133" s="787"/>
      <c r="CB133" s="787"/>
      <c r="CC133" s="787"/>
      <c r="CD133" s="787">
        <v>0</v>
      </c>
      <c r="CE133" s="787">
        <v>0</v>
      </c>
      <c r="CF133" s="787">
        <f t="shared" si="12"/>
        <v>0</v>
      </c>
      <c r="CG133" s="787">
        <v>0</v>
      </c>
      <c r="CH133" s="787">
        <v>0</v>
      </c>
      <c r="CI133" s="787">
        <f t="shared" si="13"/>
        <v>0</v>
      </c>
      <c r="CJ133" s="787"/>
      <c r="CK133" s="787"/>
      <c r="CL133" s="787"/>
      <c r="CM133" s="787"/>
      <c r="CN133" s="787"/>
      <c r="CO133" s="787"/>
      <c r="CP133" s="787"/>
      <c r="CQ133" s="787"/>
      <c r="CR133" s="787"/>
      <c r="CS133" s="787"/>
      <c r="CT133" s="787"/>
      <c r="CU133" s="787"/>
      <c r="CV133" s="787"/>
      <c r="CW133" s="787"/>
      <c r="CX133" s="787"/>
      <c r="CY133" s="787"/>
      <c r="CZ133" s="787"/>
      <c r="DA133" s="787"/>
      <c r="DB133" s="787"/>
      <c r="DC133" s="787"/>
      <c r="DD133" s="787"/>
      <c r="DE133" s="787"/>
      <c r="DF133" s="787"/>
      <c r="DG133" s="787"/>
      <c r="DH133" s="787"/>
      <c r="DI133" s="787"/>
      <c r="DJ133" s="787"/>
      <c r="DK133" s="787"/>
      <c r="DL133" s="787"/>
      <c r="DM133" s="787"/>
      <c r="DN133" s="787"/>
      <c r="DO133" s="787"/>
      <c r="DP133" s="787"/>
      <c r="DQ133" s="787"/>
      <c r="DR133" s="787"/>
      <c r="DS133" s="787"/>
      <c r="DT133" s="787"/>
      <c r="DU133" s="787"/>
      <c r="DV133" s="787"/>
      <c r="DW133" s="787"/>
      <c r="DX133" s="787"/>
      <c r="DY133" s="787"/>
      <c r="DZ133" s="787"/>
      <c r="EA133" s="787"/>
    </row>
    <row r="134" spans="1:131" ht="15.6">
      <c r="A134" s="782" t="s">
        <v>1427</v>
      </c>
      <c r="B134" s="782" t="s">
        <v>752</v>
      </c>
      <c r="C134" s="783">
        <v>1038</v>
      </c>
      <c r="D134" s="784" t="s">
        <v>753</v>
      </c>
      <c r="E134" s="785" t="s">
        <v>521</v>
      </c>
      <c r="F134" s="786">
        <v>46094</v>
      </c>
      <c r="G134" s="785" t="s">
        <v>5</v>
      </c>
      <c r="H134" s="785" t="str">
        <f t="shared" si="7"/>
        <v>AX056</v>
      </c>
      <c r="I134" s="787">
        <v>121264</v>
      </c>
      <c r="J134" s="787">
        <v>0</v>
      </c>
      <c r="K134" s="787">
        <v>44500</v>
      </c>
      <c r="L134" s="787">
        <v>0</v>
      </c>
      <c r="M134" s="787">
        <v>0</v>
      </c>
      <c r="N134" s="787">
        <v>0</v>
      </c>
      <c r="O134" s="787">
        <v>10535</v>
      </c>
      <c r="P134" s="787">
        <v>0</v>
      </c>
      <c r="Q134" s="787">
        <v>14238</v>
      </c>
      <c r="R134" s="787">
        <v>15406</v>
      </c>
      <c r="S134" s="787">
        <v>0</v>
      </c>
      <c r="T134" s="787">
        <v>0</v>
      </c>
      <c r="U134" s="787">
        <v>114382</v>
      </c>
      <c r="V134" s="787">
        <v>21599</v>
      </c>
      <c r="W134" s="787">
        <v>0</v>
      </c>
      <c r="X134" s="787">
        <f t="shared" si="8"/>
        <v>341924</v>
      </c>
      <c r="Y134" s="787">
        <v>334991</v>
      </c>
      <c r="Z134" s="787">
        <v>0</v>
      </c>
      <c r="AA134" s="787">
        <v>611588</v>
      </c>
      <c r="AB134" s="787">
        <v>42474.82</v>
      </c>
      <c r="AC134" s="787">
        <v>52018.62</v>
      </c>
      <c r="AD134" s="787">
        <v>0</v>
      </c>
      <c r="AE134" s="787">
        <v>0</v>
      </c>
      <c r="AF134" s="787">
        <v>3648</v>
      </c>
      <c r="AG134" s="787">
        <v>5051</v>
      </c>
      <c r="AH134" s="787">
        <v>0</v>
      </c>
      <c r="AI134" s="787">
        <v>0</v>
      </c>
      <c r="AJ134" s="787">
        <v>5036</v>
      </c>
      <c r="AK134" s="787">
        <v>144</v>
      </c>
      <c r="AL134" s="787">
        <v>31600</v>
      </c>
      <c r="AM134" s="787">
        <v>171</v>
      </c>
      <c r="AN134" s="787">
        <v>2470</v>
      </c>
      <c r="AO134" s="787">
        <v>0</v>
      </c>
      <c r="AP134" s="787">
        <v>15056</v>
      </c>
      <c r="AQ134" s="787">
        <v>33649</v>
      </c>
      <c r="AR134" s="787">
        <v>0</v>
      </c>
      <c r="AS134" s="787">
        <v>0</v>
      </c>
      <c r="AT134" s="787">
        <v>1847</v>
      </c>
      <c r="AU134" s="787">
        <v>1491.77</v>
      </c>
      <c r="AV134" s="787">
        <v>0</v>
      </c>
      <c r="AW134" s="787">
        <v>411</v>
      </c>
      <c r="AX134" s="787">
        <v>16556</v>
      </c>
      <c r="AY134" s="787">
        <v>0</v>
      </c>
      <c r="AZ134" s="787">
        <v>8121</v>
      </c>
      <c r="BA134" s="787">
        <v>0</v>
      </c>
      <c r="BB134" s="787">
        <v>0</v>
      </c>
      <c r="BC134" s="787">
        <v>53481.33</v>
      </c>
      <c r="BD134" s="787">
        <v>21528</v>
      </c>
      <c r="BE134" s="787">
        <v>167214.17000000001</v>
      </c>
      <c r="BF134" s="787">
        <v>36333</v>
      </c>
      <c r="BG134" s="787">
        <v>0</v>
      </c>
      <c r="BH134" s="787">
        <v>0</v>
      </c>
      <c r="BI134" s="787">
        <v>7359</v>
      </c>
      <c r="BJ134" s="787">
        <f t="shared" si="9"/>
        <v>1452239.71</v>
      </c>
      <c r="BK134" s="787"/>
      <c r="BL134" s="787"/>
      <c r="BM134" s="787"/>
      <c r="BN134" s="787">
        <v>0</v>
      </c>
      <c r="BO134" s="787">
        <v>0</v>
      </c>
      <c r="BP134" s="787">
        <v>7359</v>
      </c>
      <c r="BQ134" s="787">
        <f t="shared" si="10"/>
        <v>7359</v>
      </c>
      <c r="BR134" s="787">
        <v>0</v>
      </c>
      <c r="BS134" s="787">
        <v>33070</v>
      </c>
      <c r="BT134" s="787">
        <v>0</v>
      </c>
      <c r="BU134" s="787">
        <v>0</v>
      </c>
      <c r="BV134" s="787">
        <v>0</v>
      </c>
      <c r="BW134" s="787">
        <v>0</v>
      </c>
      <c r="BX134" s="787">
        <v>0</v>
      </c>
      <c r="BY134" s="787">
        <v>0</v>
      </c>
      <c r="BZ134" s="787">
        <f t="shared" si="11"/>
        <v>33070</v>
      </c>
      <c r="CA134" s="787"/>
      <c r="CB134" s="787"/>
      <c r="CC134" s="787"/>
      <c r="CD134" s="787">
        <v>0</v>
      </c>
      <c r="CE134" s="787">
        <v>0</v>
      </c>
      <c r="CF134" s="787">
        <f t="shared" si="12"/>
        <v>0</v>
      </c>
      <c r="CG134" s="787">
        <v>0</v>
      </c>
      <c r="CH134" s="787">
        <v>0</v>
      </c>
      <c r="CI134" s="787">
        <f t="shared" si="13"/>
        <v>0</v>
      </c>
      <c r="CJ134" s="787"/>
      <c r="CK134" s="787"/>
      <c r="CL134" s="787"/>
      <c r="CM134" s="787"/>
      <c r="CN134" s="787"/>
      <c r="CO134" s="787"/>
      <c r="CP134" s="787"/>
      <c r="CQ134" s="787"/>
      <c r="CR134" s="787"/>
      <c r="CS134" s="787">
        <v>416487</v>
      </c>
      <c r="CT134" s="787">
        <v>20681.900000000001</v>
      </c>
      <c r="CU134" s="787">
        <v>1372.62</v>
      </c>
      <c r="CV134" s="787">
        <v>397177.72</v>
      </c>
      <c r="CW134" s="787">
        <v>0</v>
      </c>
      <c r="CX134" s="787">
        <v>7633</v>
      </c>
      <c r="CY134" s="787">
        <v>8011.03</v>
      </c>
      <c r="CZ134" s="787">
        <v>39094</v>
      </c>
      <c r="DA134" s="787">
        <v>190</v>
      </c>
      <c r="DB134" s="787">
        <v>452105.75</v>
      </c>
      <c r="DC134" s="787">
        <v>0</v>
      </c>
      <c r="DD134" s="787">
        <v>0</v>
      </c>
      <c r="DE134" s="787">
        <v>0</v>
      </c>
      <c r="DF134" s="787">
        <v>0</v>
      </c>
      <c r="DG134" s="787"/>
      <c r="DH134" s="787"/>
      <c r="DI134" s="787"/>
      <c r="DJ134" s="787">
        <v>0</v>
      </c>
      <c r="DK134" s="787">
        <v>0</v>
      </c>
      <c r="DL134" s="787">
        <v>0</v>
      </c>
      <c r="DM134" s="787">
        <v>0</v>
      </c>
      <c r="DN134" s="787">
        <v>0</v>
      </c>
      <c r="DO134" s="787">
        <v>0</v>
      </c>
      <c r="DP134" s="787">
        <v>-110623.61</v>
      </c>
      <c r="DQ134" s="787">
        <v>-32078.33</v>
      </c>
      <c r="DR134" s="787">
        <v>0</v>
      </c>
      <c r="DS134" s="787">
        <v>0</v>
      </c>
      <c r="DT134" s="787">
        <v>-142701.94</v>
      </c>
      <c r="DU134" s="787">
        <v>0</v>
      </c>
      <c r="DV134" s="787">
        <v>0</v>
      </c>
      <c r="DW134" s="787">
        <v>0</v>
      </c>
      <c r="DX134" s="787">
        <v>-223125.43</v>
      </c>
      <c r="DY134" s="787">
        <v>0</v>
      </c>
      <c r="DZ134" s="787">
        <v>-17799.189999999999</v>
      </c>
      <c r="EA134" s="787">
        <v>0.49596214623306878</v>
      </c>
    </row>
    <row r="135" spans="1:131" ht="15.6">
      <c r="A135" s="782" t="s">
        <v>1428</v>
      </c>
      <c r="B135" s="782" t="s">
        <v>754</v>
      </c>
      <c r="C135" s="783">
        <v>2174</v>
      </c>
      <c r="D135" s="784" t="s">
        <v>755</v>
      </c>
      <c r="E135" s="785" t="s">
        <v>521</v>
      </c>
      <c r="F135" s="786">
        <v>46094</v>
      </c>
      <c r="G135" s="785" t="s">
        <v>5</v>
      </c>
      <c r="H135" s="785" t="str">
        <f t="shared" si="7"/>
        <v>AX0BR</v>
      </c>
      <c r="I135" s="787">
        <v>0</v>
      </c>
      <c r="J135" s="787">
        <v>0</v>
      </c>
      <c r="K135" s="787">
        <v>0</v>
      </c>
      <c r="L135" s="787">
        <v>0</v>
      </c>
      <c r="M135" s="787">
        <v>0</v>
      </c>
      <c r="N135" s="787">
        <v>0</v>
      </c>
      <c r="O135" s="787">
        <v>0</v>
      </c>
      <c r="P135" s="787">
        <v>0</v>
      </c>
      <c r="Q135" s="787">
        <v>78142.829999999987</v>
      </c>
      <c r="R135" s="787">
        <v>0</v>
      </c>
      <c r="S135" s="787">
        <v>0</v>
      </c>
      <c r="T135" s="787">
        <v>0</v>
      </c>
      <c r="U135" s="787">
        <v>6977.91</v>
      </c>
      <c r="V135" s="787">
        <v>0</v>
      </c>
      <c r="W135" s="787">
        <v>0</v>
      </c>
      <c r="X135" s="787">
        <f t="shared" si="8"/>
        <v>85120.739999999991</v>
      </c>
      <c r="Y135" s="787">
        <v>1093342.1500000001</v>
      </c>
      <c r="Z135" s="787">
        <v>0</v>
      </c>
      <c r="AA135" s="787">
        <v>488323.39</v>
      </c>
      <c r="AB135" s="787">
        <v>43790.47</v>
      </c>
      <c r="AC135" s="787">
        <v>157638.15000000002</v>
      </c>
      <c r="AD135" s="787">
        <v>0</v>
      </c>
      <c r="AE135" s="787">
        <v>115912.94</v>
      </c>
      <c r="AF135" s="787">
        <v>7367.3700000000008</v>
      </c>
      <c r="AG135" s="787">
        <v>11200.15</v>
      </c>
      <c r="AH135" s="787">
        <v>0</v>
      </c>
      <c r="AI135" s="787">
        <v>0</v>
      </c>
      <c r="AJ135" s="787">
        <v>51766.58</v>
      </c>
      <c r="AK135" s="787">
        <v>91.99</v>
      </c>
      <c r="AL135" s="787">
        <v>40211.449999999997</v>
      </c>
      <c r="AM135" s="787">
        <v>6011.16</v>
      </c>
      <c r="AN135" s="787">
        <v>40624.559999999998</v>
      </c>
      <c r="AO135" s="787">
        <v>0</v>
      </c>
      <c r="AP135" s="787">
        <v>1430.29</v>
      </c>
      <c r="AQ135" s="787">
        <v>137503.72999999995</v>
      </c>
      <c r="AR135" s="787">
        <v>6690</v>
      </c>
      <c r="AS135" s="787">
        <v>0</v>
      </c>
      <c r="AT135" s="787">
        <v>3238.28</v>
      </c>
      <c r="AU135" s="787">
        <v>14280.72</v>
      </c>
      <c r="AV135" s="787">
        <v>2179.15</v>
      </c>
      <c r="AW135" s="787">
        <v>0</v>
      </c>
      <c r="AX135" s="787">
        <v>0</v>
      </c>
      <c r="AY135" s="787">
        <v>0</v>
      </c>
      <c r="AZ135" s="787">
        <v>9885.5999999999985</v>
      </c>
      <c r="BA135" s="787">
        <v>0</v>
      </c>
      <c r="BB135" s="787">
        <v>0</v>
      </c>
      <c r="BC135" s="787">
        <v>149022.12</v>
      </c>
      <c r="BD135" s="787">
        <v>12805.49</v>
      </c>
      <c r="BE135" s="787">
        <v>13902.68</v>
      </c>
      <c r="BF135" s="787">
        <v>27740.07</v>
      </c>
      <c r="BG135" s="787">
        <v>0</v>
      </c>
      <c r="BH135" s="787">
        <v>0</v>
      </c>
      <c r="BI135" s="787">
        <v>3626</v>
      </c>
      <c r="BJ135" s="787">
        <f t="shared" si="9"/>
        <v>2438584.4900000002</v>
      </c>
      <c r="BK135" s="787"/>
      <c r="BL135" s="787"/>
      <c r="BM135" s="787"/>
      <c r="BN135" s="787">
        <v>0</v>
      </c>
      <c r="BO135" s="787">
        <v>0</v>
      </c>
      <c r="BP135" s="787">
        <v>3626</v>
      </c>
      <c r="BQ135" s="787">
        <f t="shared" si="10"/>
        <v>3626</v>
      </c>
      <c r="BR135" s="787">
        <v>0</v>
      </c>
      <c r="BS135" s="787">
        <v>11339</v>
      </c>
      <c r="BT135" s="787">
        <v>0</v>
      </c>
      <c r="BU135" s="787">
        <v>0</v>
      </c>
      <c r="BV135" s="787">
        <v>0</v>
      </c>
      <c r="BW135" s="787">
        <v>0</v>
      </c>
      <c r="BX135" s="787">
        <v>0</v>
      </c>
      <c r="BY135" s="787">
        <v>0</v>
      </c>
      <c r="BZ135" s="787">
        <f t="shared" si="11"/>
        <v>11339</v>
      </c>
      <c r="CA135" s="787"/>
      <c r="CB135" s="787"/>
      <c r="CC135" s="787"/>
      <c r="CD135" s="787">
        <v>0</v>
      </c>
      <c r="CE135" s="787">
        <v>0</v>
      </c>
      <c r="CF135" s="787">
        <f t="shared" si="12"/>
        <v>0</v>
      </c>
      <c r="CG135" s="787">
        <v>0</v>
      </c>
      <c r="CH135" s="787">
        <v>0</v>
      </c>
      <c r="CI135" s="787">
        <f t="shared" si="13"/>
        <v>0</v>
      </c>
      <c r="CJ135" s="787"/>
      <c r="CK135" s="787"/>
      <c r="CL135" s="787"/>
      <c r="CM135" s="787"/>
      <c r="CN135" s="787"/>
      <c r="CO135" s="787"/>
      <c r="CP135" s="787"/>
      <c r="CQ135" s="787"/>
      <c r="CR135" s="787"/>
      <c r="CS135" s="787">
        <v>359531.62</v>
      </c>
      <c r="CT135" s="787">
        <v>1270.67</v>
      </c>
      <c r="CU135" s="787">
        <v>0</v>
      </c>
      <c r="CV135" s="787">
        <v>358260.95</v>
      </c>
      <c r="CW135" s="787">
        <v>39.630000000000003</v>
      </c>
      <c r="CX135" s="787">
        <v>9647.5400000000009</v>
      </c>
      <c r="CY135" s="787">
        <v>3791.37</v>
      </c>
      <c r="CZ135" s="787">
        <v>6806.69</v>
      </c>
      <c r="DA135" s="787">
        <v>0</v>
      </c>
      <c r="DB135" s="787">
        <v>378546.18</v>
      </c>
      <c r="DC135" s="787">
        <v>3545.14</v>
      </c>
      <c r="DD135" s="787">
        <v>0</v>
      </c>
      <c r="DE135" s="787">
        <v>0</v>
      </c>
      <c r="DF135" s="787">
        <v>3545.14</v>
      </c>
      <c r="DG135" s="787"/>
      <c r="DH135" s="787"/>
      <c r="DI135" s="787"/>
      <c r="DJ135" s="787">
        <v>-75000</v>
      </c>
      <c r="DK135" s="787">
        <v>-71454.86</v>
      </c>
      <c r="DL135" s="787">
        <v>0</v>
      </c>
      <c r="DM135" s="787">
        <v>0</v>
      </c>
      <c r="DN135" s="787">
        <v>0</v>
      </c>
      <c r="DO135" s="787">
        <v>0</v>
      </c>
      <c r="DP135" s="787">
        <v>-175408.15</v>
      </c>
      <c r="DQ135" s="787">
        <v>0</v>
      </c>
      <c r="DR135" s="787">
        <v>0</v>
      </c>
      <c r="DS135" s="787">
        <v>0</v>
      </c>
      <c r="DT135" s="787">
        <v>-175408.15</v>
      </c>
      <c r="DU135" s="787">
        <v>0</v>
      </c>
      <c r="DV135" s="787">
        <v>0</v>
      </c>
      <c r="DW135" s="787">
        <v>-2396.4</v>
      </c>
      <c r="DX135" s="787">
        <v>0</v>
      </c>
      <c r="DY135" s="787">
        <v>0</v>
      </c>
      <c r="DZ135" s="787">
        <v>-34761.300000000003</v>
      </c>
      <c r="EA135" s="787">
        <v>0.2831024085462559</v>
      </c>
    </row>
    <row r="136" spans="1:131" ht="15.6">
      <c r="A136" s="782" t="s">
        <v>1429</v>
      </c>
      <c r="B136" s="782" t="s">
        <v>756</v>
      </c>
      <c r="C136" s="783">
        <v>2176</v>
      </c>
      <c r="D136" s="784" t="s">
        <v>757</v>
      </c>
      <c r="E136" s="785" t="s">
        <v>521</v>
      </c>
      <c r="F136" s="786" t="s">
        <v>1315</v>
      </c>
      <c r="G136" s="785" t="s">
        <v>5</v>
      </c>
      <c r="H136" s="785" t="str">
        <f t="shared" si="7"/>
        <v>AX059</v>
      </c>
      <c r="I136" s="787">
        <v>0</v>
      </c>
      <c r="J136" s="787">
        <v>0</v>
      </c>
      <c r="K136" s="787">
        <v>0</v>
      </c>
      <c r="L136" s="787">
        <v>0</v>
      </c>
      <c r="M136" s="787">
        <v>0</v>
      </c>
      <c r="N136" s="787">
        <v>0</v>
      </c>
      <c r="O136" s="787">
        <v>7750</v>
      </c>
      <c r="P136" s="787">
        <v>0</v>
      </c>
      <c r="Q136" s="787">
        <v>18533.97</v>
      </c>
      <c r="R136" s="787">
        <v>268747.48</v>
      </c>
      <c r="S136" s="787">
        <v>0</v>
      </c>
      <c r="T136" s="787">
        <v>0</v>
      </c>
      <c r="U136" s="787">
        <v>14696.49</v>
      </c>
      <c r="V136" s="787">
        <v>19747.919999999998</v>
      </c>
      <c r="W136" s="787">
        <v>0</v>
      </c>
      <c r="X136" s="787">
        <f t="shared" si="8"/>
        <v>329475.85999999993</v>
      </c>
      <c r="Y136" s="787">
        <v>2035506.79</v>
      </c>
      <c r="Z136" s="787">
        <v>0</v>
      </c>
      <c r="AA136" s="787">
        <v>922659.85</v>
      </c>
      <c r="AB136" s="787">
        <v>76887.98</v>
      </c>
      <c r="AC136" s="787">
        <v>251960.57</v>
      </c>
      <c r="AD136" s="787">
        <v>157205.95200000002</v>
      </c>
      <c r="AE136" s="787">
        <v>87828.6</v>
      </c>
      <c r="AF136" s="787">
        <v>3591.85</v>
      </c>
      <c r="AG136" s="787">
        <v>15711.75</v>
      </c>
      <c r="AH136" s="787">
        <v>0</v>
      </c>
      <c r="AI136" s="787">
        <v>0</v>
      </c>
      <c r="AJ136" s="787">
        <v>136763.88</v>
      </c>
      <c r="AK136" s="787">
        <v>0</v>
      </c>
      <c r="AL136" s="787">
        <v>12535.48</v>
      </c>
      <c r="AM136" s="787">
        <v>4244.1099999999997</v>
      </c>
      <c r="AN136" s="787">
        <v>80913.41</v>
      </c>
      <c r="AO136" s="787">
        <v>0</v>
      </c>
      <c r="AP136" s="787">
        <v>19773.150000000001</v>
      </c>
      <c r="AQ136" s="787">
        <v>159680.15</v>
      </c>
      <c r="AR136" s="787">
        <v>0</v>
      </c>
      <c r="AS136" s="787">
        <v>0</v>
      </c>
      <c r="AT136" s="787">
        <v>13599.18</v>
      </c>
      <c r="AU136" s="787">
        <v>6803.91</v>
      </c>
      <c r="AV136" s="787">
        <v>4786.95</v>
      </c>
      <c r="AW136" s="787">
        <v>0</v>
      </c>
      <c r="AX136" s="787">
        <v>33300</v>
      </c>
      <c r="AY136" s="787">
        <v>0</v>
      </c>
      <c r="AZ136" s="787">
        <v>39531.980000000003</v>
      </c>
      <c r="BA136" s="787">
        <v>0</v>
      </c>
      <c r="BB136" s="787">
        <v>1694</v>
      </c>
      <c r="BC136" s="787">
        <v>339303.77</v>
      </c>
      <c r="BD136" s="787">
        <v>959098.58</v>
      </c>
      <c r="BE136" s="787">
        <v>23348.959999999995</v>
      </c>
      <c r="BF136" s="787">
        <v>116884.37000000002</v>
      </c>
      <c r="BG136" s="787">
        <v>0</v>
      </c>
      <c r="BH136" s="787">
        <v>0</v>
      </c>
      <c r="BI136" s="787">
        <v>6234</v>
      </c>
      <c r="BJ136" s="787">
        <f t="shared" si="9"/>
        <v>5509849.222000001</v>
      </c>
      <c r="BK136" s="787"/>
      <c r="BL136" s="787"/>
      <c r="BM136" s="787"/>
      <c r="BN136" s="787">
        <v>0</v>
      </c>
      <c r="BO136" s="787">
        <v>0</v>
      </c>
      <c r="BP136" s="787">
        <v>6234</v>
      </c>
      <c r="BQ136" s="787">
        <f t="shared" si="10"/>
        <v>6234</v>
      </c>
      <c r="BR136" s="787">
        <v>0</v>
      </c>
      <c r="BS136" s="787">
        <v>0</v>
      </c>
      <c r="BT136" s="787">
        <v>8060</v>
      </c>
      <c r="BU136" s="787">
        <v>0</v>
      </c>
      <c r="BV136" s="787">
        <v>0</v>
      </c>
      <c r="BW136" s="787">
        <v>0</v>
      </c>
      <c r="BX136" s="787">
        <v>19804.7</v>
      </c>
      <c r="BY136" s="787">
        <v>0</v>
      </c>
      <c r="BZ136" s="787">
        <f t="shared" si="11"/>
        <v>27864.7</v>
      </c>
      <c r="CA136" s="787"/>
      <c r="CB136" s="787"/>
      <c r="CC136" s="787"/>
      <c r="CD136" s="787">
        <v>0</v>
      </c>
      <c r="CE136" s="787">
        <v>0</v>
      </c>
      <c r="CF136" s="787">
        <f t="shared" si="12"/>
        <v>0</v>
      </c>
      <c r="CG136" s="787">
        <v>0</v>
      </c>
      <c r="CH136" s="787">
        <v>0</v>
      </c>
      <c r="CI136" s="787">
        <f t="shared" si="13"/>
        <v>0</v>
      </c>
      <c r="CJ136" s="787"/>
      <c r="CK136" s="787"/>
      <c r="CL136" s="787"/>
      <c r="CM136" s="787"/>
      <c r="CN136" s="787"/>
      <c r="CO136" s="787"/>
      <c r="CP136" s="787"/>
      <c r="CQ136" s="787"/>
      <c r="CR136" s="787"/>
      <c r="CS136" s="787"/>
      <c r="CT136" s="787"/>
      <c r="CU136" s="787"/>
      <c r="CV136" s="787"/>
      <c r="CW136" s="787"/>
      <c r="CX136" s="787"/>
      <c r="CY136" s="787"/>
      <c r="CZ136" s="787"/>
      <c r="DA136" s="787"/>
      <c r="DB136" s="787"/>
      <c r="DC136" s="787"/>
      <c r="DD136" s="787"/>
      <c r="DE136" s="787"/>
      <c r="DF136" s="787"/>
      <c r="DG136" s="787"/>
      <c r="DH136" s="787"/>
      <c r="DI136" s="787"/>
      <c r="DJ136" s="787"/>
      <c r="DK136" s="787"/>
      <c r="DL136" s="787"/>
      <c r="DM136" s="787"/>
      <c r="DN136" s="787"/>
      <c r="DO136" s="787"/>
      <c r="DP136" s="787"/>
      <c r="DQ136" s="787"/>
      <c r="DR136" s="787"/>
      <c r="DS136" s="787"/>
      <c r="DT136" s="787"/>
      <c r="DU136" s="787"/>
      <c r="DV136" s="787"/>
      <c r="DW136" s="787"/>
      <c r="DX136" s="787"/>
      <c r="DY136" s="787"/>
      <c r="DZ136" s="787"/>
      <c r="EA136" s="787"/>
    </row>
    <row r="137" spans="1:131" ht="15.6">
      <c r="A137" s="782" t="s">
        <v>1430</v>
      </c>
      <c r="B137" s="782" t="s">
        <v>758</v>
      </c>
      <c r="C137" s="783">
        <v>7047</v>
      </c>
      <c r="D137" s="784" t="s">
        <v>759</v>
      </c>
      <c r="E137" s="785" t="s">
        <v>521</v>
      </c>
      <c r="F137" s="786">
        <v>46094</v>
      </c>
      <c r="G137" s="785" t="s">
        <v>5</v>
      </c>
      <c r="H137" s="785" t="str">
        <f t="shared" ref="H137:H193" si="14">B137</f>
        <v>AX05A</v>
      </c>
      <c r="I137" s="787">
        <v>4174</v>
      </c>
      <c r="J137" s="787">
        <v>0</v>
      </c>
      <c r="K137" s="787">
        <v>186790.51999999932</v>
      </c>
      <c r="L137" s="787">
        <v>0</v>
      </c>
      <c r="M137" s="787">
        <v>26129</v>
      </c>
      <c r="N137" s="787">
        <v>0</v>
      </c>
      <c r="O137" s="787">
        <v>0</v>
      </c>
      <c r="P137" s="787">
        <v>0</v>
      </c>
      <c r="Q137" s="787">
        <v>3345.1000000000008</v>
      </c>
      <c r="R137" s="787">
        <v>5874.97</v>
      </c>
      <c r="S137" s="787">
        <v>0</v>
      </c>
      <c r="T137" s="787">
        <v>0</v>
      </c>
      <c r="U137" s="787">
        <v>2733.4</v>
      </c>
      <c r="V137" s="787">
        <v>259268</v>
      </c>
      <c r="W137" s="787">
        <v>0</v>
      </c>
      <c r="X137" s="787">
        <f t="shared" ref="X137:X193" si="15">SUM(I137:W137)</f>
        <v>488314.98999999929</v>
      </c>
      <c r="Y137" s="787">
        <v>1228122.3699999999</v>
      </c>
      <c r="Z137" s="787">
        <v>0</v>
      </c>
      <c r="AA137" s="787">
        <v>970989.92999999993</v>
      </c>
      <c r="AB137" s="787">
        <v>41949.78</v>
      </c>
      <c r="AC137" s="787">
        <v>123664.01</v>
      </c>
      <c r="AD137" s="787">
        <v>70825.64</v>
      </c>
      <c r="AE137" s="787">
        <v>78464.7</v>
      </c>
      <c r="AF137" s="787">
        <v>11472.59</v>
      </c>
      <c r="AG137" s="787">
        <v>9423.4</v>
      </c>
      <c r="AH137" s="787">
        <v>0</v>
      </c>
      <c r="AI137" s="787">
        <v>0</v>
      </c>
      <c r="AJ137" s="787">
        <v>23511.360000000001</v>
      </c>
      <c r="AK137" s="787">
        <v>9785</v>
      </c>
      <c r="AL137" s="787">
        <v>6610.04</v>
      </c>
      <c r="AM137" s="787">
        <v>23064.73</v>
      </c>
      <c r="AN137" s="787">
        <v>131622.71000000002</v>
      </c>
      <c r="AO137" s="787">
        <v>6600</v>
      </c>
      <c r="AP137" s="787">
        <v>12180.43</v>
      </c>
      <c r="AQ137" s="787">
        <v>51083.17000000058</v>
      </c>
      <c r="AR137" s="787">
        <v>0</v>
      </c>
      <c r="AS137" s="787">
        <v>0</v>
      </c>
      <c r="AT137" s="787">
        <v>21321.59</v>
      </c>
      <c r="AU137" s="787">
        <v>0</v>
      </c>
      <c r="AV137" s="787">
        <v>0</v>
      </c>
      <c r="AW137" s="787">
        <v>14038.1</v>
      </c>
      <c r="AX137" s="787">
        <v>0</v>
      </c>
      <c r="AY137" s="787">
        <v>0</v>
      </c>
      <c r="AZ137" s="787">
        <v>19869.119999999995</v>
      </c>
      <c r="BA137" s="787">
        <v>0</v>
      </c>
      <c r="BB137" s="787">
        <v>3868.86</v>
      </c>
      <c r="BC137" s="787">
        <v>27488.32</v>
      </c>
      <c r="BD137" s="787">
        <v>665034.97</v>
      </c>
      <c r="BE137" s="787">
        <v>0</v>
      </c>
      <c r="BF137" s="787">
        <v>208394.76</v>
      </c>
      <c r="BG137" s="787">
        <v>0</v>
      </c>
      <c r="BH137" s="787">
        <v>0</v>
      </c>
      <c r="BI137" s="787">
        <v>0</v>
      </c>
      <c r="BJ137" s="787">
        <f t="shared" ref="BJ137:BJ193" si="16">SUM(Y137:BI137)</f>
        <v>3759385.5799999991</v>
      </c>
      <c r="BK137" s="787"/>
      <c r="BL137" s="787"/>
      <c r="BM137" s="787"/>
      <c r="BN137" s="787">
        <v>0</v>
      </c>
      <c r="BO137" s="787">
        <v>0</v>
      </c>
      <c r="BP137" s="787">
        <v>0</v>
      </c>
      <c r="BQ137" s="787">
        <f t="shared" ref="BQ137:BQ193" si="17">SUM(BN137:BP137)</f>
        <v>0</v>
      </c>
      <c r="BR137" s="787">
        <v>0</v>
      </c>
      <c r="BS137" s="787">
        <v>0</v>
      </c>
      <c r="BT137" s="787">
        <v>2339</v>
      </c>
      <c r="BU137" s="787">
        <v>0</v>
      </c>
      <c r="BV137" s="787">
        <v>0</v>
      </c>
      <c r="BW137" s="787">
        <v>0</v>
      </c>
      <c r="BX137" s="787">
        <v>2348.9499999999998</v>
      </c>
      <c r="BY137" s="787">
        <v>0</v>
      </c>
      <c r="BZ137" s="787">
        <f t="shared" ref="BZ137:BZ193" si="18">SUM(BR137:BY137)</f>
        <v>4687.95</v>
      </c>
      <c r="CA137" s="787"/>
      <c r="CB137" s="787"/>
      <c r="CC137" s="787"/>
      <c r="CD137" s="787">
        <v>0</v>
      </c>
      <c r="CE137" s="787">
        <v>0</v>
      </c>
      <c r="CF137" s="787">
        <f t="shared" ref="CF137:CF193" si="19">SUM(CD137:CE137)</f>
        <v>0</v>
      </c>
      <c r="CG137" s="787">
        <v>0</v>
      </c>
      <c r="CH137" s="787">
        <v>0</v>
      </c>
      <c r="CI137" s="787">
        <f t="shared" ref="CI137:CI193" si="20">SUM(CG137:CH137)</f>
        <v>0</v>
      </c>
      <c r="CJ137" s="787"/>
      <c r="CK137" s="787"/>
      <c r="CL137" s="787"/>
      <c r="CM137" s="787"/>
      <c r="CN137" s="787"/>
      <c r="CO137" s="787"/>
      <c r="CP137" s="787"/>
      <c r="CQ137" s="787"/>
      <c r="CR137" s="787"/>
      <c r="CS137" s="787">
        <v>-103239.4</v>
      </c>
      <c r="CT137" s="787">
        <v>28535.06</v>
      </c>
      <c r="CU137" s="787">
        <v>4000</v>
      </c>
      <c r="CV137" s="787">
        <v>-127774.45999999999</v>
      </c>
      <c r="CW137" s="787">
        <v>0</v>
      </c>
      <c r="CX137" s="787">
        <v>15475.6</v>
      </c>
      <c r="CY137" s="787">
        <v>1581.6</v>
      </c>
      <c r="CZ137" s="787">
        <v>14714.73</v>
      </c>
      <c r="DA137" s="787">
        <v>0</v>
      </c>
      <c r="DB137" s="787">
        <v>-96002.529999999984</v>
      </c>
      <c r="DC137" s="787">
        <v>0</v>
      </c>
      <c r="DD137" s="787">
        <v>0</v>
      </c>
      <c r="DE137" s="787">
        <v>0</v>
      </c>
      <c r="DF137" s="787">
        <v>0</v>
      </c>
      <c r="DG137" s="787"/>
      <c r="DH137" s="787"/>
      <c r="DI137" s="787"/>
      <c r="DJ137" s="787">
        <v>0</v>
      </c>
      <c r="DK137" s="787">
        <v>0</v>
      </c>
      <c r="DL137" s="787">
        <v>173678</v>
      </c>
      <c r="DM137" s="787">
        <v>0</v>
      </c>
      <c r="DN137" s="787">
        <v>0</v>
      </c>
      <c r="DO137" s="787">
        <v>0</v>
      </c>
      <c r="DP137" s="787">
        <v>-337543.44</v>
      </c>
      <c r="DQ137" s="787">
        <v>0</v>
      </c>
      <c r="DR137" s="787">
        <v>0</v>
      </c>
      <c r="DS137" s="787">
        <v>0</v>
      </c>
      <c r="DT137" s="787">
        <v>-163865.44</v>
      </c>
      <c r="DU137" s="787">
        <v>0</v>
      </c>
      <c r="DV137" s="787">
        <v>0</v>
      </c>
      <c r="DW137" s="787">
        <v>0</v>
      </c>
      <c r="DX137" s="787">
        <v>0</v>
      </c>
      <c r="DY137" s="787">
        <v>0</v>
      </c>
      <c r="DZ137" s="787">
        <v>-44791.3</v>
      </c>
      <c r="EA137" s="787">
        <v>-0.35906069283373654</v>
      </c>
    </row>
    <row r="138" spans="1:131" ht="15.6">
      <c r="A138" s="782" t="s">
        <v>1431</v>
      </c>
      <c r="B138" s="782" t="s">
        <v>760</v>
      </c>
      <c r="C138" s="783">
        <v>3410</v>
      </c>
      <c r="D138" s="784" t="s">
        <v>761</v>
      </c>
      <c r="E138" s="785" t="s">
        <v>521</v>
      </c>
      <c r="F138" s="786">
        <v>46094</v>
      </c>
      <c r="G138" s="785" t="s">
        <v>5</v>
      </c>
      <c r="H138" s="785" t="str">
        <f t="shared" si="14"/>
        <v>AX061</v>
      </c>
      <c r="I138" s="787">
        <v>0</v>
      </c>
      <c r="J138" s="787">
        <v>0</v>
      </c>
      <c r="K138" s="787">
        <v>0</v>
      </c>
      <c r="L138" s="787">
        <v>0</v>
      </c>
      <c r="M138" s="787">
        <v>3300</v>
      </c>
      <c r="N138" s="787">
        <v>0</v>
      </c>
      <c r="O138" s="787">
        <v>0</v>
      </c>
      <c r="P138" s="787">
        <v>0</v>
      </c>
      <c r="Q138" s="787">
        <v>12887.15</v>
      </c>
      <c r="R138" s="787">
        <v>0</v>
      </c>
      <c r="S138" s="787">
        <v>0</v>
      </c>
      <c r="T138" s="787">
        <v>0</v>
      </c>
      <c r="U138" s="787">
        <v>16372</v>
      </c>
      <c r="V138" s="787">
        <v>35077</v>
      </c>
      <c r="W138" s="787">
        <v>0</v>
      </c>
      <c r="X138" s="787">
        <f t="shared" si="15"/>
        <v>67636.149999999994</v>
      </c>
      <c r="Y138" s="787">
        <v>708986.95</v>
      </c>
      <c r="Z138" s="787">
        <v>0</v>
      </c>
      <c r="AA138" s="787">
        <v>304425.19</v>
      </c>
      <c r="AB138" s="787">
        <v>58864.25</v>
      </c>
      <c r="AC138" s="787">
        <v>83183.100000000006</v>
      </c>
      <c r="AD138" s="787">
        <v>0</v>
      </c>
      <c r="AE138" s="787">
        <v>35571.15</v>
      </c>
      <c r="AF138" s="787">
        <v>147.80000000000001</v>
      </c>
      <c r="AG138" s="787">
        <v>2497.5</v>
      </c>
      <c r="AH138" s="787">
        <v>0</v>
      </c>
      <c r="AI138" s="787">
        <v>0</v>
      </c>
      <c r="AJ138" s="787">
        <v>1100</v>
      </c>
      <c r="AK138" s="787">
        <v>3566.84</v>
      </c>
      <c r="AL138" s="787">
        <v>2114.5500000000002</v>
      </c>
      <c r="AM138" s="787">
        <v>3987.44</v>
      </c>
      <c r="AN138" s="787">
        <v>14919.16</v>
      </c>
      <c r="AO138" s="787">
        <v>0</v>
      </c>
      <c r="AP138" s="787">
        <v>9247.27</v>
      </c>
      <c r="AQ138" s="787">
        <v>44569.77</v>
      </c>
      <c r="AR138" s="787">
        <v>0</v>
      </c>
      <c r="AS138" s="787">
        <v>0</v>
      </c>
      <c r="AT138" s="787">
        <v>2723.48</v>
      </c>
      <c r="AU138" s="787">
        <v>1840.82</v>
      </c>
      <c r="AV138" s="787">
        <v>0</v>
      </c>
      <c r="AW138" s="787">
        <v>0</v>
      </c>
      <c r="AX138" s="787">
        <v>0</v>
      </c>
      <c r="AY138" s="787">
        <v>26.2</v>
      </c>
      <c r="AZ138" s="787">
        <v>9004.81</v>
      </c>
      <c r="BA138" s="787">
        <v>0</v>
      </c>
      <c r="BB138" s="787">
        <v>1400</v>
      </c>
      <c r="BC138" s="787">
        <v>61562.200000000004</v>
      </c>
      <c r="BD138" s="787">
        <v>13346.06</v>
      </c>
      <c r="BE138" s="787">
        <v>25814.95</v>
      </c>
      <c r="BF138" s="787">
        <v>145439.03</v>
      </c>
      <c r="BG138" s="787">
        <v>0</v>
      </c>
      <c r="BH138" s="787">
        <v>0</v>
      </c>
      <c r="BI138" s="787">
        <v>0</v>
      </c>
      <c r="BJ138" s="787">
        <f t="shared" si="16"/>
        <v>1534338.52</v>
      </c>
      <c r="BK138" s="787"/>
      <c r="BL138" s="787"/>
      <c r="BM138" s="787"/>
      <c r="BN138" s="787">
        <v>2322.1</v>
      </c>
      <c r="BO138" s="787">
        <v>0</v>
      </c>
      <c r="BP138" s="787">
        <v>0</v>
      </c>
      <c r="BQ138" s="787">
        <f t="shared" si="17"/>
        <v>2322.1</v>
      </c>
      <c r="BR138" s="787">
        <v>0</v>
      </c>
      <c r="BS138" s="787">
        <v>0</v>
      </c>
      <c r="BT138" s="787">
        <v>0</v>
      </c>
      <c r="BU138" s="787">
        <v>0</v>
      </c>
      <c r="BV138" s="787">
        <v>0</v>
      </c>
      <c r="BW138" s="787">
        <v>0</v>
      </c>
      <c r="BX138" s="787">
        <v>0</v>
      </c>
      <c r="BY138" s="787">
        <v>0</v>
      </c>
      <c r="BZ138" s="787">
        <f t="shared" si="18"/>
        <v>0</v>
      </c>
      <c r="CA138" s="787"/>
      <c r="CB138" s="787"/>
      <c r="CC138" s="787"/>
      <c r="CD138" s="787">
        <v>0</v>
      </c>
      <c r="CE138" s="787">
        <v>0</v>
      </c>
      <c r="CF138" s="787">
        <f t="shared" si="19"/>
        <v>0</v>
      </c>
      <c r="CG138" s="787">
        <v>0</v>
      </c>
      <c r="CH138" s="787">
        <v>0</v>
      </c>
      <c r="CI138" s="787">
        <f t="shared" si="20"/>
        <v>0</v>
      </c>
      <c r="CJ138" s="787"/>
      <c r="CK138" s="787"/>
      <c r="CL138" s="787"/>
      <c r="CM138" s="787"/>
      <c r="CN138" s="787"/>
      <c r="CO138" s="787"/>
      <c r="CP138" s="787"/>
      <c r="CQ138" s="787"/>
      <c r="CR138" s="787"/>
      <c r="CS138" s="787">
        <v>526672.62</v>
      </c>
      <c r="CT138" s="787">
        <v>59045.19</v>
      </c>
      <c r="CU138" s="787">
        <v>22653.34</v>
      </c>
      <c r="CV138" s="787">
        <v>490280.77</v>
      </c>
      <c r="CW138" s="787">
        <v>0</v>
      </c>
      <c r="CX138" s="787">
        <v>1501.93</v>
      </c>
      <c r="CY138" s="787">
        <v>1755.99</v>
      </c>
      <c r="CZ138" s="787">
        <v>0</v>
      </c>
      <c r="DA138" s="787">
        <v>0</v>
      </c>
      <c r="DB138" s="787">
        <v>493538.69</v>
      </c>
      <c r="DC138" s="787">
        <v>0</v>
      </c>
      <c r="DD138" s="787">
        <v>0</v>
      </c>
      <c r="DE138" s="787">
        <v>0</v>
      </c>
      <c r="DF138" s="787">
        <v>0</v>
      </c>
      <c r="DG138" s="787"/>
      <c r="DH138" s="787"/>
      <c r="DI138" s="787"/>
      <c r="DJ138" s="787">
        <v>0</v>
      </c>
      <c r="DK138" s="787">
        <v>0</v>
      </c>
      <c r="DL138" s="787">
        <v>0</v>
      </c>
      <c r="DM138" s="787">
        <v>0</v>
      </c>
      <c r="DN138" s="787">
        <v>0</v>
      </c>
      <c r="DO138" s="787">
        <v>0</v>
      </c>
      <c r="DP138" s="787">
        <v>0</v>
      </c>
      <c r="DQ138" s="787">
        <v>-22124.080000000002</v>
      </c>
      <c r="DR138" s="787">
        <v>0</v>
      </c>
      <c r="DS138" s="787">
        <v>0</v>
      </c>
      <c r="DT138" s="787">
        <v>-22124.080000000002</v>
      </c>
      <c r="DU138" s="787">
        <v>0</v>
      </c>
      <c r="DV138" s="787">
        <v>0</v>
      </c>
      <c r="DW138" s="787">
        <v>0</v>
      </c>
      <c r="DX138" s="787">
        <v>0</v>
      </c>
      <c r="DY138" s="787">
        <v>0</v>
      </c>
      <c r="DZ138" s="787">
        <v>-123915.42</v>
      </c>
      <c r="EA138" s="787">
        <v>0.28651341487420723</v>
      </c>
    </row>
    <row r="139" spans="1:131" ht="15.6">
      <c r="A139" s="782" t="s">
        <v>1432</v>
      </c>
      <c r="B139" s="782" t="s">
        <v>762</v>
      </c>
      <c r="C139" s="783">
        <v>3381</v>
      </c>
      <c r="D139" s="784" t="s">
        <v>763</v>
      </c>
      <c r="E139" s="785" t="s">
        <v>521</v>
      </c>
      <c r="F139" s="786" t="s">
        <v>1305</v>
      </c>
      <c r="G139" s="785" t="s">
        <v>5</v>
      </c>
      <c r="H139" s="785" t="str">
        <f t="shared" si="14"/>
        <v>AX05C</v>
      </c>
      <c r="I139" s="787">
        <v>1500</v>
      </c>
      <c r="J139" s="787">
        <v>0</v>
      </c>
      <c r="K139" s="787">
        <v>0</v>
      </c>
      <c r="L139" s="787">
        <v>0</v>
      </c>
      <c r="M139" s="787">
        <v>0</v>
      </c>
      <c r="N139" s="787">
        <v>0</v>
      </c>
      <c r="O139" s="787">
        <v>15529.74</v>
      </c>
      <c r="P139" s="787">
        <v>3750</v>
      </c>
      <c r="Q139" s="787">
        <v>11563.64</v>
      </c>
      <c r="R139" s="787">
        <v>21400.34</v>
      </c>
      <c r="S139" s="787">
        <v>0</v>
      </c>
      <c r="T139" s="787">
        <v>0</v>
      </c>
      <c r="U139" s="787">
        <v>24301.84</v>
      </c>
      <c r="V139" s="787">
        <v>67637.570000000007</v>
      </c>
      <c r="W139" s="787">
        <v>0</v>
      </c>
      <c r="X139" s="787">
        <f t="shared" si="15"/>
        <v>145683.13</v>
      </c>
      <c r="Y139" s="787">
        <v>634907.82999999996</v>
      </c>
      <c r="Z139" s="787">
        <v>0</v>
      </c>
      <c r="AA139" s="787">
        <v>196350.78</v>
      </c>
      <c r="AB139" s="787">
        <v>52261.71</v>
      </c>
      <c r="AC139" s="787">
        <v>123449.7</v>
      </c>
      <c r="AD139" s="787">
        <v>82.82</v>
      </c>
      <c r="AE139" s="787">
        <v>10252.92</v>
      </c>
      <c r="AF139" s="787">
        <v>5998.94</v>
      </c>
      <c r="AG139" s="787">
        <v>5376.17</v>
      </c>
      <c r="AH139" s="787">
        <v>0</v>
      </c>
      <c r="AI139" s="787">
        <v>0</v>
      </c>
      <c r="AJ139" s="787">
        <v>87385.95</v>
      </c>
      <c r="AK139" s="787">
        <v>595.1</v>
      </c>
      <c r="AL139" s="787">
        <v>15291.8</v>
      </c>
      <c r="AM139" s="787">
        <v>3073.93</v>
      </c>
      <c r="AN139" s="787">
        <v>16906.310000000001</v>
      </c>
      <c r="AO139" s="787">
        <v>0</v>
      </c>
      <c r="AP139" s="787">
        <v>3281.7799999999997</v>
      </c>
      <c r="AQ139" s="787">
        <v>36743.9</v>
      </c>
      <c r="AR139" s="787">
        <v>0</v>
      </c>
      <c r="AS139" s="787">
        <v>0</v>
      </c>
      <c r="AT139" s="787">
        <v>0</v>
      </c>
      <c r="AU139" s="787">
        <v>0</v>
      </c>
      <c r="AV139" s="787">
        <v>4724.72</v>
      </c>
      <c r="AW139" s="787">
        <v>0</v>
      </c>
      <c r="AX139" s="787">
        <v>0</v>
      </c>
      <c r="AY139" s="787">
        <v>0</v>
      </c>
      <c r="AZ139" s="787">
        <v>67766.679999999993</v>
      </c>
      <c r="BA139" s="787">
        <v>6211.15</v>
      </c>
      <c r="BB139" s="787">
        <v>4378.5</v>
      </c>
      <c r="BC139" s="787">
        <v>84515.69</v>
      </c>
      <c r="BD139" s="787">
        <v>45662.36</v>
      </c>
      <c r="BE139" s="787">
        <v>2989.0000000000009</v>
      </c>
      <c r="BF139" s="787">
        <v>85329.53</v>
      </c>
      <c r="BG139" s="787">
        <v>0</v>
      </c>
      <c r="BH139" s="787">
        <v>0</v>
      </c>
      <c r="BI139" s="787">
        <v>0</v>
      </c>
      <c r="BJ139" s="787">
        <f t="shared" si="16"/>
        <v>1493537.2699999998</v>
      </c>
      <c r="BK139" s="787"/>
      <c r="BL139" s="787"/>
      <c r="BM139" s="787"/>
      <c r="BN139" s="787">
        <v>13637.67</v>
      </c>
      <c r="BO139" s="787">
        <v>0</v>
      </c>
      <c r="BP139" s="787">
        <v>0</v>
      </c>
      <c r="BQ139" s="787">
        <f t="shared" si="17"/>
        <v>13637.67</v>
      </c>
      <c r="BR139" s="787">
        <v>0</v>
      </c>
      <c r="BS139" s="787">
        <v>0</v>
      </c>
      <c r="BT139" s="787">
        <v>0</v>
      </c>
      <c r="BU139" s="787">
        <v>0</v>
      </c>
      <c r="BV139" s="787">
        <v>0</v>
      </c>
      <c r="BW139" s="787">
        <v>0</v>
      </c>
      <c r="BX139" s="787">
        <v>0</v>
      </c>
      <c r="BY139" s="787">
        <v>0</v>
      </c>
      <c r="BZ139" s="787">
        <f t="shared" si="18"/>
        <v>0</v>
      </c>
      <c r="CA139" s="787"/>
      <c r="CB139" s="787"/>
      <c r="CC139" s="787"/>
      <c r="CD139" s="787">
        <v>0</v>
      </c>
      <c r="CE139" s="787">
        <v>0</v>
      </c>
      <c r="CF139" s="787">
        <f t="shared" si="19"/>
        <v>0</v>
      </c>
      <c r="CG139" s="787">
        <v>0</v>
      </c>
      <c r="CH139" s="787">
        <v>0</v>
      </c>
      <c r="CI139" s="787">
        <f t="shared" si="20"/>
        <v>0</v>
      </c>
      <c r="CJ139" s="787"/>
      <c r="CK139" s="787"/>
      <c r="CL139" s="787"/>
      <c r="CM139" s="787"/>
      <c r="CN139" s="787"/>
      <c r="CO139" s="787"/>
      <c r="CP139" s="787"/>
      <c r="CQ139" s="787"/>
      <c r="CR139" s="787"/>
      <c r="CS139" s="787">
        <v>226471.17</v>
      </c>
      <c r="CT139" s="787">
        <v>52433.35</v>
      </c>
      <c r="CU139" s="787">
        <v>367.6</v>
      </c>
      <c r="CV139" s="787">
        <v>174405.42</v>
      </c>
      <c r="CW139" s="787">
        <v>0</v>
      </c>
      <c r="CX139" s="787">
        <v>5710.73</v>
      </c>
      <c r="CY139" s="787">
        <v>1782.21</v>
      </c>
      <c r="CZ139" s="787">
        <v>0</v>
      </c>
      <c r="DA139" s="787">
        <v>0</v>
      </c>
      <c r="DB139" s="787">
        <v>181898.36000000002</v>
      </c>
      <c r="DC139" s="787">
        <v>50626.9</v>
      </c>
      <c r="DD139" s="787">
        <v>0</v>
      </c>
      <c r="DE139" s="787">
        <v>0</v>
      </c>
      <c r="DF139" s="787">
        <v>50626.9</v>
      </c>
      <c r="DG139" s="787"/>
      <c r="DH139" s="787"/>
      <c r="DI139" s="787"/>
      <c r="DJ139" s="787">
        <v>0</v>
      </c>
      <c r="DK139" s="787">
        <v>50626.9</v>
      </c>
      <c r="DL139" s="787">
        <v>3633.66</v>
      </c>
      <c r="DM139" s="787">
        <v>3499.08</v>
      </c>
      <c r="DN139" s="787">
        <v>0</v>
      </c>
      <c r="DO139" s="787">
        <v>0</v>
      </c>
      <c r="DP139" s="787">
        <v>-13766.11</v>
      </c>
      <c r="DQ139" s="787">
        <v>-22444.59</v>
      </c>
      <c r="DR139" s="787">
        <v>0</v>
      </c>
      <c r="DS139" s="787">
        <v>0</v>
      </c>
      <c r="DT139" s="787">
        <v>-29077.96</v>
      </c>
      <c r="DU139" s="787">
        <v>4640.92</v>
      </c>
      <c r="DV139" s="787">
        <v>0</v>
      </c>
      <c r="DW139" s="787">
        <v>-39</v>
      </c>
      <c r="DX139" s="787">
        <v>0</v>
      </c>
      <c r="DY139" s="787">
        <v>0</v>
      </c>
      <c r="DZ139" s="787">
        <v>-100267.12</v>
      </c>
      <c r="EA139" s="787">
        <v>-0.18765134243585635</v>
      </c>
    </row>
    <row r="140" spans="1:131" ht="15.6">
      <c r="A140" s="782" t="s">
        <v>1433</v>
      </c>
      <c r="B140" s="782" t="s">
        <v>764</v>
      </c>
      <c r="C140" s="783">
        <v>3335</v>
      </c>
      <c r="D140" s="784" t="s">
        <v>765</v>
      </c>
      <c r="E140" s="785" t="s">
        <v>521</v>
      </c>
      <c r="F140" s="786">
        <v>46094</v>
      </c>
      <c r="G140" s="785" t="s">
        <v>5</v>
      </c>
      <c r="H140" s="785" t="str">
        <f t="shared" si="14"/>
        <v>AX05E</v>
      </c>
      <c r="I140" s="787">
        <v>0</v>
      </c>
      <c r="J140" s="787">
        <v>0</v>
      </c>
      <c r="K140" s="787">
        <v>0</v>
      </c>
      <c r="L140" s="787">
        <v>0</v>
      </c>
      <c r="M140" s="787">
        <v>0</v>
      </c>
      <c r="N140" s="787">
        <v>0</v>
      </c>
      <c r="O140" s="787">
        <v>0</v>
      </c>
      <c r="P140" s="787">
        <v>12000</v>
      </c>
      <c r="Q140" s="787">
        <v>26465</v>
      </c>
      <c r="R140" s="787">
        <v>0</v>
      </c>
      <c r="S140" s="787">
        <v>0</v>
      </c>
      <c r="T140" s="787">
        <v>0</v>
      </c>
      <c r="U140" s="787">
        <v>4075</v>
      </c>
      <c r="V140" s="787">
        <v>15000</v>
      </c>
      <c r="W140" s="787">
        <v>0</v>
      </c>
      <c r="X140" s="787">
        <f t="shared" si="15"/>
        <v>57540</v>
      </c>
      <c r="Y140" s="787">
        <v>741894.66999999993</v>
      </c>
      <c r="Z140" s="787">
        <v>0</v>
      </c>
      <c r="AA140" s="787">
        <v>163693.58000000002</v>
      </c>
      <c r="AB140" s="787">
        <v>57251.939999999995</v>
      </c>
      <c r="AC140" s="787">
        <v>128783.14</v>
      </c>
      <c r="AD140" s="787">
        <v>0</v>
      </c>
      <c r="AE140" s="787">
        <v>37125.420000000006</v>
      </c>
      <c r="AF140" s="787">
        <v>200</v>
      </c>
      <c r="AG140" s="787">
        <v>2200</v>
      </c>
      <c r="AH140" s="787">
        <v>0</v>
      </c>
      <c r="AI140" s="787">
        <v>0</v>
      </c>
      <c r="AJ140" s="787">
        <v>48865.8</v>
      </c>
      <c r="AK140" s="787">
        <v>5180</v>
      </c>
      <c r="AL140" s="787">
        <v>20633.52</v>
      </c>
      <c r="AM140" s="787">
        <v>4127.5600000000004</v>
      </c>
      <c r="AN140" s="787">
        <v>28622.68</v>
      </c>
      <c r="AO140" s="787">
        <v>0</v>
      </c>
      <c r="AP140" s="787">
        <v>50608.79</v>
      </c>
      <c r="AQ140" s="787">
        <v>62565.94</v>
      </c>
      <c r="AR140" s="787">
        <v>0</v>
      </c>
      <c r="AS140" s="787">
        <v>0</v>
      </c>
      <c r="AT140" s="787">
        <v>0</v>
      </c>
      <c r="AU140" s="787">
        <v>1020.75</v>
      </c>
      <c r="AV140" s="787">
        <v>0</v>
      </c>
      <c r="AW140" s="787">
        <v>0</v>
      </c>
      <c r="AX140" s="787">
        <v>0</v>
      </c>
      <c r="AY140" s="787">
        <v>0</v>
      </c>
      <c r="AZ140" s="787">
        <v>18924.34</v>
      </c>
      <c r="BA140" s="787">
        <v>0</v>
      </c>
      <c r="BB140" s="787">
        <v>4780</v>
      </c>
      <c r="BC140" s="787">
        <v>106647.28</v>
      </c>
      <c r="BD140" s="787">
        <v>151829.54999999999</v>
      </c>
      <c r="BE140" s="787">
        <v>17403.239999999998</v>
      </c>
      <c r="BF140" s="787">
        <v>173853.61</v>
      </c>
      <c r="BG140" s="787">
        <v>0</v>
      </c>
      <c r="BH140" s="787">
        <v>0</v>
      </c>
      <c r="BI140" s="787">
        <v>0</v>
      </c>
      <c r="BJ140" s="787">
        <f t="shared" si="16"/>
        <v>1826211.81</v>
      </c>
      <c r="BK140" s="787"/>
      <c r="BL140" s="787"/>
      <c r="BM140" s="787"/>
      <c r="BN140" s="787">
        <v>0</v>
      </c>
      <c r="BO140" s="787">
        <v>0</v>
      </c>
      <c r="BP140" s="787">
        <v>0</v>
      </c>
      <c r="BQ140" s="787">
        <f t="shared" si="17"/>
        <v>0</v>
      </c>
      <c r="BR140" s="787">
        <v>0</v>
      </c>
      <c r="BS140" s="787">
        <v>0</v>
      </c>
      <c r="BT140" s="787">
        <v>0</v>
      </c>
      <c r="BU140" s="787">
        <v>0</v>
      </c>
      <c r="BV140" s="787">
        <v>0</v>
      </c>
      <c r="BW140" s="787">
        <v>0</v>
      </c>
      <c r="BX140" s="787">
        <v>0</v>
      </c>
      <c r="BY140" s="787">
        <v>0</v>
      </c>
      <c r="BZ140" s="787">
        <f t="shared" si="18"/>
        <v>0</v>
      </c>
      <c r="CA140" s="787"/>
      <c r="CB140" s="787"/>
      <c r="CC140" s="787"/>
      <c r="CD140" s="787">
        <v>0</v>
      </c>
      <c r="CE140" s="787">
        <v>0</v>
      </c>
      <c r="CF140" s="787">
        <f t="shared" si="19"/>
        <v>0</v>
      </c>
      <c r="CG140" s="787">
        <v>0</v>
      </c>
      <c r="CH140" s="787">
        <v>0</v>
      </c>
      <c r="CI140" s="787">
        <f t="shared" si="20"/>
        <v>0</v>
      </c>
      <c r="CJ140" s="787"/>
      <c r="CK140" s="787"/>
      <c r="CL140" s="787"/>
      <c r="CM140" s="787"/>
      <c r="CN140" s="787"/>
      <c r="CO140" s="787"/>
      <c r="CP140" s="787"/>
      <c r="CQ140" s="787"/>
      <c r="CR140" s="787"/>
      <c r="CS140" s="787"/>
      <c r="CT140" s="787"/>
      <c r="CU140" s="787"/>
      <c r="CV140" s="787"/>
      <c r="CW140" s="787"/>
      <c r="CX140" s="787"/>
      <c r="CY140" s="787"/>
      <c r="CZ140" s="787"/>
      <c r="DA140" s="787"/>
      <c r="DB140" s="787"/>
      <c r="DC140" s="787"/>
      <c r="DD140" s="787"/>
      <c r="DE140" s="787"/>
      <c r="DF140" s="787"/>
      <c r="DG140" s="787"/>
      <c r="DH140" s="787"/>
      <c r="DI140" s="787"/>
      <c r="DJ140" s="787"/>
      <c r="DK140" s="787"/>
      <c r="DL140" s="787"/>
      <c r="DM140" s="787"/>
      <c r="DN140" s="787"/>
      <c r="DO140" s="787"/>
      <c r="DP140" s="787"/>
      <c r="DQ140" s="787"/>
      <c r="DR140" s="787"/>
      <c r="DS140" s="787"/>
      <c r="DT140" s="787"/>
      <c r="DU140" s="787"/>
      <c r="DV140" s="787"/>
      <c r="DW140" s="787"/>
      <c r="DX140" s="787"/>
      <c r="DY140" s="787"/>
      <c r="DZ140" s="787"/>
      <c r="EA140" s="787"/>
    </row>
    <row r="141" spans="1:131" ht="15.6">
      <c r="A141" s="782" t="s">
        <v>1434</v>
      </c>
      <c r="B141" s="782" t="s">
        <v>766</v>
      </c>
      <c r="C141" s="783">
        <v>2183</v>
      </c>
      <c r="D141" s="784" t="s">
        <v>767</v>
      </c>
      <c r="E141" s="785" t="s">
        <v>521</v>
      </c>
      <c r="F141" s="786">
        <v>46094</v>
      </c>
      <c r="G141" s="785" t="s">
        <v>5</v>
      </c>
      <c r="H141" s="785" t="str">
        <f t="shared" si="14"/>
        <v>AX05H</v>
      </c>
      <c r="I141" s="787">
        <v>0</v>
      </c>
      <c r="J141" s="787">
        <v>0</v>
      </c>
      <c r="K141" s="787">
        <v>0</v>
      </c>
      <c r="L141" s="787">
        <v>0</v>
      </c>
      <c r="M141" s="787">
        <v>0</v>
      </c>
      <c r="N141" s="787">
        <v>0</v>
      </c>
      <c r="O141" s="787">
        <v>0</v>
      </c>
      <c r="P141" s="787">
        <v>0</v>
      </c>
      <c r="Q141" s="787">
        <v>20535.71</v>
      </c>
      <c r="R141" s="787">
        <v>15005.45</v>
      </c>
      <c r="S141" s="787">
        <v>0</v>
      </c>
      <c r="T141" s="787">
        <v>0</v>
      </c>
      <c r="U141" s="787">
        <v>4877.1000000000004</v>
      </c>
      <c r="V141" s="787">
        <v>0</v>
      </c>
      <c r="W141" s="787">
        <v>0</v>
      </c>
      <c r="X141" s="787">
        <f t="shared" si="15"/>
        <v>40418.26</v>
      </c>
      <c r="Y141" s="787">
        <v>1241145.0799999998</v>
      </c>
      <c r="Z141" s="787">
        <v>0</v>
      </c>
      <c r="AA141" s="787">
        <v>407071.69999999995</v>
      </c>
      <c r="AB141" s="787">
        <v>133708.91</v>
      </c>
      <c r="AC141" s="787">
        <v>263938.57</v>
      </c>
      <c r="AD141" s="787">
        <v>0</v>
      </c>
      <c r="AE141" s="787">
        <v>88554.78</v>
      </c>
      <c r="AF141" s="787">
        <v>2520.46</v>
      </c>
      <c r="AG141" s="787">
        <v>7614</v>
      </c>
      <c r="AH141" s="787">
        <v>0</v>
      </c>
      <c r="AI141" s="787">
        <v>0</v>
      </c>
      <c r="AJ141" s="787">
        <v>37211.339999999997</v>
      </c>
      <c r="AK141" s="787">
        <v>0</v>
      </c>
      <c r="AL141" s="787">
        <v>1.0900000000000001</v>
      </c>
      <c r="AM141" s="787">
        <v>5408.75</v>
      </c>
      <c r="AN141" s="787">
        <v>35926.15</v>
      </c>
      <c r="AO141" s="787">
        <v>0</v>
      </c>
      <c r="AP141" s="787">
        <v>15594.330000000002</v>
      </c>
      <c r="AQ141" s="787">
        <v>125205.13583333332</v>
      </c>
      <c r="AR141" s="787">
        <v>0</v>
      </c>
      <c r="AS141" s="787">
        <v>0</v>
      </c>
      <c r="AT141" s="787">
        <v>0</v>
      </c>
      <c r="AU141" s="787">
        <v>0</v>
      </c>
      <c r="AV141" s="787">
        <v>0</v>
      </c>
      <c r="AW141" s="787">
        <v>0</v>
      </c>
      <c r="AX141" s="787">
        <v>24</v>
      </c>
      <c r="AY141" s="787">
        <v>0</v>
      </c>
      <c r="AZ141" s="787">
        <v>5223.04</v>
      </c>
      <c r="BA141" s="787">
        <v>0</v>
      </c>
      <c r="BB141" s="787">
        <v>2662</v>
      </c>
      <c r="BC141" s="787">
        <v>146434.97999999998</v>
      </c>
      <c r="BD141" s="787">
        <v>204950.06</v>
      </c>
      <c r="BE141" s="787">
        <v>14698.666666666666</v>
      </c>
      <c r="BF141" s="787">
        <v>101927.27</v>
      </c>
      <c r="BG141" s="787">
        <v>0</v>
      </c>
      <c r="BH141" s="787">
        <v>0</v>
      </c>
      <c r="BI141" s="787">
        <v>0</v>
      </c>
      <c r="BJ141" s="787">
        <f t="shared" si="16"/>
        <v>2839820.3124999991</v>
      </c>
      <c r="BK141" s="787"/>
      <c r="BL141" s="787"/>
      <c r="BM141" s="787"/>
      <c r="BN141" s="787">
        <v>0</v>
      </c>
      <c r="BO141" s="787">
        <v>0</v>
      </c>
      <c r="BP141" s="787">
        <v>0</v>
      </c>
      <c r="BQ141" s="787">
        <f t="shared" si="17"/>
        <v>0</v>
      </c>
      <c r="BR141" s="787">
        <v>0</v>
      </c>
      <c r="BS141" s="787">
        <v>0</v>
      </c>
      <c r="BT141" s="787">
        <v>0</v>
      </c>
      <c r="BU141" s="787">
        <v>0</v>
      </c>
      <c r="BV141" s="787">
        <v>0</v>
      </c>
      <c r="BW141" s="787">
        <v>0</v>
      </c>
      <c r="BX141" s="787">
        <v>8061</v>
      </c>
      <c r="BY141" s="787">
        <v>0</v>
      </c>
      <c r="BZ141" s="787">
        <f t="shared" si="18"/>
        <v>8061</v>
      </c>
      <c r="CA141" s="787"/>
      <c r="CB141" s="787"/>
      <c r="CC141" s="787"/>
      <c r="CD141" s="787">
        <v>0</v>
      </c>
      <c r="CE141" s="787">
        <v>0</v>
      </c>
      <c r="CF141" s="787">
        <f t="shared" si="19"/>
        <v>0</v>
      </c>
      <c r="CG141" s="787">
        <v>0</v>
      </c>
      <c r="CH141" s="787">
        <v>0</v>
      </c>
      <c r="CI141" s="787">
        <f t="shared" si="20"/>
        <v>0</v>
      </c>
      <c r="CJ141" s="787"/>
      <c r="CK141" s="787"/>
      <c r="CL141" s="787"/>
      <c r="CM141" s="787"/>
      <c r="CN141" s="787"/>
      <c r="CO141" s="787"/>
      <c r="CP141" s="787"/>
      <c r="CQ141" s="787"/>
      <c r="CR141" s="787"/>
      <c r="CS141" s="787">
        <v>773961.98</v>
      </c>
      <c r="CT141" s="787">
        <v>0</v>
      </c>
      <c r="CU141" s="787">
        <v>0</v>
      </c>
      <c r="CV141" s="787">
        <v>773961.98</v>
      </c>
      <c r="CW141" s="787">
        <v>6304.88</v>
      </c>
      <c r="CX141" s="787">
        <v>7205.31</v>
      </c>
      <c r="CY141" s="787">
        <v>714.63</v>
      </c>
      <c r="CZ141" s="787">
        <v>0</v>
      </c>
      <c r="DA141" s="787">
        <v>0</v>
      </c>
      <c r="DB141" s="787">
        <v>788186.8</v>
      </c>
      <c r="DC141" s="787">
        <v>0</v>
      </c>
      <c r="DD141" s="787">
        <v>0</v>
      </c>
      <c r="DE141" s="787">
        <v>0</v>
      </c>
      <c r="DF141" s="787">
        <v>0</v>
      </c>
      <c r="DG141" s="787"/>
      <c r="DH141" s="787"/>
      <c r="DI141" s="787"/>
      <c r="DJ141" s="787">
        <v>0</v>
      </c>
      <c r="DK141" s="787">
        <v>0</v>
      </c>
      <c r="DL141" s="787">
        <v>0</v>
      </c>
      <c r="DM141" s="787">
        <v>0</v>
      </c>
      <c r="DN141" s="787">
        <v>15551.36</v>
      </c>
      <c r="DO141" s="787">
        <v>0</v>
      </c>
      <c r="DP141" s="787">
        <v>-201328.35</v>
      </c>
      <c r="DQ141" s="787">
        <v>-40103.53</v>
      </c>
      <c r="DR141" s="787">
        <v>0</v>
      </c>
      <c r="DS141" s="787">
        <v>0</v>
      </c>
      <c r="DT141" s="787">
        <v>-225880.52</v>
      </c>
      <c r="DU141" s="787">
        <v>0</v>
      </c>
      <c r="DV141" s="787">
        <v>0</v>
      </c>
      <c r="DW141" s="787">
        <v>-1911.99</v>
      </c>
      <c r="DX141" s="787">
        <v>0</v>
      </c>
      <c r="DY141" s="787">
        <v>0</v>
      </c>
      <c r="DZ141" s="787">
        <v>-40156.94</v>
      </c>
      <c r="EA141" s="787">
        <v>-0.28594247094588354</v>
      </c>
    </row>
    <row r="142" spans="1:131" ht="15.6">
      <c r="A142" s="782" t="s">
        <v>1435</v>
      </c>
      <c r="B142" s="782" t="s">
        <v>768</v>
      </c>
      <c r="C142" s="783">
        <v>3372</v>
      </c>
      <c r="D142" s="784" t="s">
        <v>769</v>
      </c>
      <c r="E142" s="785" t="s">
        <v>521</v>
      </c>
      <c r="F142" s="786">
        <v>46094</v>
      </c>
      <c r="G142" s="785" t="s">
        <v>5</v>
      </c>
      <c r="H142" s="785" t="str">
        <f t="shared" si="14"/>
        <v>AX05J</v>
      </c>
      <c r="I142" s="787">
        <v>0</v>
      </c>
      <c r="J142" s="787">
        <v>0</v>
      </c>
      <c r="K142" s="787">
        <v>13000.006666666683</v>
      </c>
      <c r="L142" s="787">
        <v>0</v>
      </c>
      <c r="M142" s="787">
        <v>3000</v>
      </c>
      <c r="N142" s="787">
        <v>0</v>
      </c>
      <c r="O142" s="787">
        <v>0</v>
      </c>
      <c r="P142" s="787">
        <v>0</v>
      </c>
      <c r="Q142" s="787">
        <v>0</v>
      </c>
      <c r="R142" s="787">
        <v>31891.559999999998</v>
      </c>
      <c r="S142" s="787">
        <v>0</v>
      </c>
      <c r="T142" s="787">
        <v>0</v>
      </c>
      <c r="U142" s="787">
        <v>60209.14</v>
      </c>
      <c r="V142" s="787">
        <v>230722.01</v>
      </c>
      <c r="W142" s="787">
        <v>0</v>
      </c>
      <c r="X142" s="787">
        <f t="shared" si="15"/>
        <v>338822.71666666667</v>
      </c>
      <c r="Y142" s="787">
        <v>2233544.2399999998</v>
      </c>
      <c r="Z142" s="787">
        <v>0</v>
      </c>
      <c r="AA142" s="787">
        <v>679568.54</v>
      </c>
      <c r="AB142" s="787">
        <v>9774.64</v>
      </c>
      <c r="AC142" s="787">
        <v>369527.67</v>
      </c>
      <c r="AD142" s="787">
        <v>0</v>
      </c>
      <c r="AE142" s="787">
        <v>129352.35999999999</v>
      </c>
      <c r="AF142" s="787">
        <v>15924.09</v>
      </c>
      <c r="AG142" s="787">
        <v>29124.27</v>
      </c>
      <c r="AH142" s="787">
        <v>0</v>
      </c>
      <c r="AI142" s="787">
        <v>18220.87</v>
      </c>
      <c r="AJ142" s="787">
        <v>76913.680000000008</v>
      </c>
      <c r="AK142" s="787">
        <v>0</v>
      </c>
      <c r="AL142" s="787">
        <v>70986.960000000006</v>
      </c>
      <c r="AM142" s="787">
        <v>7620.68</v>
      </c>
      <c r="AN142" s="787">
        <v>24374.09</v>
      </c>
      <c r="AO142" s="787">
        <v>0</v>
      </c>
      <c r="AP142" s="787">
        <v>19126.620000000003</v>
      </c>
      <c r="AQ142" s="787">
        <v>266131.77</v>
      </c>
      <c r="AR142" s="787">
        <v>65</v>
      </c>
      <c r="AS142" s="787">
        <v>0</v>
      </c>
      <c r="AT142" s="787">
        <v>19373.240000000002</v>
      </c>
      <c r="AU142" s="787">
        <v>0</v>
      </c>
      <c r="AV142" s="787">
        <v>0</v>
      </c>
      <c r="AW142" s="787">
        <v>10271.299999999999</v>
      </c>
      <c r="AX142" s="787">
        <v>1858</v>
      </c>
      <c r="AY142" s="787">
        <v>0</v>
      </c>
      <c r="AZ142" s="787">
        <v>60402.06</v>
      </c>
      <c r="BA142" s="787">
        <v>0</v>
      </c>
      <c r="BB142" s="787">
        <v>12000</v>
      </c>
      <c r="BC142" s="787">
        <v>254051.7</v>
      </c>
      <c r="BD142" s="787">
        <v>110805.36</v>
      </c>
      <c r="BE142" s="787">
        <v>75359.99000000002</v>
      </c>
      <c r="BF142" s="787">
        <v>132621.54999999999</v>
      </c>
      <c r="BG142" s="787">
        <v>0</v>
      </c>
      <c r="BH142" s="787">
        <v>0</v>
      </c>
      <c r="BI142" s="787">
        <v>0</v>
      </c>
      <c r="BJ142" s="787">
        <f t="shared" si="16"/>
        <v>4626998.6800000006</v>
      </c>
      <c r="BK142" s="787"/>
      <c r="BL142" s="787"/>
      <c r="BM142" s="787"/>
      <c r="BN142" s="787">
        <v>0</v>
      </c>
      <c r="BO142" s="787">
        <v>0</v>
      </c>
      <c r="BP142" s="787">
        <v>0</v>
      </c>
      <c r="BQ142" s="787">
        <f t="shared" si="17"/>
        <v>0</v>
      </c>
      <c r="BR142" s="787">
        <v>0</v>
      </c>
      <c r="BS142" s="787">
        <v>0</v>
      </c>
      <c r="BT142" s="787">
        <v>0</v>
      </c>
      <c r="BU142" s="787">
        <v>0</v>
      </c>
      <c r="BV142" s="787">
        <v>0</v>
      </c>
      <c r="BW142" s="787">
        <v>0</v>
      </c>
      <c r="BX142" s="787">
        <v>0</v>
      </c>
      <c r="BY142" s="787">
        <v>0</v>
      </c>
      <c r="BZ142" s="787">
        <f t="shared" si="18"/>
        <v>0</v>
      </c>
      <c r="CA142" s="787"/>
      <c r="CB142" s="787"/>
      <c r="CC142" s="787"/>
      <c r="CD142" s="787">
        <v>0</v>
      </c>
      <c r="CE142" s="787">
        <v>0</v>
      </c>
      <c r="CF142" s="787">
        <f t="shared" si="19"/>
        <v>0</v>
      </c>
      <c r="CG142" s="787">
        <v>0</v>
      </c>
      <c r="CH142" s="787">
        <v>0</v>
      </c>
      <c r="CI142" s="787">
        <f t="shared" si="20"/>
        <v>0</v>
      </c>
      <c r="CJ142" s="787"/>
      <c r="CK142" s="787"/>
      <c r="CL142" s="787"/>
      <c r="CM142" s="787"/>
      <c r="CN142" s="787"/>
      <c r="CO142" s="787"/>
      <c r="CP142" s="787"/>
      <c r="CQ142" s="787"/>
      <c r="CR142" s="787"/>
      <c r="CS142" s="787">
        <v>674347.4</v>
      </c>
      <c r="CT142" s="787">
        <v>7177.96</v>
      </c>
      <c r="CU142" s="787">
        <v>0</v>
      </c>
      <c r="CV142" s="787">
        <v>667169.44000000006</v>
      </c>
      <c r="CW142" s="787">
        <v>0</v>
      </c>
      <c r="CX142" s="787">
        <v>8885.2099999999991</v>
      </c>
      <c r="CY142" s="787">
        <v>5084.46</v>
      </c>
      <c r="CZ142" s="787">
        <v>0</v>
      </c>
      <c r="DA142" s="787">
        <v>0</v>
      </c>
      <c r="DB142" s="787">
        <v>681139.11</v>
      </c>
      <c r="DC142" s="787">
        <v>0</v>
      </c>
      <c r="DD142" s="787">
        <v>0</v>
      </c>
      <c r="DE142" s="787">
        <v>0</v>
      </c>
      <c r="DF142" s="787">
        <v>0</v>
      </c>
      <c r="DG142" s="787"/>
      <c r="DH142" s="787"/>
      <c r="DI142" s="787"/>
      <c r="DJ142" s="787">
        <v>0</v>
      </c>
      <c r="DK142" s="787">
        <v>0</v>
      </c>
      <c r="DL142" s="787">
        <v>0</v>
      </c>
      <c r="DM142" s="787">
        <v>0</v>
      </c>
      <c r="DN142" s="787">
        <v>0</v>
      </c>
      <c r="DO142" s="787">
        <v>0</v>
      </c>
      <c r="DP142" s="787">
        <v>-322424.24</v>
      </c>
      <c r="DQ142" s="787">
        <v>-70718.09</v>
      </c>
      <c r="DR142" s="787">
        <v>0</v>
      </c>
      <c r="DS142" s="787">
        <v>0</v>
      </c>
      <c r="DT142" s="787">
        <v>-393142.32999999996</v>
      </c>
      <c r="DU142" s="787">
        <v>0</v>
      </c>
      <c r="DV142" s="787">
        <v>0</v>
      </c>
      <c r="DW142" s="787">
        <v>0</v>
      </c>
      <c r="DX142" s="787">
        <v>0</v>
      </c>
      <c r="DY142" s="787">
        <v>0</v>
      </c>
      <c r="DZ142" s="787">
        <v>-68555.78</v>
      </c>
      <c r="EA142" s="787">
        <v>-0.22697796559077688</v>
      </c>
    </row>
    <row r="143" spans="1:131" ht="15.6">
      <c r="A143" s="782" t="s">
        <v>1436</v>
      </c>
      <c r="B143" s="782" t="s">
        <v>770</v>
      </c>
      <c r="C143" s="783">
        <v>3375</v>
      </c>
      <c r="D143" s="784" t="s">
        <v>771</v>
      </c>
      <c r="E143" s="785" t="s">
        <v>521</v>
      </c>
      <c r="F143" s="786">
        <v>46100</v>
      </c>
      <c r="G143" s="785" t="s">
        <v>5</v>
      </c>
      <c r="H143" s="785" t="str">
        <f t="shared" si="14"/>
        <v>AX05K</v>
      </c>
      <c r="I143" s="787">
        <v>0</v>
      </c>
      <c r="J143" s="787">
        <v>0</v>
      </c>
      <c r="K143" s="787">
        <v>0</v>
      </c>
      <c r="L143" s="787">
        <v>0</v>
      </c>
      <c r="M143" s="787">
        <v>0</v>
      </c>
      <c r="N143" s="787">
        <v>0</v>
      </c>
      <c r="O143" s="787">
        <v>0</v>
      </c>
      <c r="P143" s="787">
        <v>0</v>
      </c>
      <c r="Q143" s="787">
        <v>51352.92</v>
      </c>
      <c r="R143" s="787">
        <v>30430.21</v>
      </c>
      <c r="S143" s="787">
        <v>0</v>
      </c>
      <c r="T143" s="787">
        <v>0</v>
      </c>
      <c r="U143" s="787">
        <v>26813.5</v>
      </c>
      <c r="V143" s="787">
        <v>0</v>
      </c>
      <c r="W143" s="787">
        <v>0</v>
      </c>
      <c r="X143" s="787">
        <f t="shared" si="15"/>
        <v>108596.63</v>
      </c>
      <c r="Y143" s="787">
        <v>1434905.56</v>
      </c>
      <c r="Z143" s="787">
        <v>20594.439999999999</v>
      </c>
      <c r="AA143" s="787">
        <v>388594.12</v>
      </c>
      <c r="AB143" s="787">
        <v>104999.31</v>
      </c>
      <c r="AC143" s="787">
        <v>89325.21</v>
      </c>
      <c r="AD143" s="787">
        <v>0</v>
      </c>
      <c r="AE143" s="787">
        <v>68817.350000000006</v>
      </c>
      <c r="AF143" s="787">
        <v>1723.29</v>
      </c>
      <c r="AG143" s="787">
        <v>6235</v>
      </c>
      <c r="AH143" s="787">
        <v>0</v>
      </c>
      <c r="AI143" s="787">
        <v>0</v>
      </c>
      <c r="AJ143" s="787">
        <v>42442.48</v>
      </c>
      <c r="AK143" s="787">
        <v>19858.59</v>
      </c>
      <c r="AL143" s="787">
        <v>1415.91</v>
      </c>
      <c r="AM143" s="787">
        <v>10291.48</v>
      </c>
      <c r="AN143" s="787">
        <v>28342.79</v>
      </c>
      <c r="AO143" s="787">
        <v>0</v>
      </c>
      <c r="AP143" s="787">
        <v>10557.74</v>
      </c>
      <c r="AQ143" s="787">
        <v>113774.34</v>
      </c>
      <c r="AR143" s="787">
        <v>9582.27</v>
      </c>
      <c r="AS143" s="787">
        <v>0</v>
      </c>
      <c r="AT143" s="787">
        <v>0</v>
      </c>
      <c r="AU143" s="787">
        <v>0</v>
      </c>
      <c r="AV143" s="787">
        <v>6381.48</v>
      </c>
      <c r="AW143" s="787">
        <v>0</v>
      </c>
      <c r="AX143" s="787">
        <v>0</v>
      </c>
      <c r="AY143" s="787">
        <v>0</v>
      </c>
      <c r="AZ143" s="787">
        <v>31230.05</v>
      </c>
      <c r="BA143" s="787">
        <v>8361.4199999999983</v>
      </c>
      <c r="BB143" s="787">
        <v>0</v>
      </c>
      <c r="BC143" s="787">
        <v>228075.18</v>
      </c>
      <c r="BD143" s="787">
        <v>16840.61</v>
      </c>
      <c r="BE143" s="787">
        <v>14984.479999999998</v>
      </c>
      <c r="BF143" s="787">
        <v>124638.35</v>
      </c>
      <c r="BG143" s="787">
        <v>0</v>
      </c>
      <c r="BH143" s="787">
        <v>0</v>
      </c>
      <c r="BI143" s="787">
        <v>0</v>
      </c>
      <c r="BJ143" s="787">
        <f t="shared" si="16"/>
        <v>2781971.45</v>
      </c>
      <c r="BK143" s="787"/>
      <c r="BL143" s="787"/>
      <c r="BM143" s="787"/>
      <c r="BN143" s="787">
        <v>0</v>
      </c>
      <c r="BO143" s="787">
        <v>0</v>
      </c>
      <c r="BP143" s="787">
        <v>0</v>
      </c>
      <c r="BQ143" s="787">
        <f t="shared" si="17"/>
        <v>0</v>
      </c>
      <c r="BR143" s="787">
        <v>0</v>
      </c>
      <c r="BS143" s="787">
        <v>0</v>
      </c>
      <c r="BT143" s="787">
        <v>0</v>
      </c>
      <c r="BU143" s="787">
        <v>0</v>
      </c>
      <c r="BV143" s="787">
        <v>0</v>
      </c>
      <c r="BW143" s="787">
        <v>0</v>
      </c>
      <c r="BX143" s="787">
        <v>0</v>
      </c>
      <c r="BY143" s="787">
        <v>0</v>
      </c>
      <c r="BZ143" s="787">
        <f t="shared" si="18"/>
        <v>0</v>
      </c>
      <c r="CA143" s="787"/>
      <c r="CB143" s="787"/>
      <c r="CC143" s="787"/>
      <c r="CD143" s="787">
        <v>0</v>
      </c>
      <c r="CE143" s="787">
        <v>0</v>
      </c>
      <c r="CF143" s="787">
        <f t="shared" si="19"/>
        <v>0</v>
      </c>
      <c r="CG143" s="787">
        <v>0</v>
      </c>
      <c r="CH143" s="787">
        <v>0</v>
      </c>
      <c r="CI143" s="787">
        <f t="shared" si="20"/>
        <v>0</v>
      </c>
      <c r="CJ143" s="787"/>
      <c r="CK143" s="787"/>
      <c r="CL143" s="787"/>
      <c r="CM143" s="787"/>
      <c r="CN143" s="787"/>
      <c r="CO143" s="787"/>
      <c r="CP143" s="787"/>
      <c r="CQ143" s="787"/>
      <c r="CR143" s="787"/>
      <c r="CS143" s="787">
        <v>718248.84</v>
      </c>
      <c r="CT143" s="787">
        <v>202031.81</v>
      </c>
      <c r="CU143" s="787">
        <v>1436.08</v>
      </c>
      <c r="CV143" s="787">
        <v>517653.11</v>
      </c>
      <c r="CW143" s="787">
        <v>0</v>
      </c>
      <c r="CX143" s="787">
        <v>2705.51</v>
      </c>
      <c r="CY143" s="787">
        <v>2303.29</v>
      </c>
      <c r="CZ143" s="787">
        <v>0</v>
      </c>
      <c r="DA143" s="787">
        <v>0</v>
      </c>
      <c r="DB143" s="787">
        <v>522661.91</v>
      </c>
      <c r="DC143" s="787">
        <v>0</v>
      </c>
      <c r="DD143" s="787">
        <v>0</v>
      </c>
      <c r="DE143" s="787">
        <v>0</v>
      </c>
      <c r="DF143" s="787">
        <v>0</v>
      </c>
      <c r="DG143" s="787"/>
      <c r="DH143" s="787"/>
      <c r="DI143" s="787"/>
      <c r="DJ143" s="787">
        <v>0</v>
      </c>
      <c r="DK143" s="787">
        <v>0</v>
      </c>
      <c r="DL143" s="787">
        <v>0</v>
      </c>
      <c r="DM143" s="787">
        <v>0</v>
      </c>
      <c r="DN143" s="787">
        <v>0</v>
      </c>
      <c r="DO143" s="787">
        <v>0</v>
      </c>
      <c r="DP143" s="787">
        <v>0</v>
      </c>
      <c r="DQ143" s="787">
        <v>-49277.59</v>
      </c>
      <c r="DR143" s="787">
        <v>0</v>
      </c>
      <c r="DS143" s="787">
        <v>0</v>
      </c>
      <c r="DT143" s="787">
        <v>-49277.59</v>
      </c>
      <c r="DU143" s="787">
        <v>0</v>
      </c>
      <c r="DV143" s="787">
        <v>0</v>
      </c>
      <c r="DW143" s="787">
        <v>0</v>
      </c>
      <c r="DX143" s="787">
        <v>0</v>
      </c>
      <c r="DY143" s="787">
        <v>0</v>
      </c>
      <c r="DZ143" s="787">
        <v>-35220.839999999997</v>
      </c>
      <c r="EA143" s="787">
        <v>0.47181664349045604</v>
      </c>
    </row>
    <row r="144" spans="1:131" ht="15.6">
      <c r="A144" s="782" t="s">
        <v>1437</v>
      </c>
      <c r="B144" s="782" t="s">
        <v>772</v>
      </c>
      <c r="C144" s="783">
        <v>3331</v>
      </c>
      <c r="D144" s="784" t="s">
        <v>773</v>
      </c>
      <c r="E144" s="785" t="s">
        <v>521</v>
      </c>
      <c r="F144" s="786" t="s">
        <v>1315</v>
      </c>
      <c r="G144" s="785" t="s">
        <v>5</v>
      </c>
      <c r="H144" s="785" t="str">
        <f t="shared" si="14"/>
        <v>AX05L</v>
      </c>
      <c r="I144" s="787">
        <v>0</v>
      </c>
      <c r="J144" s="787">
        <v>0</v>
      </c>
      <c r="K144" s="787">
        <v>0</v>
      </c>
      <c r="L144" s="787">
        <v>0</v>
      </c>
      <c r="M144" s="787">
        <v>0</v>
      </c>
      <c r="N144" s="787">
        <v>0</v>
      </c>
      <c r="O144" s="787">
        <v>0</v>
      </c>
      <c r="P144" s="787">
        <v>0</v>
      </c>
      <c r="Q144" s="787">
        <v>54145.56</v>
      </c>
      <c r="R144" s="787">
        <v>20191.150000000001</v>
      </c>
      <c r="S144" s="787">
        <v>0</v>
      </c>
      <c r="T144" s="787">
        <v>0</v>
      </c>
      <c r="U144" s="787">
        <v>16613.830000000002</v>
      </c>
      <c r="V144" s="787">
        <v>0</v>
      </c>
      <c r="W144" s="787">
        <v>0</v>
      </c>
      <c r="X144" s="787">
        <f t="shared" si="15"/>
        <v>90950.54</v>
      </c>
      <c r="Y144" s="787">
        <v>855504.9</v>
      </c>
      <c r="Z144" s="787">
        <v>0</v>
      </c>
      <c r="AA144" s="787">
        <v>277354.95999999996</v>
      </c>
      <c r="AB144" s="787">
        <v>58521.96</v>
      </c>
      <c r="AC144" s="787">
        <v>96040.5</v>
      </c>
      <c r="AD144" s="787">
        <v>0</v>
      </c>
      <c r="AE144" s="787">
        <v>55676.14</v>
      </c>
      <c r="AF144" s="787">
        <v>5950</v>
      </c>
      <c r="AG144" s="787">
        <v>6440.25</v>
      </c>
      <c r="AH144" s="787">
        <v>0</v>
      </c>
      <c r="AI144" s="787">
        <v>0</v>
      </c>
      <c r="AJ144" s="787">
        <v>19360.650000000001</v>
      </c>
      <c r="AK144" s="787">
        <v>0</v>
      </c>
      <c r="AL144" s="787">
        <v>1838.13</v>
      </c>
      <c r="AM144" s="787">
        <v>6577.68</v>
      </c>
      <c r="AN144" s="787">
        <v>11874.59</v>
      </c>
      <c r="AO144" s="787">
        <v>0</v>
      </c>
      <c r="AP144" s="787">
        <v>4234.6400000000003</v>
      </c>
      <c r="AQ144" s="787">
        <v>29394.29</v>
      </c>
      <c r="AR144" s="787">
        <v>0</v>
      </c>
      <c r="AS144" s="787">
        <v>0</v>
      </c>
      <c r="AT144" s="787">
        <v>8603.9599999999991</v>
      </c>
      <c r="AU144" s="787">
        <v>0</v>
      </c>
      <c r="AV144" s="787">
        <v>0</v>
      </c>
      <c r="AW144" s="787">
        <v>0</v>
      </c>
      <c r="AX144" s="787">
        <v>0</v>
      </c>
      <c r="AY144" s="787">
        <v>0</v>
      </c>
      <c r="AZ144" s="787">
        <v>2535.12</v>
      </c>
      <c r="BA144" s="787">
        <v>18638.55</v>
      </c>
      <c r="BB144" s="787">
        <v>4492</v>
      </c>
      <c r="BC144" s="787">
        <v>152037.35</v>
      </c>
      <c r="BD144" s="787">
        <v>27150.77</v>
      </c>
      <c r="BE144" s="787">
        <v>8773.2000000000007</v>
      </c>
      <c r="BF144" s="787">
        <v>103659.83</v>
      </c>
      <c r="BG144" s="787">
        <v>0</v>
      </c>
      <c r="BH144" s="787">
        <v>0</v>
      </c>
      <c r="BI144" s="787">
        <v>0</v>
      </c>
      <c r="BJ144" s="787">
        <f t="shared" si="16"/>
        <v>1754659.4699999997</v>
      </c>
      <c r="BK144" s="787"/>
      <c r="BL144" s="787"/>
      <c r="BM144" s="787"/>
      <c r="BN144" s="787">
        <v>15706.95</v>
      </c>
      <c r="BO144" s="787">
        <v>0</v>
      </c>
      <c r="BP144" s="787">
        <v>0</v>
      </c>
      <c r="BQ144" s="787">
        <f t="shared" si="17"/>
        <v>15706.95</v>
      </c>
      <c r="BR144" s="787">
        <v>0</v>
      </c>
      <c r="BS144" s="787">
        <v>0</v>
      </c>
      <c r="BT144" s="787">
        <v>0</v>
      </c>
      <c r="BU144" s="787">
        <v>0</v>
      </c>
      <c r="BV144" s="787">
        <v>0</v>
      </c>
      <c r="BW144" s="787">
        <v>0</v>
      </c>
      <c r="BX144" s="787">
        <v>0</v>
      </c>
      <c r="BY144" s="787">
        <v>0</v>
      </c>
      <c r="BZ144" s="787">
        <f t="shared" si="18"/>
        <v>0</v>
      </c>
      <c r="CA144" s="787"/>
      <c r="CB144" s="787"/>
      <c r="CC144" s="787"/>
      <c r="CD144" s="787">
        <v>0</v>
      </c>
      <c r="CE144" s="787">
        <v>0</v>
      </c>
      <c r="CF144" s="787">
        <f t="shared" si="19"/>
        <v>0</v>
      </c>
      <c r="CG144" s="787">
        <v>0</v>
      </c>
      <c r="CH144" s="787">
        <v>0</v>
      </c>
      <c r="CI144" s="787">
        <f t="shared" si="20"/>
        <v>0</v>
      </c>
      <c r="CJ144" s="787"/>
      <c r="CK144" s="787"/>
      <c r="CL144" s="787"/>
      <c r="CM144" s="787"/>
      <c r="CN144" s="787"/>
      <c r="CO144" s="787"/>
      <c r="CP144" s="787"/>
      <c r="CQ144" s="787"/>
      <c r="CR144" s="787"/>
      <c r="CS144" s="787"/>
      <c r="CT144" s="787"/>
      <c r="CU144" s="787"/>
      <c r="CV144" s="787"/>
      <c r="CW144" s="787"/>
      <c r="CX144" s="787"/>
      <c r="CY144" s="787"/>
      <c r="CZ144" s="787"/>
      <c r="DA144" s="787"/>
      <c r="DB144" s="787"/>
      <c r="DC144" s="787"/>
      <c r="DD144" s="787"/>
      <c r="DE144" s="787"/>
      <c r="DF144" s="787"/>
      <c r="DG144" s="787"/>
      <c r="DH144" s="787"/>
      <c r="DI144" s="787"/>
      <c r="DJ144" s="787"/>
      <c r="DK144" s="787"/>
      <c r="DL144" s="787"/>
      <c r="DM144" s="787"/>
      <c r="DN144" s="787"/>
      <c r="DO144" s="787"/>
      <c r="DP144" s="787"/>
      <c r="DQ144" s="787"/>
      <c r="DR144" s="787"/>
      <c r="DS144" s="787"/>
      <c r="DT144" s="787"/>
      <c r="DU144" s="787"/>
      <c r="DV144" s="787"/>
      <c r="DW144" s="787"/>
      <c r="DX144" s="787"/>
      <c r="DY144" s="787"/>
      <c r="DZ144" s="787"/>
      <c r="EA144" s="787"/>
    </row>
    <row r="145" spans="1:131" ht="15.6">
      <c r="A145" s="782" t="s">
        <v>1438</v>
      </c>
      <c r="B145" s="782" t="s">
        <v>774</v>
      </c>
      <c r="C145" s="783">
        <v>3386</v>
      </c>
      <c r="D145" s="784" t="s">
        <v>775</v>
      </c>
      <c r="E145" s="785" t="s">
        <v>521</v>
      </c>
      <c r="F145" s="786">
        <v>46094</v>
      </c>
      <c r="G145" s="785" t="s">
        <v>5</v>
      </c>
      <c r="H145" s="785" t="str">
        <f t="shared" si="14"/>
        <v>AX05P</v>
      </c>
      <c r="I145" s="787">
        <v>0</v>
      </c>
      <c r="J145" s="787">
        <v>0</v>
      </c>
      <c r="K145" s="787">
        <v>0</v>
      </c>
      <c r="L145" s="787">
        <v>0</v>
      </c>
      <c r="M145" s="787">
        <v>3400</v>
      </c>
      <c r="N145" s="787">
        <v>0</v>
      </c>
      <c r="O145" s="787">
        <v>0</v>
      </c>
      <c r="P145" s="787">
        <v>0</v>
      </c>
      <c r="Q145" s="787">
        <v>13972.25</v>
      </c>
      <c r="R145" s="787">
        <v>0</v>
      </c>
      <c r="S145" s="787">
        <v>0</v>
      </c>
      <c r="T145" s="787">
        <v>0</v>
      </c>
      <c r="U145" s="787">
        <v>19135.330000000002</v>
      </c>
      <c r="V145" s="787">
        <v>1914.26</v>
      </c>
      <c r="W145" s="787">
        <v>0</v>
      </c>
      <c r="X145" s="787">
        <f t="shared" si="15"/>
        <v>38421.840000000004</v>
      </c>
      <c r="Y145" s="787">
        <v>823325.33</v>
      </c>
      <c r="Z145" s="787">
        <v>0</v>
      </c>
      <c r="AA145" s="787">
        <v>439332.24</v>
      </c>
      <c r="AB145" s="787">
        <v>65605.540000000008</v>
      </c>
      <c r="AC145" s="787">
        <v>86936.07</v>
      </c>
      <c r="AD145" s="787">
        <v>0</v>
      </c>
      <c r="AE145" s="787">
        <v>37598.76</v>
      </c>
      <c r="AF145" s="787">
        <v>3402.56</v>
      </c>
      <c r="AG145" s="787">
        <v>2054.8000000000002</v>
      </c>
      <c r="AH145" s="787">
        <v>0</v>
      </c>
      <c r="AI145" s="787">
        <v>0</v>
      </c>
      <c r="AJ145" s="787">
        <v>31694.81</v>
      </c>
      <c r="AK145" s="787">
        <v>0</v>
      </c>
      <c r="AL145" s="787">
        <v>4309.9799999999996</v>
      </c>
      <c r="AM145" s="787">
        <v>4256.43</v>
      </c>
      <c r="AN145" s="787">
        <v>35480.14</v>
      </c>
      <c r="AO145" s="787">
        <v>0</v>
      </c>
      <c r="AP145" s="787">
        <v>7849.58</v>
      </c>
      <c r="AQ145" s="787">
        <v>913.87999999999784</v>
      </c>
      <c r="AR145" s="787">
        <v>0</v>
      </c>
      <c r="AS145" s="787">
        <v>0</v>
      </c>
      <c r="AT145" s="787">
        <v>0</v>
      </c>
      <c r="AU145" s="787">
        <v>0</v>
      </c>
      <c r="AV145" s="787">
        <v>0</v>
      </c>
      <c r="AW145" s="787">
        <v>0</v>
      </c>
      <c r="AX145" s="787">
        <v>387</v>
      </c>
      <c r="AY145" s="787">
        <v>0</v>
      </c>
      <c r="AZ145" s="787">
        <v>55872.01</v>
      </c>
      <c r="BA145" s="787">
        <v>5830.6</v>
      </c>
      <c r="BB145" s="787">
        <v>4356</v>
      </c>
      <c r="BC145" s="787">
        <v>160752.15</v>
      </c>
      <c r="BD145" s="787">
        <v>16763.46</v>
      </c>
      <c r="BE145" s="787">
        <v>0</v>
      </c>
      <c r="BF145" s="787">
        <v>164107.5</v>
      </c>
      <c r="BG145" s="787">
        <v>0</v>
      </c>
      <c r="BH145" s="787">
        <v>0</v>
      </c>
      <c r="BI145" s="787">
        <v>0</v>
      </c>
      <c r="BJ145" s="787">
        <f t="shared" si="16"/>
        <v>1950828.8399999999</v>
      </c>
      <c r="BK145" s="787"/>
      <c r="BL145" s="787"/>
      <c r="BM145" s="787"/>
      <c r="BN145" s="787">
        <v>10417.98</v>
      </c>
      <c r="BO145" s="787">
        <v>0</v>
      </c>
      <c r="BP145" s="787">
        <v>0</v>
      </c>
      <c r="BQ145" s="787">
        <f t="shared" si="17"/>
        <v>10417.98</v>
      </c>
      <c r="BR145" s="787">
        <v>0</v>
      </c>
      <c r="BS145" s="787">
        <v>0</v>
      </c>
      <c r="BT145" s="787">
        <v>0</v>
      </c>
      <c r="BU145" s="787">
        <v>0</v>
      </c>
      <c r="BV145" s="787">
        <v>0</v>
      </c>
      <c r="BW145" s="787">
        <v>0</v>
      </c>
      <c r="BX145" s="787">
        <v>8999.7800000000007</v>
      </c>
      <c r="BY145" s="787">
        <v>0</v>
      </c>
      <c r="BZ145" s="787">
        <f t="shared" si="18"/>
        <v>8999.7800000000007</v>
      </c>
      <c r="CA145" s="787"/>
      <c r="CB145" s="787"/>
      <c r="CC145" s="787"/>
      <c r="CD145" s="787">
        <v>0</v>
      </c>
      <c r="CE145" s="787">
        <v>0</v>
      </c>
      <c r="CF145" s="787">
        <f t="shared" si="19"/>
        <v>0</v>
      </c>
      <c r="CG145" s="787">
        <v>0</v>
      </c>
      <c r="CH145" s="787">
        <v>0</v>
      </c>
      <c r="CI145" s="787">
        <f t="shared" si="20"/>
        <v>0</v>
      </c>
      <c r="CJ145" s="787"/>
      <c r="CK145" s="787"/>
      <c r="CL145" s="787"/>
      <c r="CM145" s="787"/>
      <c r="CN145" s="787"/>
      <c r="CO145" s="787"/>
      <c r="CP145" s="787"/>
      <c r="CQ145" s="787"/>
      <c r="CR145" s="787"/>
      <c r="CS145" s="787">
        <v>348387.94</v>
      </c>
      <c r="CT145" s="787">
        <v>0</v>
      </c>
      <c r="CU145" s="787">
        <v>0</v>
      </c>
      <c r="CV145" s="787">
        <v>348387.94</v>
      </c>
      <c r="CW145" s="787">
        <v>0</v>
      </c>
      <c r="CX145" s="787">
        <v>0</v>
      </c>
      <c r="CY145" s="787">
        <v>6209.58</v>
      </c>
      <c r="CZ145" s="787">
        <v>0</v>
      </c>
      <c r="DA145" s="787">
        <v>0</v>
      </c>
      <c r="DB145" s="787">
        <v>354597.52</v>
      </c>
      <c r="DC145" s="787">
        <v>0</v>
      </c>
      <c r="DD145" s="787">
        <v>0</v>
      </c>
      <c r="DE145" s="787">
        <v>0</v>
      </c>
      <c r="DF145" s="787">
        <v>0</v>
      </c>
      <c r="DG145" s="787"/>
      <c r="DH145" s="787"/>
      <c r="DI145" s="787"/>
      <c r="DJ145" s="787">
        <v>0</v>
      </c>
      <c r="DK145" s="787">
        <v>0</v>
      </c>
      <c r="DL145" s="787">
        <v>0</v>
      </c>
      <c r="DM145" s="787">
        <v>0</v>
      </c>
      <c r="DN145" s="787">
        <v>0</v>
      </c>
      <c r="DO145" s="787">
        <v>0</v>
      </c>
      <c r="DP145" s="787">
        <v>-134174.85999999999</v>
      </c>
      <c r="DQ145" s="787">
        <v>-31125.74</v>
      </c>
      <c r="DR145" s="787">
        <v>0</v>
      </c>
      <c r="DS145" s="787">
        <v>0</v>
      </c>
      <c r="DT145" s="787">
        <v>-165300.59999999998</v>
      </c>
      <c r="DU145" s="787">
        <v>0</v>
      </c>
      <c r="DV145" s="787">
        <v>0</v>
      </c>
      <c r="DW145" s="787">
        <v>0</v>
      </c>
      <c r="DX145" s="787">
        <v>0</v>
      </c>
      <c r="DY145" s="787">
        <v>0</v>
      </c>
      <c r="DZ145" s="787">
        <v>-20892</v>
      </c>
      <c r="EA145" s="787">
        <v>-0.47074470712686889</v>
      </c>
    </row>
    <row r="146" spans="1:131" ht="15.6">
      <c r="A146" s="782" t="s">
        <v>1439</v>
      </c>
      <c r="B146" s="782" t="s">
        <v>776</v>
      </c>
      <c r="C146" s="783">
        <v>3363</v>
      </c>
      <c r="D146" s="784" t="s">
        <v>777</v>
      </c>
      <c r="E146" s="785" t="s">
        <v>521</v>
      </c>
      <c r="F146" s="786">
        <v>46092</v>
      </c>
      <c r="G146" s="785" t="s">
        <v>5</v>
      </c>
      <c r="H146" s="785" t="str">
        <f t="shared" si="14"/>
        <v>AX05Q</v>
      </c>
      <c r="I146" s="787">
        <v>0</v>
      </c>
      <c r="J146" s="787">
        <v>0</v>
      </c>
      <c r="K146" s="787">
        <v>0</v>
      </c>
      <c r="L146" s="787">
        <v>0</v>
      </c>
      <c r="M146" s="787">
        <v>0</v>
      </c>
      <c r="N146" s="787">
        <v>0</v>
      </c>
      <c r="O146" s="787">
        <v>0</v>
      </c>
      <c r="P146" s="787">
        <v>0</v>
      </c>
      <c r="Q146" s="787">
        <v>27.41</v>
      </c>
      <c r="R146" s="787">
        <v>22006.9</v>
      </c>
      <c r="S146" s="787">
        <v>0</v>
      </c>
      <c r="T146" s="787">
        <v>0</v>
      </c>
      <c r="U146" s="787">
        <v>58639.88</v>
      </c>
      <c r="V146" s="787">
        <v>37676.36</v>
      </c>
      <c r="W146" s="787">
        <v>0</v>
      </c>
      <c r="X146" s="787">
        <f t="shared" si="15"/>
        <v>118350.55</v>
      </c>
      <c r="Y146" s="787">
        <v>1051523.54</v>
      </c>
      <c r="Z146" s="787">
        <v>0</v>
      </c>
      <c r="AA146" s="787">
        <v>167342.89000000001</v>
      </c>
      <c r="AB146" s="787">
        <v>47045.74</v>
      </c>
      <c r="AC146" s="787">
        <v>222005.96</v>
      </c>
      <c r="AD146" s="787">
        <v>78949</v>
      </c>
      <c r="AE146" s="787">
        <v>39070.089999999997</v>
      </c>
      <c r="AF146" s="787">
        <v>0</v>
      </c>
      <c r="AG146" s="787">
        <v>2109</v>
      </c>
      <c r="AH146" s="787">
        <v>0</v>
      </c>
      <c r="AI146" s="787">
        <v>0</v>
      </c>
      <c r="AJ146" s="787">
        <v>8054.75</v>
      </c>
      <c r="AK146" s="787">
        <v>0</v>
      </c>
      <c r="AL146" s="787">
        <v>37767.919999999998</v>
      </c>
      <c r="AM146" s="787">
        <v>6223.74</v>
      </c>
      <c r="AN146" s="787">
        <v>38919.370000000003</v>
      </c>
      <c r="AO146" s="787">
        <v>0</v>
      </c>
      <c r="AP146" s="787">
        <v>22888.97</v>
      </c>
      <c r="AQ146" s="787">
        <v>36151.58</v>
      </c>
      <c r="AR146" s="787">
        <v>0</v>
      </c>
      <c r="AS146" s="787">
        <v>0</v>
      </c>
      <c r="AT146" s="787">
        <v>10761.64</v>
      </c>
      <c r="AU146" s="787">
        <v>0</v>
      </c>
      <c r="AV146" s="787">
        <v>0</v>
      </c>
      <c r="AW146" s="787">
        <v>0</v>
      </c>
      <c r="AX146" s="787">
        <v>0</v>
      </c>
      <c r="AY146" s="787">
        <v>0</v>
      </c>
      <c r="AZ146" s="787">
        <v>29247.34</v>
      </c>
      <c r="BA146" s="787">
        <v>0</v>
      </c>
      <c r="BB146" s="787">
        <v>2800</v>
      </c>
      <c r="BC146" s="787">
        <v>49339.82</v>
      </c>
      <c r="BD146" s="787">
        <v>23989.93</v>
      </c>
      <c r="BE146" s="787">
        <v>65413.72</v>
      </c>
      <c r="BF146" s="787">
        <v>85243.99</v>
      </c>
      <c r="BG146" s="787">
        <v>0</v>
      </c>
      <c r="BH146" s="787">
        <v>0</v>
      </c>
      <c r="BI146" s="787">
        <v>0</v>
      </c>
      <c r="BJ146" s="787">
        <f t="shared" si="16"/>
        <v>2024848.9900000002</v>
      </c>
      <c r="BK146" s="787"/>
      <c r="BL146" s="787"/>
      <c r="BM146" s="787"/>
      <c r="BN146" s="787">
        <v>24697</v>
      </c>
      <c r="BO146" s="787">
        <v>0</v>
      </c>
      <c r="BP146" s="787">
        <v>0</v>
      </c>
      <c r="BQ146" s="787">
        <f t="shared" si="17"/>
        <v>24697</v>
      </c>
      <c r="BR146" s="787">
        <v>10926</v>
      </c>
      <c r="BS146" s="787">
        <v>0</v>
      </c>
      <c r="BT146" s="787">
        <v>0</v>
      </c>
      <c r="BU146" s="787">
        <v>0</v>
      </c>
      <c r="BV146" s="787">
        <v>0</v>
      </c>
      <c r="BW146" s="787">
        <v>0</v>
      </c>
      <c r="BX146" s="787">
        <v>0</v>
      </c>
      <c r="BY146" s="787">
        <v>0</v>
      </c>
      <c r="BZ146" s="787">
        <f t="shared" si="18"/>
        <v>10926</v>
      </c>
      <c r="CA146" s="787"/>
      <c r="CB146" s="787"/>
      <c r="CC146" s="787"/>
      <c r="CD146" s="787">
        <v>0</v>
      </c>
      <c r="CE146" s="787">
        <v>0</v>
      </c>
      <c r="CF146" s="787">
        <f t="shared" si="19"/>
        <v>0</v>
      </c>
      <c r="CG146" s="787">
        <v>0</v>
      </c>
      <c r="CH146" s="787">
        <v>0</v>
      </c>
      <c r="CI146" s="787">
        <f t="shared" si="20"/>
        <v>0</v>
      </c>
      <c r="CJ146" s="787"/>
      <c r="CK146" s="787"/>
      <c r="CL146" s="787"/>
      <c r="CM146" s="787"/>
      <c r="CN146" s="787"/>
      <c r="CO146" s="787"/>
      <c r="CP146" s="787"/>
      <c r="CQ146" s="787"/>
      <c r="CR146" s="787"/>
      <c r="CS146" s="787">
        <v>380217.21</v>
      </c>
      <c r="CT146" s="787">
        <v>175739.92</v>
      </c>
      <c r="CU146" s="787">
        <v>0</v>
      </c>
      <c r="CV146" s="787">
        <v>204477.29</v>
      </c>
      <c r="CW146" s="787">
        <v>0</v>
      </c>
      <c r="CX146" s="787">
        <v>5651.12</v>
      </c>
      <c r="CY146" s="787">
        <v>3658.52</v>
      </c>
      <c r="CZ146" s="787">
        <v>0</v>
      </c>
      <c r="DA146" s="787">
        <v>0</v>
      </c>
      <c r="DB146" s="787">
        <v>213786.93</v>
      </c>
      <c r="DC146" s="787">
        <v>15133.43</v>
      </c>
      <c r="DD146" s="787">
        <v>0</v>
      </c>
      <c r="DE146" s="787">
        <v>0</v>
      </c>
      <c r="DF146" s="787">
        <v>15133.43</v>
      </c>
      <c r="DG146" s="787"/>
      <c r="DH146" s="787"/>
      <c r="DI146" s="787"/>
      <c r="DJ146" s="787">
        <v>0</v>
      </c>
      <c r="DK146" s="787">
        <v>15133.43</v>
      </c>
      <c r="DL146" s="787">
        <v>0</v>
      </c>
      <c r="DM146" s="787">
        <v>0</v>
      </c>
      <c r="DN146" s="787">
        <v>0</v>
      </c>
      <c r="DO146" s="787">
        <v>0</v>
      </c>
      <c r="DP146" s="787">
        <v>-9932.77</v>
      </c>
      <c r="DQ146" s="787">
        <v>0</v>
      </c>
      <c r="DR146" s="787">
        <v>0</v>
      </c>
      <c r="DS146" s="787">
        <v>0</v>
      </c>
      <c r="DT146" s="787">
        <v>-9932.77</v>
      </c>
      <c r="DU146" s="787">
        <v>0</v>
      </c>
      <c r="DV146" s="787">
        <v>0</v>
      </c>
      <c r="DW146" s="787">
        <v>0</v>
      </c>
      <c r="DX146" s="787">
        <v>0</v>
      </c>
      <c r="DY146" s="787">
        <v>5298.81</v>
      </c>
      <c r="DZ146" s="787">
        <v>0</v>
      </c>
      <c r="EA146" s="787">
        <v>-7.7678213565377519E-2</v>
      </c>
    </row>
    <row r="147" spans="1:131" ht="15.6">
      <c r="A147" s="782" t="s">
        <v>1440</v>
      </c>
      <c r="B147" s="782" t="s">
        <v>778</v>
      </c>
      <c r="C147" s="783">
        <v>3355</v>
      </c>
      <c r="D147" s="784" t="s">
        <v>779</v>
      </c>
      <c r="E147" s="785" t="s">
        <v>521</v>
      </c>
      <c r="F147" s="786">
        <v>46094</v>
      </c>
      <c r="G147" s="785" t="s">
        <v>5</v>
      </c>
      <c r="H147" s="785" t="str">
        <f t="shared" si="14"/>
        <v>AX05U</v>
      </c>
      <c r="I147" s="787">
        <v>0</v>
      </c>
      <c r="J147" s="787">
        <v>0</v>
      </c>
      <c r="K147" s="787">
        <v>0</v>
      </c>
      <c r="L147" s="787">
        <v>0</v>
      </c>
      <c r="M147" s="787">
        <v>0</v>
      </c>
      <c r="N147" s="787">
        <v>0</v>
      </c>
      <c r="O147" s="787">
        <v>0</v>
      </c>
      <c r="P147" s="787">
        <v>0</v>
      </c>
      <c r="Q147" s="787">
        <v>37914.75</v>
      </c>
      <c r="R147" s="787">
        <v>0</v>
      </c>
      <c r="S147" s="787">
        <v>0</v>
      </c>
      <c r="T147" s="787">
        <v>0</v>
      </c>
      <c r="U147" s="787">
        <v>36756.730000000003</v>
      </c>
      <c r="V147" s="787">
        <v>99975.79</v>
      </c>
      <c r="W147" s="787">
        <v>0</v>
      </c>
      <c r="X147" s="787">
        <f t="shared" si="15"/>
        <v>174647.27000000002</v>
      </c>
      <c r="Y147" s="787">
        <v>1200834.7</v>
      </c>
      <c r="Z147" s="787">
        <v>0</v>
      </c>
      <c r="AA147" s="787">
        <v>473234.76</v>
      </c>
      <c r="AB147" s="787">
        <v>58647.86</v>
      </c>
      <c r="AC147" s="787">
        <v>137724</v>
      </c>
      <c r="AD147" s="787">
        <v>0</v>
      </c>
      <c r="AE147" s="787">
        <v>29085.37</v>
      </c>
      <c r="AF147" s="787">
        <v>43.5</v>
      </c>
      <c r="AG147" s="787">
        <v>3522.86</v>
      </c>
      <c r="AH147" s="787">
        <v>0</v>
      </c>
      <c r="AI147" s="787">
        <v>0</v>
      </c>
      <c r="AJ147" s="787">
        <v>47270.91</v>
      </c>
      <c r="AK147" s="787">
        <v>3015.55</v>
      </c>
      <c r="AL147" s="787">
        <v>52628.44</v>
      </c>
      <c r="AM147" s="787">
        <v>6666.97</v>
      </c>
      <c r="AN147" s="787">
        <v>71580.87</v>
      </c>
      <c r="AO147" s="787">
        <v>0</v>
      </c>
      <c r="AP147" s="787">
        <v>15245.5</v>
      </c>
      <c r="AQ147" s="787">
        <v>82378.06</v>
      </c>
      <c r="AR147" s="787">
        <v>23.52</v>
      </c>
      <c r="AS147" s="787">
        <v>0</v>
      </c>
      <c r="AT147" s="787">
        <v>4998</v>
      </c>
      <c r="AU147" s="787">
        <v>0</v>
      </c>
      <c r="AV147" s="787">
        <v>0</v>
      </c>
      <c r="AW147" s="787">
        <v>962.07</v>
      </c>
      <c r="AX147" s="787">
        <v>6560.44</v>
      </c>
      <c r="AY147" s="787">
        <v>0</v>
      </c>
      <c r="AZ147" s="787">
        <v>45016.1</v>
      </c>
      <c r="BA147" s="787">
        <v>0</v>
      </c>
      <c r="BB147" s="787">
        <v>5600</v>
      </c>
      <c r="BC147" s="787">
        <v>159752.89000000001</v>
      </c>
      <c r="BD147" s="787">
        <v>99223.5</v>
      </c>
      <c r="BE147" s="787">
        <v>1336.5</v>
      </c>
      <c r="BF147" s="787">
        <v>305587.61</v>
      </c>
      <c r="BG147" s="787">
        <v>0</v>
      </c>
      <c r="BH147" s="787">
        <v>0</v>
      </c>
      <c r="BI147" s="787">
        <v>0</v>
      </c>
      <c r="BJ147" s="787">
        <f t="shared" si="16"/>
        <v>2810939.98</v>
      </c>
      <c r="BK147" s="787"/>
      <c r="BL147" s="787"/>
      <c r="BM147" s="787"/>
      <c r="BN147" s="787">
        <v>13107.33</v>
      </c>
      <c r="BO147" s="787">
        <v>0</v>
      </c>
      <c r="BP147" s="787">
        <v>0</v>
      </c>
      <c r="BQ147" s="787">
        <f t="shared" si="17"/>
        <v>13107.33</v>
      </c>
      <c r="BR147" s="787">
        <v>0</v>
      </c>
      <c r="BS147" s="787">
        <v>0</v>
      </c>
      <c r="BT147" s="787">
        <v>0</v>
      </c>
      <c r="BU147" s="787">
        <v>0</v>
      </c>
      <c r="BV147" s="787">
        <v>0</v>
      </c>
      <c r="BW147" s="787">
        <v>0</v>
      </c>
      <c r="BX147" s="787">
        <v>4050</v>
      </c>
      <c r="BY147" s="787">
        <v>0</v>
      </c>
      <c r="BZ147" s="787">
        <f t="shared" si="18"/>
        <v>4050</v>
      </c>
      <c r="CA147" s="787"/>
      <c r="CB147" s="787"/>
      <c r="CC147" s="787"/>
      <c r="CD147" s="787">
        <v>0</v>
      </c>
      <c r="CE147" s="787">
        <v>0</v>
      </c>
      <c r="CF147" s="787">
        <f t="shared" si="19"/>
        <v>0</v>
      </c>
      <c r="CG147" s="787">
        <v>0</v>
      </c>
      <c r="CH147" s="787">
        <v>0</v>
      </c>
      <c r="CI147" s="787">
        <f t="shared" si="20"/>
        <v>0</v>
      </c>
      <c r="CJ147" s="787"/>
      <c r="CK147" s="787"/>
      <c r="CL147" s="787"/>
      <c r="CM147" s="787"/>
      <c r="CN147" s="787"/>
      <c r="CO147" s="787"/>
      <c r="CP147" s="787"/>
      <c r="CQ147" s="787"/>
      <c r="CR147" s="787"/>
      <c r="CS147" s="787">
        <v>468527.27</v>
      </c>
      <c r="CT147" s="787">
        <v>0</v>
      </c>
      <c r="CU147" s="787">
        <v>0</v>
      </c>
      <c r="CV147" s="787">
        <v>468527.27</v>
      </c>
      <c r="CW147" s="787">
        <v>0</v>
      </c>
      <c r="CX147" s="787">
        <v>4982.2299999999996</v>
      </c>
      <c r="CY147" s="787">
        <v>5025.07</v>
      </c>
      <c r="CZ147" s="787">
        <v>0</v>
      </c>
      <c r="DA147" s="787">
        <v>0</v>
      </c>
      <c r="DB147" s="787">
        <v>478534.57</v>
      </c>
      <c r="DC147" s="787">
        <v>0</v>
      </c>
      <c r="DD147" s="787">
        <v>0</v>
      </c>
      <c r="DE147" s="787">
        <v>0</v>
      </c>
      <c r="DF147" s="787">
        <v>0</v>
      </c>
      <c r="DG147" s="787"/>
      <c r="DH147" s="787"/>
      <c r="DI147" s="787"/>
      <c r="DJ147" s="787">
        <v>0</v>
      </c>
      <c r="DK147" s="787">
        <v>0</v>
      </c>
      <c r="DL147" s="787">
        <v>0</v>
      </c>
      <c r="DM147" s="787">
        <v>0</v>
      </c>
      <c r="DN147" s="787">
        <v>0</v>
      </c>
      <c r="DO147" s="787">
        <v>0</v>
      </c>
      <c r="DP147" s="787">
        <v>-30835.86</v>
      </c>
      <c r="DQ147" s="787">
        <v>-40662.54</v>
      </c>
      <c r="DR147" s="787">
        <v>0</v>
      </c>
      <c r="DS147" s="787">
        <v>0</v>
      </c>
      <c r="DT147" s="787">
        <v>-71498.399999999994</v>
      </c>
      <c r="DU147" s="787">
        <v>0</v>
      </c>
      <c r="DV147" s="787">
        <v>0</v>
      </c>
      <c r="DW147" s="787">
        <v>0</v>
      </c>
      <c r="DX147" s="787">
        <v>0</v>
      </c>
      <c r="DY147" s="787">
        <v>0</v>
      </c>
      <c r="DZ147" s="787">
        <v>-157160.39000000001</v>
      </c>
      <c r="EA147" s="787">
        <v>0.43890065271989442</v>
      </c>
    </row>
    <row r="148" spans="1:131" ht="15.6">
      <c r="A148" s="782" t="s">
        <v>1441</v>
      </c>
      <c r="B148" s="782" t="s">
        <v>780</v>
      </c>
      <c r="C148" s="783">
        <v>3367</v>
      </c>
      <c r="D148" s="784" t="s">
        <v>781</v>
      </c>
      <c r="E148" s="785" t="s">
        <v>521</v>
      </c>
      <c r="F148" s="786">
        <v>46094</v>
      </c>
      <c r="G148" s="785" t="s">
        <v>5</v>
      </c>
      <c r="H148" s="785" t="str">
        <f t="shared" si="14"/>
        <v>AX05Y</v>
      </c>
      <c r="I148" s="787">
        <v>0</v>
      </c>
      <c r="J148" s="787">
        <v>0</v>
      </c>
      <c r="K148" s="787">
        <v>0</v>
      </c>
      <c r="L148" s="787">
        <v>0</v>
      </c>
      <c r="M148" s="787">
        <v>0</v>
      </c>
      <c r="N148" s="787">
        <v>0</v>
      </c>
      <c r="O148" s="787">
        <v>0</v>
      </c>
      <c r="P148" s="787">
        <v>0</v>
      </c>
      <c r="Q148" s="787">
        <v>0</v>
      </c>
      <c r="R148" s="787">
        <v>2229.6999999999998</v>
      </c>
      <c r="S148" s="787">
        <v>0</v>
      </c>
      <c r="T148" s="787">
        <v>0</v>
      </c>
      <c r="U148" s="787">
        <v>40897.72</v>
      </c>
      <c r="V148" s="787">
        <v>36128.79</v>
      </c>
      <c r="W148" s="787">
        <v>0</v>
      </c>
      <c r="X148" s="787">
        <f t="shared" si="15"/>
        <v>79256.209999999992</v>
      </c>
      <c r="Y148" s="787">
        <v>852626.90999999992</v>
      </c>
      <c r="Z148" s="787">
        <v>0</v>
      </c>
      <c r="AA148" s="787">
        <v>232904.08</v>
      </c>
      <c r="AB148" s="787">
        <v>43653.97</v>
      </c>
      <c r="AC148" s="787">
        <v>116005.78</v>
      </c>
      <c r="AD148" s="787">
        <v>0</v>
      </c>
      <c r="AE148" s="787">
        <v>39095.79</v>
      </c>
      <c r="AF148" s="787">
        <v>1905.8</v>
      </c>
      <c r="AG148" s="787">
        <v>10027.1</v>
      </c>
      <c r="AH148" s="787">
        <v>0</v>
      </c>
      <c r="AI148" s="787">
        <v>0</v>
      </c>
      <c r="AJ148" s="787">
        <v>9882.26</v>
      </c>
      <c r="AK148" s="787">
        <v>2530</v>
      </c>
      <c r="AL148" s="787">
        <v>1507.64</v>
      </c>
      <c r="AM148" s="787">
        <v>8719.23</v>
      </c>
      <c r="AN148" s="787">
        <v>23780.6</v>
      </c>
      <c r="AO148" s="787">
        <v>0</v>
      </c>
      <c r="AP148" s="787">
        <v>11478.88</v>
      </c>
      <c r="AQ148" s="787">
        <v>45543.73</v>
      </c>
      <c r="AR148" s="787">
        <v>0</v>
      </c>
      <c r="AS148" s="787">
        <v>0</v>
      </c>
      <c r="AT148" s="787">
        <v>80</v>
      </c>
      <c r="AU148" s="787">
        <v>0</v>
      </c>
      <c r="AV148" s="787">
        <v>0</v>
      </c>
      <c r="AW148" s="787">
        <v>6959.93</v>
      </c>
      <c r="AX148" s="787">
        <v>0</v>
      </c>
      <c r="AY148" s="787">
        <v>0</v>
      </c>
      <c r="AZ148" s="787">
        <v>21478.51</v>
      </c>
      <c r="BA148" s="787">
        <v>4491.5200000000004</v>
      </c>
      <c r="BB148" s="787">
        <v>1650</v>
      </c>
      <c r="BC148" s="787">
        <v>119988.5</v>
      </c>
      <c r="BD148" s="787">
        <v>6196</v>
      </c>
      <c r="BE148" s="787">
        <v>374.5600000000004</v>
      </c>
      <c r="BF148" s="787">
        <v>96817.959999999992</v>
      </c>
      <c r="BG148" s="787">
        <v>0</v>
      </c>
      <c r="BH148" s="787">
        <v>0</v>
      </c>
      <c r="BI148" s="787">
        <v>3927</v>
      </c>
      <c r="BJ148" s="787">
        <f t="shared" si="16"/>
        <v>1661625.75</v>
      </c>
      <c r="BK148" s="787"/>
      <c r="BL148" s="787"/>
      <c r="BM148" s="787"/>
      <c r="BN148" s="787">
        <v>11246</v>
      </c>
      <c r="BO148" s="787">
        <v>0</v>
      </c>
      <c r="BP148" s="787">
        <v>3927</v>
      </c>
      <c r="BQ148" s="787">
        <f t="shared" si="17"/>
        <v>15173</v>
      </c>
      <c r="BR148" s="787">
        <v>0</v>
      </c>
      <c r="BS148" s="787">
        <v>15173</v>
      </c>
      <c r="BT148" s="787">
        <v>0</v>
      </c>
      <c r="BU148" s="787">
        <v>0</v>
      </c>
      <c r="BV148" s="787">
        <v>0</v>
      </c>
      <c r="BW148" s="787">
        <v>0</v>
      </c>
      <c r="BX148" s="787">
        <v>0</v>
      </c>
      <c r="BY148" s="787">
        <v>0</v>
      </c>
      <c r="BZ148" s="787">
        <f t="shared" si="18"/>
        <v>15173</v>
      </c>
      <c r="CA148" s="787"/>
      <c r="CB148" s="787"/>
      <c r="CC148" s="787"/>
      <c r="CD148" s="787">
        <v>0</v>
      </c>
      <c r="CE148" s="787">
        <v>0</v>
      </c>
      <c r="CF148" s="787">
        <f t="shared" si="19"/>
        <v>0</v>
      </c>
      <c r="CG148" s="787">
        <v>0</v>
      </c>
      <c r="CH148" s="787">
        <v>0</v>
      </c>
      <c r="CI148" s="787">
        <f t="shared" si="20"/>
        <v>0</v>
      </c>
      <c r="CJ148" s="787"/>
      <c r="CK148" s="787"/>
      <c r="CL148" s="787"/>
      <c r="CM148" s="787"/>
      <c r="CN148" s="787"/>
      <c r="CO148" s="787"/>
      <c r="CP148" s="787"/>
      <c r="CQ148" s="787"/>
      <c r="CR148" s="787"/>
      <c r="CS148" s="787"/>
      <c r="CT148" s="787"/>
      <c r="CU148" s="787"/>
      <c r="CV148" s="787"/>
      <c r="CW148" s="787"/>
      <c r="CX148" s="787"/>
      <c r="CY148" s="787"/>
      <c r="CZ148" s="787"/>
      <c r="DA148" s="787"/>
      <c r="DB148" s="787"/>
      <c r="DC148" s="787"/>
      <c r="DD148" s="787"/>
      <c r="DE148" s="787"/>
      <c r="DF148" s="787"/>
      <c r="DG148" s="787"/>
      <c r="DH148" s="787"/>
      <c r="DI148" s="787"/>
      <c r="DJ148" s="787"/>
      <c r="DK148" s="787"/>
      <c r="DL148" s="787"/>
      <c r="DM148" s="787"/>
      <c r="DN148" s="787"/>
      <c r="DO148" s="787"/>
      <c r="DP148" s="787"/>
      <c r="DQ148" s="787"/>
      <c r="DR148" s="787"/>
      <c r="DS148" s="787"/>
      <c r="DT148" s="787"/>
      <c r="DU148" s="787"/>
      <c r="DV148" s="787"/>
      <c r="DW148" s="787"/>
      <c r="DX148" s="787"/>
      <c r="DY148" s="787"/>
      <c r="DZ148" s="787"/>
      <c r="EA148" s="787"/>
    </row>
    <row r="149" spans="1:131" ht="15.6">
      <c r="A149" s="782" t="s">
        <v>1442</v>
      </c>
      <c r="B149" s="782" t="s">
        <v>782</v>
      </c>
      <c r="C149" s="783">
        <v>3010</v>
      </c>
      <c r="D149" s="784" t="s">
        <v>783</v>
      </c>
      <c r="E149" s="785" t="s">
        <v>521</v>
      </c>
      <c r="F149" s="786">
        <v>0</v>
      </c>
      <c r="G149" s="785" t="s">
        <v>5</v>
      </c>
      <c r="H149" s="785" t="str">
        <f t="shared" si="14"/>
        <v>AX05Z</v>
      </c>
      <c r="I149" s="787">
        <v>0</v>
      </c>
      <c r="J149" s="787">
        <v>0</v>
      </c>
      <c r="K149" s="787">
        <v>0</v>
      </c>
      <c r="L149" s="787">
        <v>0</v>
      </c>
      <c r="M149" s="787">
        <v>13720</v>
      </c>
      <c r="N149" s="787">
        <v>0</v>
      </c>
      <c r="O149" s="787">
        <v>3656</v>
      </c>
      <c r="P149" s="787">
        <v>0</v>
      </c>
      <c r="Q149" s="787">
        <v>0</v>
      </c>
      <c r="R149" s="787">
        <v>24043.1</v>
      </c>
      <c r="S149" s="787">
        <v>0</v>
      </c>
      <c r="T149" s="787">
        <v>0</v>
      </c>
      <c r="U149" s="787">
        <v>0</v>
      </c>
      <c r="V149" s="787">
        <v>0</v>
      </c>
      <c r="W149" s="787">
        <v>0</v>
      </c>
      <c r="X149" s="787">
        <f t="shared" si="15"/>
        <v>41419.1</v>
      </c>
      <c r="Y149" s="787">
        <v>1463571</v>
      </c>
      <c r="Z149" s="787">
        <v>0</v>
      </c>
      <c r="AA149" s="787">
        <v>663541</v>
      </c>
      <c r="AB149" s="787">
        <v>0</v>
      </c>
      <c r="AC149" s="787">
        <v>187085</v>
      </c>
      <c r="AD149" s="787">
        <v>0</v>
      </c>
      <c r="AE149" s="787">
        <v>77776</v>
      </c>
      <c r="AF149" s="787">
        <v>20116</v>
      </c>
      <c r="AG149" s="787">
        <v>7319</v>
      </c>
      <c r="AH149" s="787">
        <v>0</v>
      </c>
      <c r="AI149" s="787">
        <v>0</v>
      </c>
      <c r="AJ149" s="787">
        <v>33968</v>
      </c>
      <c r="AK149" s="787">
        <v>96</v>
      </c>
      <c r="AL149" s="787">
        <v>325</v>
      </c>
      <c r="AM149" s="787">
        <v>39483.440000000002</v>
      </c>
      <c r="AN149" s="787">
        <v>13746</v>
      </c>
      <c r="AO149" s="787">
        <v>0</v>
      </c>
      <c r="AP149" s="787">
        <v>28002</v>
      </c>
      <c r="AQ149" s="787">
        <v>64251.519999999997</v>
      </c>
      <c r="AR149" s="787">
        <v>0</v>
      </c>
      <c r="AS149" s="787">
        <v>0</v>
      </c>
      <c r="AT149" s="787">
        <v>25268</v>
      </c>
      <c r="AU149" s="787">
        <v>0</v>
      </c>
      <c r="AV149" s="787">
        <v>0</v>
      </c>
      <c r="AW149" s="787">
        <v>42</v>
      </c>
      <c r="AX149" s="787">
        <v>900</v>
      </c>
      <c r="AY149" s="787">
        <v>0</v>
      </c>
      <c r="AZ149" s="787">
        <v>24541</v>
      </c>
      <c r="BA149" s="787">
        <v>0</v>
      </c>
      <c r="BB149" s="787">
        <v>3460</v>
      </c>
      <c r="BC149" s="787">
        <v>168364</v>
      </c>
      <c r="BD149" s="787">
        <v>204160</v>
      </c>
      <c r="BE149" s="787">
        <v>36599</v>
      </c>
      <c r="BF149" s="787">
        <v>248250</v>
      </c>
      <c r="BG149" s="787">
        <v>0</v>
      </c>
      <c r="BH149" s="787">
        <v>0</v>
      </c>
      <c r="BI149" s="787">
        <v>0</v>
      </c>
      <c r="BJ149" s="787">
        <f t="shared" si="16"/>
        <v>3310863.96</v>
      </c>
      <c r="BK149" s="787"/>
      <c r="BL149" s="787"/>
      <c r="BM149" s="787"/>
      <c r="BN149" s="787">
        <v>0</v>
      </c>
      <c r="BO149" s="787">
        <v>0</v>
      </c>
      <c r="BP149" s="787">
        <v>0</v>
      </c>
      <c r="BQ149" s="787">
        <f t="shared" si="17"/>
        <v>0</v>
      </c>
      <c r="BR149" s="787">
        <v>0</v>
      </c>
      <c r="BS149" s="787">
        <v>0</v>
      </c>
      <c r="BT149" s="787">
        <v>0</v>
      </c>
      <c r="BU149" s="787">
        <v>0</v>
      </c>
      <c r="BV149" s="787">
        <v>0</v>
      </c>
      <c r="BW149" s="787">
        <v>0</v>
      </c>
      <c r="BX149" s="787">
        <v>0</v>
      </c>
      <c r="BY149" s="787">
        <v>0</v>
      </c>
      <c r="BZ149" s="787">
        <f t="shared" si="18"/>
        <v>0</v>
      </c>
      <c r="CA149" s="787"/>
      <c r="CB149" s="787"/>
      <c r="CC149" s="787"/>
      <c r="CD149" s="787">
        <v>0</v>
      </c>
      <c r="CE149" s="787">
        <v>0</v>
      </c>
      <c r="CF149" s="787">
        <f t="shared" si="19"/>
        <v>0</v>
      </c>
      <c r="CG149" s="787">
        <v>0</v>
      </c>
      <c r="CH149" s="787">
        <v>0</v>
      </c>
      <c r="CI149" s="787">
        <f t="shared" si="20"/>
        <v>0</v>
      </c>
      <c r="CJ149" s="787"/>
      <c r="CK149" s="787"/>
      <c r="CL149" s="787"/>
      <c r="CM149" s="787"/>
      <c r="CN149" s="787"/>
      <c r="CO149" s="787"/>
      <c r="CP149" s="787"/>
      <c r="CQ149" s="787"/>
      <c r="CR149" s="787"/>
      <c r="CS149" s="787">
        <v>785517.9</v>
      </c>
      <c r="CT149" s="787">
        <v>0</v>
      </c>
      <c r="CU149" s="787">
        <v>0</v>
      </c>
      <c r="CV149" s="787">
        <v>785517.9</v>
      </c>
      <c r="CW149" s="787">
        <v>0</v>
      </c>
      <c r="CX149" s="787">
        <v>14360.36</v>
      </c>
      <c r="CY149" s="787">
        <v>3751.63</v>
      </c>
      <c r="CZ149" s="787">
        <v>5018</v>
      </c>
      <c r="DA149" s="787">
        <v>-3675</v>
      </c>
      <c r="DB149" s="787">
        <v>804972.89</v>
      </c>
      <c r="DC149" s="787">
        <v>0</v>
      </c>
      <c r="DD149" s="787">
        <v>0</v>
      </c>
      <c r="DE149" s="787">
        <v>0</v>
      </c>
      <c r="DF149" s="787">
        <v>0</v>
      </c>
      <c r="DG149" s="787"/>
      <c r="DH149" s="787"/>
      <c r="DI149" s="787"/>
      <c r="DJ149" s="787">
        <v>0</v>
      </c>
      <c r="DK149" s="787">
        <v>0</v>
      </c>
      <c r="DL149" s="787">
        <v>0</v>
      </c>
      <c r="DM149" s="787">
        <v>0</v>
      </c>
      <c r="DN149" s="787">
        <v>0</v>
      </c>
      <c r="DO149" s="787">
        <v>0</v>
      </c>
      <c r="DP149" s="787">
        <v>-268518.78000000003</v>
      </c>
      <c r="DQ149" s="787">
        <v>-17514.66</v>
      </c>
      <c r="DR149" s="787">
        <v>0</v>
      </c>
      <c r="DS149" s="787">
        <v>0</v>
      </c>
      <c r="DT149" s="787">
        <v>-286033.44</v>
      </c>
      <c r="DU149" s="787">
        <v>0</v>
      </c>
      <c r="DV149" s="787">
        <v>0</v>
      </c>
      <c r="DW149" s="787">
        <v>0</v>
      </c>
      <c r="DX149" s="787">
        <v>0</v>
      </c>
      <c r="DY149" s="787">
        <v>0</v>
      </c>
      <c r="DZ149" s="787">
        <v>-42817</v>
      </c>
      <c r="EA149" s="787">
        <v>-0.13232349004829302</v>
      </c>
    </row>
    <row r="150" spans="1:131" ht="15.6">
      <c r="A150" s="782" t="s">
        <v>1443</v>
      </c>
      <c r="B150" s="782" t="s">
        <v>784</v>
      </c>
      <c r="C150" s="783">
        <v>4625</v>
      </c>
      <c r="D150" s="784" t="s">
        <v>785</v>
      </c>
      <c r="E150" s="785" t="s">
        <v>521</v>
      </c>
      <c r="F150" s="786">
        <v>46094</v>
      </c>
      <c r="G150" s="785" t="s">
        <v>5</v>
      </c>
      <c r="H150" s="785" t="str">
        <f t="shared" si="14"/>
        <v>AX063</v>
      </c>
      <c r="I150" s="787">
        <v>9.7511695697903633E-2</v>
      </c>
      <c r="J150" s="787">
        <v>0</v>
      </c>
      <c r="K150" s="787">
        <v>2687.0511111111118</v>
      </c>
      <c r="L150" s="787">
        <v>0</v>
      </c>
      <c r="M150" s="787">
        <v>1700</v>
      </c>
      <c r="N150" s="787">
        <v>2400</v>
      </c>
      <c r="O150" s="787">
        <v>24165</v>
      </c>
      <c r="P150" s="787">
        <v>0</v>
      </c>
      <c r="Q150" s="787">
        <v>212594.78518500004</v>
      </c>
      <c r="R150" s="787">
        <v>0</v>
      </c>
      <c r="S150" s="787">
        <v>0</v>
      </c>
      <c r="T150" s="787">
        <v>0</v>
      </c>
      <c r="U150" s="787">
        <v>23165.920000000002</v>
      </c>
      <c r="V150" s="787">
        <v>0</v>
      </c>
      <c r="W150" s="787">
        <v>7301</v>
      </c>
      <c r="X150" s="787">
        <f t="shared" si="15"/>
        <v>274013.85380780685</v>
      </c>
      <c r="Y150" s="787">
        <v>3450455.5700000003</v>
      </c>
      <c r="Z150" s="787">
        <v>0</v>
      </c>
      <c r="AA150" s="787">
        <v>707743.3899999999</v>
      </c>
      <c r="AB150" s="787">
        <v>244358.11000000002</v>
      </c>
      <c r="AC150" s="787">
        <v>546903.68999999994</v>
      </c>
      <c r="AD150" s="787">
        <v>0</v>
      </c>
      <c r="AE150" s="787">
        <v>11083.74</v>
      </c>
      <c r="AF150" s="787">
        <v>28667.63</v>
      </c>
      <c r="AG150" s="787">
        <v>24644.2</v>
      </c>
      <c r="AH150" s="787">
        <v>0</v>
      </c>
      <c r="AI150" s="787">
        <v>0</v>
      </c>
      <c r="AJ150" s="787">
        <v>66394.350000000006</v>
      </c>
      <c r="AK150" s="787">
        <v>4410</v>
      </c>
      <c r="AL150" s="787">
        <v>2848.03</v>
      </c>
      <c r="AM150" s="787">
        <v>5928.92</v>
      </c>
      <c r="AN150" s="787">
        <v>76735.25</v>
      </c>
      <c r="AO150" s="787">
        <v>1.0000000002037268E-2</v>
      </c>
      <c r="AP150" s="787">
        <v>34116.350000000006</v>
      </c>
      <c r="AQ150" s="787">
        <v>119649.87999999999</v>
      </c>
      <c r="AR150" s="787">
        <v>6850</v>
      </c>
      <c r="AS150" s="787">
        <v>389.34000000000003</v>
      </c>
      <c r="AT150" s="787">
        <v>68210.02</v>
      </c>
      <c r="AU150" s="787">
        <v>51753.520000000004</v>
      </c>
      <c r="AV150" s="787">
        <v>26969.279999999999</v>
      </c>
      <c r="AW150" s="787">
        <v>14943.970000000001</v>
      </c>
      <c r="AX150" s="787">
        <v>11463.82</v>
      </c>
      <c r="AY150" s="787">
        <v>86925.69</v>
      </c>
      <c r="AZ150" s="787">
        <v>30548.26</v>
      </c>
      <c r="BA150" s="787">
        <v>20922.419999999998</v>
      </c>
      <c r="BB150" s="787">
        <v>922.5</v>
      </c>
      <c r="BC150" s="787">
        <v>187416.23</v>
      </c>
      <c r="BD150" s="787">
        <v>95801.03</v>
      </c>
      <c r="BE150" s="787">
        <v>98612.290000000008</v>
      </c>
      <c r="BF150" s="787">
        <v>129146.95</v>
      </c>
      <c r="BG150" s="787">
        <v>0</v>
      </c>
      <c r="BH150" s="787">
        <v>0</v>
      </c>
      <c r="BI150" s="787">
        <v>2150.6000000000004</v>
      </c>
      <c r="BJ150" s="787">
        <f t="shared" si="16"/>
        <v>6156965.0399999991</v>
      </c>
      <c r="BK150" s="787"/>
      <c r="BL150" s="787"/>
      <c r="BM150" s="787"/>
      <c r="BN150" s="787">
        <v>28108.47</v>
      </c>
      <c r="BO150" s="787">
        <v>18000</v>
      </c>
      <c r="BP150" s="787">
        <v>2150.6000000000004</v>
      </c>
      <c r="BQ150" s="787">
        <f t="shared" si="17"/>
        <v>48259.07</v>
      </c>
      <c r="BR150" s="787">
        <v>0</v>
      </c>
      <c r="BS150" s="787">
        <v>15851.84</v>
      </c>
      <c r="BT150" s="787">
        <v>0</v>
      </c>
      <c r="BU150" s="787">
        <v>0</v>
      </c>
      <c r="BV150" s="787">
        <v>0</v>
      </c>
      <c r="BW150" s="787">
        <v>0</v>
      </c>
      <c r="BX150" s="787">
        <v>0</v>
      </c>
      <c r="BY150" s="787">
        <v>0</v>
      </c>
      <c r="BZ150" s="787">
        <f t="shared" si="18"/>
        <v>15851.84</v>
      </c>
      <c r="CA150" s="787"/>
      <c r="CB150" s="787"/>
      <c r="CC150" s="787"/>
      <c r="CD150" s="787">
        <v>0</v>
      </c>
      <c r="CE150" s="787">
        <v>0</v>
      </c>
      <c r="CF150" s="787">
        <f t="shared" si="19"/>
        <v>0</v>
      </c>
      <c r="CG150" s="787">
        <v>0</v>
      </c>
      <c r="CH150" s="787">
        <v>0</v>
      </c>
      <c r="CI150" s="787">
        <f t="shared" si="20"/>
        <v>0</v>
      </c>
      <c r="CJ150" s="787"/>
      <c r="CK150" s="787"/>
      <c r="CL150" s="787"/>
      <c r="CM150" s="787"/>
      <c r="CN150" s="787"/>
      <c r="CO150" s="787"/>
      <c r="CP150" s="787"/>
      <c r="CQ150" s="787"/>
      <c r="CR150" s="787"/>
      <c r="CS150" s="787">
        <v>796935.93</v>
      </c>
      <c r="CT150" s="787">
        <v>0</v>
      </c>
      <c r="CU150" s="787">
        <v>0</v>
      </c>
      <c r="CV150" s="787">
        <v>796935.93</v>
      </c>
      <c r="CW150" s="787">
        <v>0</v>
      </c>
      <c r="CX150" s="787">
        <v>19456.09</v>
      </c>
      <c r="CY150" s="787">
        <v>8576.32</v>
      </c>
      <c r="CZ150" s="787">
        <v>0</v>
      </c>
      <c r="DA150" s="787">
        <v>0</v>
      </c>
      <c r="DB150" s="787">
        <v>824968.34</v>
      </c>
      <c r="DC150" s="787">
        <v>0</v>
      </c>
      <c r="DD150" s="787">
        <v>0</v>
      </c>
      <c r="DE150" s="787">
        <v>0</v>
      </c>
      <c r="DF150" s="787">
        <v>0</v>
      </c>
      <c r="DG150" s="787"/>
      <c r="DH150" s="787"/>
      <c r="DI150" s="787"/>
      <c r="DJ150" s="787">
        <v>0</v>
      </c>
      <c r="DK150" s="787">
        <v>0</v>
      </c>
      <c r="DL150" s="787">
        <v>375</v>
      </c>
      <c r="DM150" s="787">
        <v>0</v>
      </c>
      <c r="DN150" s="787">
        <v>0</v>
      </c>
      <c r="DO150" s="787">
        <v>0</v>
      </c>
      <c r="DP150" s="787">
        <v>-467109.46</v>
      </c>
      <c r="DQ150" s="787">
        <v>0</v>
      </c>
      <c r="DR150" s="787">
        <v>0</v>
      </c>
      <c r="DS150" s="787">
        <v>0</v>
      </c>
      <c r="DT150" s="787">
        <v>-466734.46</v>
      </c>
      <c r="DU150" s="787">
        <v>1368.66</v>
      </c>
      <c r="DV150" s="787">
        <v>24774.11</v>
      </c>
      <c r="DW150" s="787">
        <v>0</v>
      </c>
      <c r="DX150" s="787">
        <v>0</v>
      </c>
      <c r="DY150" s="787">
        <v>0</v>
      </c>
      <c r="DZ150" s="787">
        <v>0</v>
      </c>
      <c r="EA150" s="787">
        <v>1.0000000242143869E-2</v>
      </c>
    </row>
    <row r="151" spans="1:131" ht="15.6">
      <c r="A151" s="782" t="s">
        <v>1444</v>
      </c>
      <c r="B151" s="782" t="s">
        <v>786</v>
      </c>
      <c r="C151" s="783">
        <v>3377</v>
      </c>
      <c r="D151" s="784" t="s">
        <v>787</v>
      </c>
      <c r="E151" s="785" t="s">
        <v>521</v>
      </c>
      <c r="F151" s="786">
        <v>46094</v>
      </c>
      <c r="G151" s="785" t="s">
        <v>5</v>
      </c>
      <c r="H151" s="785" t="str">
        <f t="shared" si="14"/>
        <v>AX066</v>
      </c>
      <c r="I151" s="787">
        <v>0</v>
      </c>
      <c r="J151" s="787">
        <v>0</v>
      </c>
      <c r="K151" s="787">
        <v>0</v>
      </c>
      <c r="L151" s="787">
        <v>0</v>
      </c>
      <c r="M151" s="787">
        <v>0</v>
      </c>
      <c r="N151" s="787">
        <v>0</v>
      </c>
      <c r="O151" s="787">
        <v>0</v>
      </c>
      <c r="P151" s="787">
        <v>0</v>
      </c>
      <c r="Q151" s="787">
        <v>4384.9399999999996</v>
      </c>
      <c r="R151" s="787">
        <v>4308.54</v>
      </c>
      <c r="S151" s="787">
        <v>0</v>
      </c>
      <c r="T151" s="787">
        <v>1824</v>
      </c>
      <c r="U151" s="787">
        <v>4529</v>
      </c>
      <c r="V151" s="787">
        <v>26134.5</v>
      </c>
      <c r="W151" s="787">
        <v>0</v>
      </c>
      <c r="X151" s="787">
        <f t="shared" si="15"/>
        <v>41180.979999999996</v>
      </c>
      <c r="Y151" s="787">
        <v>796620.6</v>
      </c>
      <c r="Z151" s="787">
        <v>0</v>
      </c>
      <c r="AA151" s="787">
        <v>258899.91</v>
      </c>
      <c r="AB151" s="787">
        <v>55705.54</v>
      </c>
      <c r="AC151" s="787">
        <v>114616.47</v>
      </c>
      <c r="AD151" s="787">
        <v>0</v>
      </c>
      <c r="AE151" s="787">
        <v>40548.1</v>
      </c>
      <c r="AF151" s="787">
        <v>550</v>
      </c>
      <c r="AG151" s="787">
        <v>270</v>
      </c>
      <c r="AH151" s="787">
        <v>0</v>
      </c>
      <c r="AI151" s="787">
        <v>0</v>
      </c>
      <c r="AJ151" s="787">
        <v>20919.12</v>
      </c>
      <c r="AK151" s="787">
        <v>1220.98</v>
      </c>
      <c r="AL151" s="787">
        <v>5826.75</v>
      </c>
      <c r="AM151" s="787">
        <v>6723.52</v>
      </c>
      <c r="AN151" s="787">
        <v>24324.5</v>
      </c>
      <c r="AO151" s="787">
        <v>3479.78</v>
      </c>
      <c r="AP151" s="787">
        <v>12932.599999999999</v>
      </c>
      <c r="AQ151" s="787">
        <v>51193.52</v>
      </c>
      <c r="AR151" s="787">
        <v>0</v>
      </c>
      <c r="AS151" s="787">
        <v>0</v>
      </c>
      <c r="AT151" s="787">
        <v>15384.44</v>
      </c>
      <c r="AU151" s="787">
        <v>0</v>
      </c>
      <c r="AV151" s="787">
        <v>0</v>
      </c>
      <c r="AW151" s="787">
        <v>0</v>
      </c>
      <c r="AX151" s="787">
        <v>0</v>
      </c>
      <c r="AY151" s="787">
        <v>0</v>
      </c>
      <c r="AZ151" s="787">
        <v>21105.41</v>
      </c>
      <c r="BA151" s="787">
        <v>5510.36</v>
      </c>
      <c r="BB151" s="787">
        <v>4356</v>
      </c>
      <c r="BC151" s="787">
        <v>97762.91</v>
      </c>
      <c r="BD151" s="787">
        <v>42506.780000000006</v>
      </c>
      <c r="BE151" s="787">
        <v>14985.23</v>
      </c>
      <c r="BF151" s="787">
        <v>106547.86</v>
      </c>
      <c r="BG151" s="787">
        <v>0</v>
      </c>
      <c r="BH151" s="787">
        <v>0</v>
      </c>
      <c r="BI151" s="787">
        <v>0</v>
      </c>
      <c r="BJ151" s="787">
        <f t="shared" si="16"/>
        <v>1701990.3800000004</v>
      </c>
      <c r="BK151" s="787"/>
      <c r="BL151" s="787"/>
      <c r="BM151" s="787"/>
      <c r="BN151" s="787">
        <v>0</v>
      </c>
      <c r="BO151" s="787">
        <v>0</v>
      </c>
      <c r="BP151" s="787">
        <v>0</v>
      </c>
      <c r="BQ151" s="787">
        <f t="shared" si="17"/>
        <v>0</v>
      </c>
      <c r="BR151" s="787">
        <v>0</v>
      </c>
      <c r="BS151" s="787">
        <v>0</v>
      </c>
      <c r="BT151" s="787">
        <v>0</v>
      </c>
      <c r="BU151" s="787">
        <v>0</v>
      </c>
      <c r="BV151" s="787">
        <v>0</v>
      </c>
      <c r="BW151" s="787">
        <v>0</v>
      </c>
      <c r="BX151" s="787">
        <v>0</v>
      </c>
      <c r="BY151" s="787">
        <v>0</v>
      </c>
      <c r="BZ151" s="787">
        <f t="shared" si="18"/>
        <v>0</v>
      </c>
      <c r="CA151" s="787"/>
      <c r="CB151" s="787"/>
      <c r="CC151" s="787"/>
      <c r="CD151" s="787">
        <v>0</v>
      </c>
      <c r="CE151" s="787">
        <v>0</v>
      </c>
      <c r="CF151" s="787">
        <f t="shared" si="19"/>
        <v>0</v>
      </c>
      <c r="CG151" s="787">
        <v>0</v>
      </c>
      <c r="CH151" s="787">
        <v>0</v>
      </c>
      <c r="CI151" s="787">
        <f t="shared" si="20"/>
        <v>0</v>
      </c>
      <c r="CJ151" s="787"/>
      <c r="CK151" s="787"/>
      <c r="CL151" s="787"/>
      <c r="CM151" s="787"/>
      <c r="CN151" s="787"/>
      <c r="CO151" s="787"/>
      <c r="CP151" s="787"/>
      <c r="CQ151" s="787"/>
      <c r="CR151" s="787"/>
      <c r="CS151" s="787">
        <v>445626.06</v>
      </c>
      <c r="CT151" s="787">
        <v>19688.240000000002</v>
      </c>
      <c r="CU151" s="787">
        <v>0</v>
      </c>
      <c r="CV151" s="787">
        <v>425937.82</v>
      </c>
      <c r="CW151" s="787">
        <v>0</v>
      </c>
      <c r="CX151" s="787">
        <v>2827.74</v>
      </c>
      <c r="CY151" s="787">
        <v>1427.35</v>
      </c>
      <c r="CZ151" s="787">
        <v>0</v>
      </c>
      <c r="DA151" s="787">
        <v>0</v>
      </c>
      <c r="DB151" s="787">
        <v>430192.91</v>
      </c>
      <c r="DC151" s="787">
        <v>0</v>
      </c>
      <c r="DD151" s="787">
        <v>0</v>
      </c>
      <c r="DE151" s="787">
        <v>0</v>
      </c>
      <c r="DF151" s="787">
        <v>0</v>
      </c>
      <c r="DG151" s="787"/>
      <c r="DH151" s="787"/>
      <c r="DI151" s="787"/>
      <c r="DJ151" s="787">
        <v>0</v>
      </c>
      <c r="DK151" s="787">
        <v>0</v>
      </c>
      <c r="DL151" s="787">
        <v>0</v>
      </c>
      <c r="DM151" s="787">
        <v>0</v>
      </c>
      <c r="DN151" s="787">
        <v>0</v>
      </c>
      <c r="DO151" s="787">
        <v>0</v>
      </c>
      <c r="DP151" s="787">
        <v>-136625.16</v>
      </c>
      <c r="DQ151" s="787">
        <v>-26678.85</v>
      </c>
      <c r="DR151" s="787">
        <v>0</v>
      </c>
      <c r="DS151" s="787">
        <v>0</v>
      </c>
      <c r="DT151" s="787">
        <v>-163304.01</v>
      </c>
      <c r="DU151" s="787">
        <v>0</v>
      </c>
      <c r="DV151" s="787">
        <v>0</v>
      </c>
      <c r="DW151" s="787">
        <v>0</v>
      </c>
      <c r="DX151" s="787">
        <v>0</v>
      </c>
      <c r="DY151" s="787">
        <v>0</v>
      </c>
      <c r="DZ151" s="787">
        <v>0</v>
      </c>
      <c r="EA151" s="787">
        <v>0.21786713966866955</v>
      </c>
    </row>
    <row r="152" spans="1:131" ht="15.6">
      <c r="A152" s="782" t="s">
        <v>1445</v>
      </c>
      <c r="B152" s="782" t="s">
        <v>788</v>
      </c>
      <c r="C152" s="783">
        <v>3371</v>
      </c>
      <c r="D152" s="784" t="s">
        <v>789</v>
      </c>
      <c r="E152" s="785" t="s">
        <v>521</v>
      </c>
      <c r="F152" s="786">
        <v>46094</v>
      </c>
      <c r="G152" s="785" t="s">
        <v>5</v>
      </c>
      <c r="H152" s="785" t="str">
        <f t="shared" si="14"/>
        <v>AX067</v>
      </c>
      <c r="I152" s="787">
        <v>0</v>
      </c>
      <c r="J152" s="787">
        <v>0</v>
      </c>
      <c r="K152" s="787">
        <v>0</v>
      </c>
      <c r="L152" s="787">
        <v>0</v>
      </c>
      <c r="M152" s="787">
        <v>0</v>
      </c>
      <c r="N152" s="787">
        <v>0</v>
      </c>
      <c r="O152" s="787">
        <v>0</v>
      </c>
      <c r="P152" s="787">
        <v>0</v>
      </c>
      <c r="Q152" s="787">
        <v>90442.64</v>
      </c>
      <c r="R152" s="787">
        <v>27.060000000000002</v>
      </c>
      <c r="S152" s="787">
        <v>0</v>
      </c>
      <c r="T152" s="787">
        <v>0</v>
      </c>
      <c r="U152" s="787">
        <v>772.66000000000008</v>
      </c>
      <c r="V152" s="787">
        <v>0</v>
      </c>
      <c r="W152" s="787">
        <v>0</v>
      </c>
      <c r="X152" s="787">
        <f t="shared" si="15"/>
        <v>91242.36</v>
      </c>
      <c r="Y152" s="787">
        <v>805358.83</v>
      </c>
      <c r="Z152" s="787">
        <v>0</v>
      </c>
      <c r="AA152" s="787">
        <v>334847.93</v>
      </c>
      <c r="AB152" s="787">
        <v>60462.9</v>
      </c>
      <c r="AC152" s="787">
        <v>110989.78</v>
      </c>
      <c r="AD152" s="787">
        <v>71213.77</v>
      </c>
      <c r="AE152" s="787">
        <v>61569.29</v>
      </c>
      <c r="AF152" s="787">
        <v>5336.29</v>
      </c>
      <c r="AG152" s="787">
        <v>3978.45</v>
      </c>
      <c r="AH152" s="787">
        <v>0</v>
      </c>
      <c r="AI152" s="787">
        <v>0</v>
      </c>
      <c r="AJ152" s="787">
        <v>16181.17</v>
      </c>
      <c r="AK152" s="787">
        <v>6898.48</v>
      </c>
      <c r="AL152" s="787">
        <v>4333.8500000000004</v>
      </c>
      <c r="AM152" s="787">
        <v>3692.78</v>
      </c>
      <c r="AN152" s="787">
        <v>10670.24</v>
      </c>
      <c r="AO152" s="787">
        <v>0</v>
      </c>
      <c r="AP152" s="787">
        <v>7460.87</v>
      </c>
      <c r="AQ152" s="787">
        <v>19776.150000000001</v>
      </c>
      <c r="AR152" s="787">
        <v>0</v>
      </c>
      <c r="AS152" s="787">
        <v>0</v>
      </c>
      <c r="AT152" s="787">
        <v>5533.64</v>
      </c>
      <c r="AU152" s="787">
        <v>0</v>
      </c>
      <c r="AV152" s="787">
        <v>0</v>
      </c>
      <c r="AW152" s="787">
        <v>0</v>
      </c>
      <c r="AX152" s="787">
        <v>0</v>
      </c>
      <c r="AY152" s="787">
        <v>0</v>
      </c>
      <c r="AZ152" s="787">
        <v>89128.79</v>
      </c>
      <c r="BA152" s="787">
        <v>0</v>
      </c>
      <c r="BB152" s="787">
        <v>0</v>
      </c>
      <c r="BC152" s="787">
        <v>42319.519999999997</v>
      </c>
      <c r="BD152" s="787">
        <v>111124.44</v>
      </c>
      <c r="BE152" s="787">
        <v>28640.13</v>
      </c>
      <c r="BF152" s="787">
        <v>108968.34</v>
      </c>
      <c r="BG152" s="787">
        <v>0</v>
      </c>
      <c r="BH152" s="787">
        <v>0</v>
      </c>
      <c r="BI152" s="787">
        <v>0</v>
      </c>
      <c r="BJ152" s="787">
        <f t="shared" si="16"/>
        <v>1908485.64</v>
      </c>
      <c r="BK152" s="787"/>
      <c r="BL152" s="787"/>
      <c r="BM152" s="787"/>
      <c r="BN152" s="787">
        <v>0</v>
      </c>
      <c r="BO152" s="787">
        <v>0</v>
      </c>
      <c r="BP152" s="787">
        <v>0</v>
      </c>
      <c r="BQ152" s="787">
        <f t="shared" si="17"/>
        <v>0</v>
      </c>
      <c r="BR152" s="787">
        <v>0</v>
      </c>
      <c r="BS152" s="787">
        <v>0</v>
      </c>
      <c r="BT152" s="787">
        <v>0</v>
      </c>
      <c r="BU152" s="787">
        <v>0</v>
      </c>
      <c r="BV152" s="787">
        <v>0</v>
      </c>
      <c r="BW152" s="787">
        <v>0</v>
      </c>
      <c r="BX152" s="787">
        <v>0</v>
      </c>
      <c r="BY152" s="787">
        <v>0</v>
      </c>
      <c r="BZ152" s="787">
        <f t="shared" si="18"/>
        <v>0</v>
      </c>
      <c r="CA152" s="787"/>
      <c r="CB152" s="787"/>
      <c r="CC152" s="787"/>
      <c r="CD152" s="787">
        <v>0</v>
      </c>
      <c r="CE152" s="787">
        <v>0</v>
      </c>
      <c r="CF152" s="787">
        <f t="shared" si="19"/>
        <v>0</v>
      </c>
      <c r="CG152" s="787">
        <v>0</v>
      </c>
      <c r="CH152" s="787">
        <v>0</v>
      </c>
      <c r="CI152" s="787">
        <f t="shared" si="20"/>
        <v>0</v>
      </c>
      <c r="CJ152" s="787"/>
      <c r="CK152" s="787"/>
      <c r="CL152" s="787"/>
      <c r="CM152" s="787"/>
      <c r="CN152" s="787"/>
      <c r="CO152" s="787"/>
      <c r="CP152" s="787"/>
      <c r="CQ152" s="787"/>
      <c r="CR152" s="787"/>
      <c r="CS152" s="787">
        <v>270888.99</v>
      </c>
      <c r="CT152" s="787">
        <v>2415.9</v>
      </c>
      <c r="CU152" s="787">
        <v>0</v>
      </c>
      <c r="CV152" s="787">
        <v>268473.08999999997</v>
      </c>
      <c r="CW152" s="787">
        <v>0</v>
      </c>
      <c r="CX152" s="787">
        <v>11506.37</v>
      </c>
      <c r="CY152" s="787">
        <v>3064.45</v>
      </c>
      <c r="CZ152" s="787">
        <v>1263.5999999999999</v>
      </c>
      <c r="DA152" s="787">
        <v>2143.25</v>
      </c>
      <c r="DB152" s="787">
        <v>286450.75999999995</v>
      </c>
      <c r="DC152" s="787">
        <v>0</v>
      </c>
      <c r="DD152" s="787">
        <v>0</v>
      </c>
      <c r="DE152" s="787">
        <v>0</v>
      </c>
      <c r="DF152" s="787">
        <v>0</v>
      </c>
      <c r="DG152" s="787"/>
      <c r="DH152" s="787"/>
      <c r="DI152" s="787"/>
      <c r="DJ152" s="787">
        <v>0</v>
      </c>
      <c r="DK152" s="787">
        <v>0</v>
      </c>
      <c r="DL152" s="787">
        <v>774.13</v>
      </c>
      <c r="DM152" s="787">
        <v>0</v>
      </c>
      <c r="DN152" s="787">
        <v>0</v>
      </c>
      <c r="DO152" s="787">
        <v>0</v>
      </c>
      <c r="DP152" s="787">
        <v>0</v>
      </c>
      <c r="DQ152" s="787">
        <v>0</v>
      </c>
      <c r="DR152" s="787">
        <v>0</v>
      </c>
      <c r="DS152" s="787">
        <v>0</v>
      </c>
      <c r="DT152" s="787">
        <v>774.13</v>
      </c>
      <c r="DU152" s="787">
        <v>1065.01</v>
      </c>
      <c r="DV152" s="787">
        <v>61243.17</v>
      </c>
      <c r="DW152" s="787">
        <v>0</v>
      </c>
      <c r="DX152" s="787">
        <v>0</v>
      </c>
      <c r="DY152" s="787">
        <v>0</v>
      </c>
      <c r="DZ152" s="787">
        <v>-142839.45000000001</v>
      </c>
      <c r="EA152" s="787">
        <v>0.16874289300176315</v>
      </c>
    </row>
    <row r="153" spans="1:131" ht="15.6">
      <c r="A153" s="782" t="s">
        <v>1446</v>
      </c>
      <c r="B153" s="782" t="s">
        <v>790</v>
      </c>
      <c r="C153" s="783">
        <v>3307</v>
      </c>
      <c r="D153" s="784" t="s">
        <v>791</v>
      </c>
      <c r="E153" s="785"/>
      <c r="F153" s="786"/>
      <c r="G153" s="785"/>
      <c r="H153" s="785" t="str">
        <f t="shared" si="14"/>
        <v>AX068</v>
      </c>
      <c r="I153" s="787">
        <v>0</v>
      </c>
      <c r="J153" s="787">
        <v>0</v>
      </c>
      <c r="K153" s="787">
        <v>0</v>
      </c>
      <c r="L153" s="787">
        <v>0</v>
      </c>
      <c r="M153" s="787">
        <v>0</v>
      </c>
      <c r="N153" s="787">
        <v>0</v>
      </c>
      <c r="O153" s="787">
        <v>0</v>
      </c>
      <c r="P153" s="787">
        <v>0</v>
      </c>
      <c r="Q153" s="787">
        <v>67968.460000000079</v>
      </c>
      <c r="R153" s="787">
        <v>0</v>
      </c>
      <c r="S153" s="787">
        <v>0</v>
      </c>
      <c r="T153" s="787">
        <v>0</v>
      </c>
      <c r="U153" s="787">
        <v>0</v>
      </c>
      <c r="V153" s="787">
        <v>0</v>
      </c>
      <c r="W153" s="787">
        <v>0</v>
      </c>
      <c r="X153" s="787">
        <f t="shared" si="15"/>
        <v>67968.460000000079</v>
      </c>
      <c r="Y153" s="787">
        <v>0</v>
      </c>
      <c r="Z153" s="787">
        <v>0</v>
      </c>
      <c r="AA153" s="787">
        <v>0</v>
      </c>
      <c r="AB153" s="787">
        <v>0</v>
      </c>
      <c r="AC153" s="787">
        <v>0</v>
      </c>
      <c r="AD153" s="787">
        <v>0</v>
      </c>
      <c r="AE153" s="787">
        <v>0</v>
      </c>
      <c r="AF153" s="787">
        <v>0</v>
      </c>
      <c r="AG153" s="787">
        <v>0</v>
      </c>
      <c r="AH153" s="787">
        <v>0</v>
      </c>
      <c r="AI153" s="787">
        <v>0</v>
      </c>
      <c r="AJ153" s="787">
        <v>0</v>
      </c>
      <c r="AK153" s="787">
        <v>0</v>
      </c>
      <c r="AL153" s="787">
        <v>0</v>
      </c>
      <c r="AM153" s="787">
        <v>0</v>
      </c>
      <c r="AN153" s="787">
        <v>0</v>
      </c>
      <c r="AO153" s="787">
        <v>0</v>
      </c>
      <c r="AP153" s="787">
        <v>0</v>
      </c>
      <c r="AQ153" s="787">
        <v>2508315.8599999985</v>
      </c>
      <c r="AR153" s="787">
        <v>0</v>
      </c>
      <c r="AS153" s="787">
        <v>0</v>
      </c>
      <c r="AT153" s="787">
        <v>0</v>
      </c>
      <c r="AU153" s="787">
        <v>0</v>
      </c>
      <c r="AV153" s="787">
        <v>0</v>
      </c>
      <c r="AW153" s="787">
        <v>0</v>
      </c>
      <c r="AX153" s="787">
        <v>0</v>
      </c>
      <c r="AY153" s="787">
        <v>0</v>
      </c>
      <c r="AZ153" s="787">
        <v>0</v>
      </c>
      <c r="BA153" s="787">
        <v>0</v>
      </c>
      <c r="BB153" s="787">
        <v>0</v>
      </c>
      <c r="BC153" s="787">
        <v>0</v>
      </c>
      <c r="BD153" s="787">
        <v>0</v>
      </c>
      <c r="BE153" s="787">
        <v>0</v>
      </c>
      <c r="BF153" s="787">
        <v>0</v>
      </c>
      <c r="BG153" s="787">
        <v>0</v>
      </c>
      <c r="BH153" s="787">
        <v>0</v>
      </c>
      <c r="BI153" s="787">
        <v>0</v>
      </c>
      <c r="BJ153" s="787">
        <f t="shared" si="16"/>
        <v>2508315.8599999985</v>
      </c>
      <c r="BK153" s="787"/>
      <c r="BL153" s="787"/>
      <c r="BM153" s="787"/>
      <c r="BN153" s="787">
        <v>0</v>
      </c>
      <c r="BO153" s="787">
        <v>0</v>
      </c>
      <c r="BP153" s="787">
        <v>0</v>
      </c>
      <c r="BQ153" s="787">
        <f t="shared" si="17"/>
        <v>0</v>
      </c>
      <c r="BR153" s="787">
        <v>0</v>
      </c>
      <c r="BS153" s="787">
        <v>0</v>
      </c>
      <c r="BT153" s="787">
        <v>0</v>
      </c>
      <c r="BU153" s="787">
        <v>0</v>
      </c>
      <c r="BV153" s="787">
        <v>0</v>
      </c>
      <c r="BW153" s="787">
        <v>0</v>
      </c>
      <c r="BX153" s="787">
        <v>0</v>
      </c>
      <c r="BY153" s="787">
        <v>0</v>
      </c>
      <c r="BZ153" s="787">
        <f t="shared" si="18"/>
        <v>0</v>
      </c>
      <c r="CA153" s="787"/>
      <c r="CB153" s="787"/>
      <c r="CC153" s="787"/>
      <c r="CD153" s="787">
        <v>0</v>
      </c>
      <c r="CE153" s="787">
        <v>0</v>
      </c>
      <c r="CF153" s="787">
        <f t="shared" si="19"/>
        <v>0</v>
      </c>
      <c r="CG153" s="787">
        <v>0</v>
      </c>
      <c r="CH153" s="787">
        <v>0</v>
      </c>
      <c r="CI153" s="787">
        <f t="shared" si="20"/>
        <v>0</v>
      </c>
      <c r="CJ153" s="787"/>
      <c r="CK153" s="787"/>
      <c r="CL153" s="787"/>
      <c r="CM153" s="787"/>
      <c r="CN153" s="787"/>
      <c r="CO153" s="787"/>
      <c r="CP153" s="787"/>
      <c r="CQ153" s="787"/>
      <c r="CR153" s="787"/>
      <c r="CS153" s="787"/>
      <c r="CT153" s="787"/>
      <c r="CU153" s="787"/>
      <c r="CV153" s="787"/>
      <c r="CW153" s="787"/>
      <c r="CX153" s="787"/>
      <c r="CY153" s="787"/>
      <c r="CZ153" s="787"/>
      <c r="DA153" s="787"/>
      <c r="DB153" s="787"/>
      <c r="DC153" s="787"/>
      <c r="DD153" s="787"/>
      <c r="DE153" s="787"/>
      <c r="DF153" s="787"/>
      <c r="DG153" s="787"/>
      <c r="DH153" s="787"/>
      <c r="DI153" s="787"/>
      <c r="DJ153" s="787"/>
      <c r="DK153" s="787"/>
      <c r="DL153" s="787"/>
      <c r="DM153" s="787"/>
      <c r="DN153" s="787"/>
      <c r="DO153" s="787"/>
      <c r="DP153" s="787"/>
      <c r="DQ153" s="787"/>
      <c r="DR153" s="787"/>
      <c r="DS153" s="787"/>
      <c r="DT153" s="787"/>
      <c r="DU153" s="787"/>
      <c r="DV153" s="787"/>
      <c r="DW153" s="787"/>
      <c r="DX153" s="787"/>
      <c r="DY153" s="787"/>
      <c r="DZ153" s="787"/>
      <c r="EA153" s="787"/>
    </row>
    <row r="154" spans="1:131" ht="15.6">
      <c r="A154" s="782" t="s">
        <v>1447</v>
      </c>
      <c r="B154" s="782" t="s">
        <v>792</v>
      </c>
      <c r="C154" s="783">
        <v>3361</v>
      </c>
      <c r="D154" s="784" t="s">
        <v>793</v>
      </c>
      <c r="E154" s="785" t="s">
        <v>521</v>
      </c>
      <c r="F154" s="786" t="s">
        <v>1322</v>
      </c>
      <c r="G154" s="785" t="s">
        <v>5</v>
      </c>
      <c r="H154" s="785" t="str">
        <f t="shared" si="14"/>
        <v>AX069</v>
      </c>
      <c r="I154" s="787">
        <v>0</v>
      </c>
      <c r="J154" s="787">
        <v>0</v>
      </c>
      <c r="K154" s="787">
        <v>0</v>
      </c>
      <c r="L154" s="787">
        <v>0</v>
      </c>
      <c r="M154" s="787">
        <v>0</v>
      </c>
      <c r="N154" s="787">
        <v>0</v>
      </c>
      <c r="O154" s="787">
        <v>0</v>
      </c>
      <c r="P154" s="787">
        <v>0</v>
      </c>
      <c r="Q154" s="787">
        <v>0</v>
      </c>
      <c r="R154" s="787">
        <v>22466.92</v>
      </c>
      <c r="S154" s="787">
        <v>0</v>
      </c>
      <c r="T154" s="787">
        <v>0</v>
      </c>
      <c r="U154" s="787">
        <v>19328.63</v>
      </c>
      <c r="V154" s="787">
        <v>27178.639999999999</v>
      </c>
      <c r="W154" s="787">
        <v>0</v>
      </c>
      <c r="X154" s="787">
        <f t="shared" si="15"/>
        <v>68974.19</v>
      </c>
      <c r="Y154" s="787">
        <v>1384242.98</v>
      </c>
      <c r="Z154" s="787">
        <v>0</v>
      </c>
      <c r="AA154" s="787">
        <v>451267.75</v>
      </c>
      <c r="AB154" s="787">
        <v>35211.409999999996</v>
      </c>
      <c r="AC154" s="787">
        <v>99889.18</v>
      </c>
      <c r="AD154" s="787">
        <v>0</v>
      </c>
      <c r="AE154" s="787">
        <v>101499.98999999999</v>
      </c>
      <c r="AF154" s="787">
        <v>759.5</v>
      </c>
      <c r="AG154" s="787">
        <v>960</v>
      </c>
      <c r="AH154" s="787">
        <v>0</v>
      </c>
      <c r="AI154" s="787">
        <v>0</v>
      </c>
      <c r="AJ154" s="787">
        <v>21169.200000000001</v>
      </c>
      <c r="AK154" s="787">
        <v>2061.1999999999998</v>
      </c>
      <c r="AL154" s="787">
        <v>37766.730000000003</v>
      </c>
      <c r="AM154" s="787">
        <v>12250.08</v>
      </c>
      <c r="AN154" s="787">
        <v>28172.15</v>
      </c>
      <c r="AO154" s="787">
        <v>0</v>
      </c>
      <c r="AP154" s="787">
        <v>35528.35</v>
      </c>
      <c r="AQ154" s="787">
        <v>43449.41</v>
      </c>
      <c r="AR154" s="787">
        <v>0</v>
      </c>
      <c r="AS154" s="787">
        <v>1105</v>
      </c>
      <c r="AT154" s="787">
        <v>2377.75</v>
      </c>
      <c r="AU154" s="787">
        <v>2102.35</v>
      </c>
      <c r="AV154" s="787">
        <v>0</v>
      </c>
      <c r="AW154" s="787">
        <v>0</v>
      </c>
      <c r="AX154" s="787">
        <v>623.5</v>
      </c>
      <c r="AY154" s="787">
        <v>0</v>
      </c>
      <c r="AZ154" s="787">
        <v>22557.7</v>
      </c>
      <c r="BA154" s="787">
        <v>0</v>
      </c>
      <c r="BB154" s="787">
        <v>6928</v>
      </c>
      <c r="BC154" s="787">
        <v>150697.29</v>
      </c>
      <c r="BD154" s="787">
        <v>2595.38</v>
      </c>
      <c r="BE154" s="787">
        <v>28857.340000000004</v>
      </c>
      <c r="BF154" s="787">
        <v>53704.85</v>
      </c>
      <c r="BG154" s="787">
        <v>0</v>
      </c>
      <c r="BH154" s="787">
        <v>0</v>
      </c>
      <c r="BI154" s="787">
        <v>0</v>
      </c>
      <c r="BJ154" s="787">
        <f t="shared" si="16"/>
        <v>2525777.0900000003</v>
      </c>
      <c r="BK154" s="787"/>
      <c r="BL154" s="787"/>
      <c r="BM154" s="787"/>
      <c r="BN154" s="787">
        <v>0</v>
      </c>
      <c r="BO154" s="787">
        <v>0</v>
      </c>
      <c r="BP154" s="787">
        <v>0</v>
      </c>
      <c r="BQ154" s="787">
        <f t="shared" si="17"/>
        <v>0</v>
      </c>
      <c r="BR154" s="787">
        <v>0</v>
      </c>
      <c r="BS154" s="787">
        <v>0</v>
      </c>
      <c r="BT154" s="787">
        <v>0</v>
      </c>
      <c r="BU154" s="787">
        <v>0</v>
      </c>
      <c r="BV154" s="787">
        <v>0</v>
      </c>
      <c r="BW154" s="787">
        <v>0</v>
      </c>
      <c r="BX154" s="787">
        <v>0</v>
      </c>
      <c r="BY154" s="787">
        <v>0</v>
      </c>
      <c r="BZ154" s="787">
        <f t="shared" si="18"/>
        <v>0</v>
      </c>
      <c r="CA154" s="787"/>
      <c r="CB154" s="787"/>
      <c r="CC154" s="787"/>
      <c r="CD154" s="787">
        <v>0</v>
      </c>
      <c r="CE154" s="787">
        <v>0</v>
      </c>
      <c r="CF154" s="787">
        <f t="shared" si="19"/>
        <v>0</v>
      </c>
      <c r="CG154" s="787">
        <v>0</v>
      </c>
      <c r="CH154" s="787">
        <v>0</v>
      </c>
      <c r="CI154" s="787">
        <f t="shared" si="20"/>
        <v>0</v>
      </c>
      <c r="CJ154" s="787"/>
      <c r="CK154" s="787"/>
      <c r="CL154" s="787"/>
      <c r="CM154" s="787"/>
      <c r="CN154" s="787"/>
      <c r="CO154" s="787"/>
      <c r="CP154" s="787"/>
      <c r="CQ154" s="787"/>
      <c r="CR154" s="787"/>
      <c r="CS154" s="787"/>
      <c r="CT154" s="787"/>
      <c r="CU154" s="787"/>
      <c r="CV154" s="787"/>
      <c r="CW154" s="787"/>
      <c r="CX154" s="787"/>
      <c r="CY154" s="787"/>
      <c r="CZ154" s="787"/>
      <c r="DA154" s="787"/>
      <c r="DB154" s="787"/>
      <c r="DC154" s="787"/>
      <c r="DD154" s="787"/>
      <c r="DE154" s="787"/>
      <c r="DF154" s="787"/>
      <c r="DG154" s="787"/>
      <c r="DH154" s="787"/>
      <c r="DI154" s="787"/>
      <c r="DJ154" s="787"/>
      <c r="DK154" s="787"/>
      <c r="DL154" s="787"/>
      <c r="DM154" s="787"/>
      <c r="DN154" s="787"/>
      <c r="DO154" s="787"/>
      <c r="DP154" s="787"/>
      <c r="DQ154" s="787"/>
      <c r="DR154" s="787"/>
      <c r="DS154" s="787"/>
      <c r="DT154" s="787"/>
      <c r="DU154" s="787"/>
      <c r="DV154" s="787"/>
      <c r="DW154" s="787"/>
      <c r="DX154" s="787"/>
      <c r="DY154" s="787"/>
      <c r="DZ154" s="787"/>
      <c r="EA154" s="787"/>
    </row>
    <row r="155" spans="1:131" ht="15.6">
      <c r="A155" s="782" t="s">
        <v>1448</v>
      </c>
      <c r="B155" s="782" t="s">
        <v>924</v>
      </c>
      <c r="C155" s="783">
        <v>3382</v>
      </c>
      <c r="D155" s="784" t="s">
        <v>925</v>
      </c>
      <c r="E155" s="785" t="s">
        <v>521</v>
      </c>
      <c r="F155" s="786">
        <v>0</v>
      </c>
      <c r="G155" s="785" t="s">
        <v>5</v>
      </c>
      <c r="H155" s="785" t="str">
        <f t="shared" si="14"/>
        <v>AX06B</v>
      </c>
      <c r="I155" s="787">
        <v>0</v>
      </c>
      <c r="J155" s="787">
        <v>0</v>
      </c>
      <c r="K155" s="787">
        <v>0</v>
      </c>
      <c r="L155" s="787">
        <v>0</v>
      </c>
      <c r="M155" s="787">
        <v>0</v>
      </c>
      <c r="N155" s="787">
        <v>0</v>
      </c>
      <c r="O155" s="787">
        <v>0</v>
      </c>
      <c r="P155" s="787">
        <v>0</v>
      </c>
      <c r="Q155" s="787">
        <v>14887.179999999998</v>
      </c>
      <c r="R155" s="787">
        <v>5534.66</v>
      </c>
      <c r="S155" s="787">
        <v>0</v>
      </c>
      <c r="T155" s="787">
        <v>0</v>
      </c>
      <c r="U155" s="787">
        <v>12826.05</v>
      </c>
      <c r="V155" s="787">
        <v>4100</v>
      </c>
      <c r="W155" s="787">
        <v>0</v>
      </c>
      <c r="X155" s="787">
        <f t="shared" si="15"/>
        <v>37347.89</v>
      </c>
      <c r="Y155" s="787">
        <v>754229.36</v>
      </c>
      <c r="Z155" s="787">
        <v>0</v>
      </c>
      <c r="AA155" s="787">
        <v>212905.27999999997</v>
      </c>
      <c r="AB155" s="787">
        <v>29688.45</v>
      </c>
      <c r="AC155" s="787">
        <v>103022.94</v>
      </c>
      <c r="AD155" s="787">
        <v>0</v>
      </c>
      <c r="AE155" s="787">
        <v>25109.760000000002</v>
      </c>
      <c r="AF155" s="787">
        <v>4884.8999999999996</v>
      </c>
      <c r="AG155" s="787">
        <v>1170</v>
      </c>
      <c r="AH155" s="787">
        <v>0</v>
      </c>
      <c r="AI155" s="787">
        <v>5307.15</v>
      </c>
      <c r="AJ155" s="787">
        <v>16883.48</v>
      </c>
      <c r="AK155" s="787">
        <v>308</v>
      </c>
      <c r="AL155" s="787">
        <v>32766.09</v>
      </c>
      <c r="AM155" s="787">
        <v>6937.42</v>
      </c>
      <c r="AN155" s="787">
        <v>26532.74</v>
      </c>
      <c r="AO155" s="787">
        <v>0</v>
      </c>
      <c r="AP155" s="787">
        <v>18593.43</v>
      </c>
      <c r="AQ155" s="787">
        <v>37721.75</v>
      </c>
      <c r="AR155" s="787">
        <v>0</v>
      </c>
      <c r="AS155" s="787">
        <v>0</v>
      </c>
      <c r="AT155" s="787">
        <v>5769.37</v>
      </c>
      <c r="AU155" s="787">
        <v>0</v>
      </c>
      <c r="AV155" s="787">
        <v>0</v>
      </c>
      <c r="AW155" s="787">
        <v>7622.75</v>
      </c>
      <c r="AX155" s="787">
        <v>780</v>
      </c>
      <c r="AY155" s="787">
        <v>0</v>
      </c>
      <c r="AZ155" s="787">
        <v>7257.91</v>
      </c>
      <c r="BA155" s="787">
        <v>0</v>
      </c>
      <c r="BB155" s="787">
        <v>2584</v>
      </c>
      <c r="BC155" s="787">
        <v>126944.87999999999</v>
      </c>
      <c r="BD155" s="787">
        <v>135</v>
      </c>
      <c r="BE155" s="787">
        <v>2505</v>
      </c>
      <c r="BF155" s="787">
        <v>92562.57</v>
      </c>
      <c r="BG155" s="787">
        <v>0</v>
      </c>
      <c r="BH155" s="787">
        <v>0</v>
      </c>
      <c r="BI155" s="787">
        <v>0</v>
      </c>
      <c r="BJ155" s="787">
        <f t="shared" si="16"/>
        <v>1522222.2299999995</v>
      </c>
      <c r="BK155" s="787"/>
      <c r="BL155" s="787"/>
      <c r="BM155" s="787"/>
      <c r="BN155" s="787">
        <v>7846.66</v>
      </c>
      <c r="BO155" s="787">
        <v>0</v>
      </c>
      <c r="BP155" s="787">
        <v>0</v>
      </c>
      <c r="BQ155" s="787">
        <f t="shared" si="17"/>
        <v>7846.66</v>
      </c>
      <c r="BR155" s="787">
        <v>0</v>
      </c>
      <c r="BS155" s="787">
        <v>0</v>
      </c>
      <c r="BT155" s="787">
        <v>0</v>
      </c>
      <c r="BU155" s="787">
        <v>0</v>
      </c>
      <c r="BV155" s="787">
        <v>0</v>
      </c>
      <c r="BW155" s="787">
        <v>0</v>
      </c>
      <c r="BX155" s="787">
        <v>0</v>
      </c>
      <c r="BY155" s="787">
        <v>0</v>
      </c>
      <c r="BZ155" s="787">
        <f t="shared" si="18"/>
        <v>0</v>
      </c>
      <c r="CA155" s="787"/>
      <c r="CB155" s="787"/>
      <c r="CC155" s="787"/>
      <c r="CD155" s="787">
        <v>0</v>
      </c>
      <c r="CE155" s="787">
        <v>0</v>
      </c>
      <c r="CF155" s="787">
        <f t="shared" si="19"/>
        <v>0</v>
      </c>
      <c r="CG155" s="787">
        <v>0</v>
      </c>
      <c r="CH155" s="787">
        <v>0</v>
      </c>
      <c r="CI155" s="787">
        <f t="shared" si="20"/>
        <v>0</v>
      </c>
      <c r="CJ155" s="787"/>
      <c r="CK155" s="787"/>
      <c r="CL155" s="787"/>
      <c r="CM155" s="787"/>
      <c r="CN155" s="787"/>
      <c r="CO155" s="787"/>
      <c r="CP155" s="787"/>
      <c r="CQ155" s="787"/>
      <c r="CR155" s="787"/>
      <c r="CS155" s="787">
        <v>252459.93</v>
      </c>
      <c r="CT155" s="787">
        <v>728.88</v>
      </c>
      <c r="CU155" s="787">
        <v>0</v>
      </c>
      <c r="CV155" s="787">
        <v>251731.05</v>
      </c>
      <c r="CW155" s="787">
        <v>-2175.37</v>
      </c>
      <c r="CX155" s="787">
        <v>5671.08</v>
      </c>
      <c r="CY155" s="787">
        <v>1585.95</v>
      </c>
      <c r="CZ155" s="787">
        <v>0</v>
      </c>
      <c r="DA155" s="787">
        <v>12176.139999999985</v>
      </c>
      <c r="DB155" s="787">
        <v>268988.84999999998</v>
      </c>
      <c r="DC155" s="787">
        <v>0</v>
      </c>
      <c r="DD155" s="787">
        <v>0</v>
      </c>
      <c r="DE155" s="787">
        <v>0</v>
      </c>
      <c r="DF155" s="787">
        <v>0</v>
      </c>
      <c r="DG155" s="787"/>
      <c r="DH155" s="787"/>
      <c r="DI155" s="787"/>
      <c r="DJ155" s="787">
        <v>0</v>
      </c>
      <c r="DK155" s="787">
        <v>0</v>
      </c>
      <c r="DL155" s="787">
        <v>0</v>
      </c>
      <c r="DM155" s="787">
        <v>0</v>
      </c>
      <c r="DN155" s="787">
        <v>0</v>
      </c>
      <c r="DO155" s="787">
        <v>0</v>
      </c>
      <c r="DP155" s="787">
        <v>-106960.39</v>
      </c>
      <c r="DQ155" s="787">
        <v>-60395.46</v>
      </c>
      <c r="DR155" s="787">
        <v>0</v>
      </c>
      <c r="DS155" s="787">
        <v>0</v>
      </c>
      <c r="DT155" s="787">
        <v>-167355.85</v>
      </c>
      <c r="DU155" s="787">
        <v>0</v>
      </c>
      <c r="DV155" s="787">
        <v>0</v>
      </c>
      <c r="DW155" s="787">
        <v>0</v>
      </c>
      <c r="DX155" s="787">
        <v>0</v>
      </c>
      <c r="DY155" s="787">
        <v>0</v>
      </c>
      <c r="DZ155" s="787">
        <v>-19321.13</v>
      </c>
      <c r="EA155" s="787">
        <v>-0.41363186892704107</v>
      </c>
    </row>
    <row r="156" spans="1:131" ht="15.6">
      <c r="A156" s="782" t="s">
        <v>1449</v>
      </c>
      <c r="B156" s="782" t="s">
        <v>794</v>
      </c>
      <c r="C156" s="783">
        <v>3344</v>
      </c>
      <c r="D156" s="784" t="s">
        <v>795</v>
      </c>
      <c r="E156" s="785" t="s">
        <v>521</v>
      </c>
      <c r="F156" s="786">
        <v>46092</v>
      </c>
      <c r="G156" s="785" t="s">
        <v>5</v>
      </c>
      <c r="H156" s="785" t="str">
        <f t="shared" si="14"/>
        <v>AX06E</v>
      </c>
      <c r="I156" s="787">
        <v>0</v>
      </c>
      <c r="J156" s="787">
        <v>0</v>
      </c>
      <c r="K156" s="787">
        <v>0</v>
      </c>
      <c r="L156" s="787">
        <v>0</v>
      </c>
      <c r="M156" s="787">
        <v>5700</v>
      </c>
      <c r="N156" s="787">
        <v>0</v>
      </c>
      <c r="O156" s="787">
        <v>0</v>
      </c>
      <c r="P156" s="787">
        <v>11283</v>
      </c>
      <c r="Q156" s="787">
        <v>8801.8851600000526</v>
      </c>
      <c r="R156" s="787">
        <v>45780.69</v>
      </c>
      <c r="S156" s="787">
        <v>0</v>
      </c>
      <c r="T156" s="787">
        <v>0</v>
      </c>
      <c r="U156" s="787">
        <v>15123</v>
      </c>
      <c r="V156" s="787">
        <v>1000</v>
      </c>
      <c r="W156" s="787">
        <v>0</v>
      </c>
      <c r="X156" s="787">
        <f t="shared" si="15"/>
        <v>87688.575160000051</v>
      </c>
      <c r="Y156" s="787">
        <v>1284255.06</v>
      </c>
      <c r="Z156" s="787">
        <v>0</v>
      </c>
      <c r="AA156" s="787">
        <v>471517.35000000003</v>
      </c>
      <c r="AB156" s="787">
        <v>96505.2</v>
      </c>
      <c r="AC156" s="787">
        <v>157933.79</v>
      </c>
      <c r="AD156" s="787">
        <v>0</v>
      </c>
      <c r="AE156" s="787">
        <v>87899.96</v>
      </c>
      <c r="AF156" s="787">
        <v>1300.71</v>
      </c>
      <c r="AG156" s="787">
        <v>8599.49</v>
      </c>
      <c r="AH156" s="787">
        <v>0</v>
      </c>
      <c r="AI156" s="787">
        <v>0</v>
      </c>
      <c r="AJ156" s="787">
        <v>36910.31</v>
      </c>
      <c r="AK156" s="787">
        <v>20686.2</v>
      </c>
      <c r="AL156" s="787">
        <v>3704.5</v>
      </c>
      <c r="AM156" s="787">
        <v>8223.2799999999988</v>
      </c>
      <c r="AN156" s="787">
        <v>36787.620000000003</v>
      </c>
      <c r="AO156" s="787">
        <v>0</v>
      </c>
      <c r="AP156" s="787">
        <v>16065.05</v>
      </c>
      <c r="AQ156" s="787">
        <v>57003.42</v>
      </c>
      <c r="AR156" s="787">
        <v>5655.05</v>
      </c>
      <c r="AS156" s="787">
        <v>1275</v>
      </c>
      <c r="AT156" s="787">
        <v>8622.4500000000007</v>
      </c>
      <c r="AU156" s="787">
        <v>16149.43</v>
      </c>
      <c r="AV156" s="787">
        <v>15793.47</v>
      </c>
      <c r="AW156" s="787">
        <v>71.13</v>
      </c>
      <c r="AX156" s="787">
        <v>10873.36</v>
      </c>
      <c r="AY156" s="787">
        <v>0</v>
      </c>
      <c r="AZ156" s="787">
        <v>10247.77</v>
      </c>
      <c r="BA156" s="787">
        <v>4010.5499999999993</v>
      </c>
      <c r="BB156" s="787">
        <v>0</v>
      </c>
      <c r="BC156" s="787">
        <v>145010.62</v>
      </c>
      <c r="BD156" s="787">
        <v>9697.119999999999</v>
      </c>
      <c r="BE156" s="787">
        <v>22465.97</v>
      </c>
      <c r="BF156" s="787">
        <v>113265.51999999999</v>
      </c>
      <c r="BG156" s="787">
        <v>0</v>
      </c>
      <c r="BH156" s="787">
        <v>0</v>
      </c>
      <c r="BI156" s="787">
        <v>0</v>
      </c>
      <c r="BJ156" s="787">
        <f t="shared" si="16"/>
        <v>2650529.3800000008</v>
      </c>
      <c r="BK156" s="787"/>
      <c r="BL156" s="787"/>
      <c r="BM156" s="787"/>
      <c r="BN156" s="787">
        <v>12230.69</v>
      </c>
      <c r="BO156" s="787">
        <v>0</v>
      </c>
      <c r="BP156" s="787">
        <v>0</v>
      </c>
      <c r="BQ156" s="787">
        <f t="shared" si="17"/>
        <v>12230.69</v>
      </c>
      <c r="BR156" s="787">
        <v>0</v>
      </c>
      <c r="BS156" s="787">
        <v>0</v>
      </c>
      <c r="BT156" s="787">
        <v>0</v>
      </c>
      <c r="BU156" s="787">
        <v>0</v>
      </c>
      <c r="BV156" s="787">
        <v>0</v>
      </c>
      <c r="BW156" s="787">
        <v>0</v>
      </c>
      <c r="BX156" s="787">
        <v>12230.69</v>
      </c>
      <c r="BY156" s="787">
        <v>0</v>
      </c>
      <c r="BZ156" s="787">
        <f t="shared" si="18"/>
        <v>12230.69</v>
      </c>
      <c r="CA156" s="787"/>
      <c r="CB156" s="787"/>
      <c r="CC156" s="787"/>
      <c r="CD156" s="787">
        <v>0</v>
      </c>
      <c r="CE156" s="787">
        <v>0</v>
      </c>
      <c r="CF156" s="787">
        <f t="shared" si="19"/>
        <v>0</v>
      </c>
      <c r="CG156" s="787">
        <v>0</v>
      </c>
      <c r="CH156" s="787">
        <v>0</v>
      </c>
      <c r="CI156" s="787">
        <f t="shared" si="20"/>
        <v>0</v>
      </c>
      <c r="CJ156" s="787"/>
      <c r="CK156" s="787"/>
      <c r="CL156" s="787"/>
      <c r="CM156" s="787"/>
      <c r="CN156" s="787"/>
      <c r="CO156" s="787"/>
      <c r="CP156" s="787"/>
      <c r="CQ156" s="787"/>
      <c r="CR156" s="787"/>
      <c r="CS156" s="787">
        <v>384903.45</v>
      </c>
      <c r="CT156" s="787">
        <v>0</v>
      </c>
      <c r="CU156" s="787">
        <v>0</v>
      </c>
      <c r="CV156" s="787">
        <v>384903.45</v>
      </c>
      <c r="CW156" s="787">
        <v>0</v>
      </c>
      <c r="CX156" s="787">
        <v>6155.95</v>
      </c>
      <c r="CY156" s="787">
        <v>8264.33</v>
      </c>
      <c r="CZ156" s="787">
        <v>0</v>
      </c>
      <c r="DA156" s="787">
        <v>0</v>
      </c>
      <c r="DB156" s="787">
        <v>399323.73000000004</v>
      </c>
      <c r="DC156" s="787">
        <v>0</v>
      </c>
      <c r="DD156" s="787">
        <v>0</v>
      </c>
      <c r="DE156" s="787">
        <v>0</v>
      </c>
      <c r="DF156" s="787">
        <v>0</v>
      </c>
      <c r="DG156" s="787"/>
      <c r="DH156" s="787"/>
      <c r="DI156" s="787"/>
      <c r="DJ156" s="787">
        <v>0</v>
      </c>
      <c r="DK156" s="787">
        <v>0</v>
      </c>
      <c r="DL156" s="787">
        <v>0</v>
      </c>
      <c r="DM156" s="787">
        <v>0</v>
      </c>
      <c r="DN156" s="787">
        <v>4056</v>
      </c>
      <c r="DO156" s="787">
        <v>0</v>
      </c>
      <c r="DP156" s="787">
        <v>-196525.69</v>
      </c>
      <c r="DQ156" s="787">
        <v>-39050.78</v>
      </c>
      <c r="DR156" s="787">
        <v>0</v>
      </c>
      <c r="DS156" s="787">
        <v>0</v>
      </c>
      <c r="DT156" s="787">
        <v>-231520.47</v>
      </c>
      <c r="DU156" s="787">
        <v>0</v>
      </c>
      <c r="DV156" s="787">
        <v>0</v>
      </c>
      <c r="DW156" s="787">
        <v>0</v>
      </c>
      <c r="DX156" s="787">
        <v>0</v>
      </c>
      <c r="DY156" s="787">
        <v>0</v>
      </c>
      <c r="DZ156" s="787">
        <v>-39311.760000000002</v>
      </c>
      <c r="EA156" s="787">
        <v>4.9629345652647316E-2</v>
      </c>
    </row>
    <row r="157" spans="1:131" ht="15.6">
      <c r="A157" s="782" t="s">
        <v>1450</v>
      </c>
      <c r="B157" s="782" t="s">
        <v>796</v>
      </c>
      <c r="C157" s="783">
        <v>3025</v>
      </c>
      <c r="D157" s="784" t="s">
        <v>797</v>
      </c>
      <c r="E157" s="785" t="s">
        <v>521</v>
      </c>
      <c r="F157" s="786">
        <v>46094</v>
      </c>
      <c r="G157" s="785" t="s">
        <v>5</v>
      </c>
      <c r="H157" s="785" t="str">
        <f t="shared" si="14"/>
        <v>AX06D</v>
      </c>
      <c r="I157" s="787">
        <v>0</v>
      </c>
      <c r="J157" s="787">
        <v>0</v>
      </c>
      <c r="K157" s="787">
        <v>0</v>
      </c>
      <c r="L157" s="787">
        <v>0</v>
      </c>
      <c r="M157" s="787">
        <v>0</v>
      </c>
      <c r="N157" s="787">
        <v>0</v>
      </c>
      <c r="O157" s="787">
        <v>0</v>
      </c>
      <c r="P157" s="787">
        <v>0</v>
      </c>
      <c r="Q157" s="787">
        <v>1216.8099999999995</v>
      </c>
      <c r="R157" s="787">
        <v>34928.550000000003</v>
      </c>
      <c r="S157" s="787">
        <v>6830.75</v>
      </c>
      <c r="T157" s="787">
        <v>0</v>
      </c>
      <c r="U157" s="787">
        <v>42959.88</v>
      </c>
      <c r="V157" s="787">
        <v>6582.94</v>
      </c>
      <c r="W157" s="787">
        <v>0</v>
      </c>
      <c r="X157" s="787">
        <f t="shared" si="15"/>
        <v>92518.93</v>
      </c>
      <c r="Y157" s="787">
        <v>1237559.7</v>
      </c>
      <c r="Z157" s="787">
        <v>0</v>
      </c>
      <c r="AA157" s="787">
        <v>305599.91000000003</v>
      </c>
      <c r="AB157" s="787">
        <v>49664.819999999992</v>
      </c>
      <c r="AC157" s="787">
        <v>183528.65999999997</v>
      </c>
      <c r="AD157" s="787">
        <v>60162.080000000002</v>
      </c>
      <c r="AE157" s="787">
        <v>77904.23</v>
      </c>
      <c r="AF157" s="787">
        <v>532.64</v>
      </c>
      <c r="AG157" s="787">
        <v>6336.57</v>
      </c>
      <c r="AH157" s="787">
        <v>0</v>
      </c>
      <c r="AI157" s="787">
        <v>0</v>
      </c>
      <c r="AJ157" s="787">
        <v>40688.979999999996</v>
      </c>
      <c r="AK157" s="787">
        <v>1570</v>
      </c>
      <c r="AL157" s="787">
        <v>1107.98</v>
      </c>
      <c r="AM157" s="787">
        <v>8631.8799999999992</v>
      </c>
      <c r="AN157" s="787">
        <v>22685.23</v>
      </c>
      <c r="AO157" s="787">
        <v>0</v>
      </c>
      <c r="AP157" s="787">
        <v>9919.61</v>
      </c>
      <c r="AQ157" s="787">
        <v>74556.479999999996</v>
      </c>
      <c r="AR157" s="787">
        <v>0</v>
      </c>
      <c r="AS157" s="787">
        <v>0</v>
      </c>
      <c r="AT157" s="787">
        <v>6696.17</v>
      </c>
      <c r="AU157" s="787">
        <v>13626.17</v>
      </c>
      <c r="AV157" s="787">
        <v>0</v>
      </c>
      <c r="AW157" s="787">
        <v>3420.33</v>
      </c>
      <c r="AX157" s="787">
        <v>0</v>
      </c>
      <c r="AY157" s="787">
        <v>0</v>
      </c>
      <c r="AZ157" s="787">
        <v>23502.76</v>
      </c>
      <c r="BA157" s="787">
        <v>9471</v>
      </c>
      <c r="BB157" s="787">
        <v>2185</v>
      </c>
      <c r="BC157" s="787">
        <v>46949.41</v>
      </c>
      <c r="BD157" s="787">
        <v>447078.75999999995</v>
      </c>
      <c r="BE157" s="787">
        <v>15148.950000000003</v>
      </c>
      <c r="BF157" s="787">
        <v>108488.12</v>
      </c>
      <c r="BG157" s="787">
        <v>0</v>
      </c>
      <c r="BH157" s="787">
        <v>0</v>
      </c>
      <c r="BI157" s="787">
        <v>0</v>
      </c>
      <c r="BJ157" s="787">
        <f t="shared" si="16"/>
        <v>2757015.44</v>
      </c>
      <c r="BK157" s="787"/>
      <c r="BL157" s="787"/>
      <c r="BM157" s="787"/>
      <c r="BN157" s="787">
        <v>0</v>
      </c>
      <c r="BO157" s="787">
        <v>0</v>
      </c>
      <c r="BP157" s="787">
        <v>0</v>
      </c>
      <c r="BQ157" s="787">
        <f t="shared" si="17"/>
        <v>0</v>
      </c>
      <c r="BR157" s="787">
        <v>0</v>
      </c>
      <c r="BS157" s="787">
        <v>0</v>
      </c>
      <c r="BT157" s="787">
        <v>0</v>
      </c>
      <c r="BU157" s="787">
        <v>0</v>
      </c>
      <c r="BV157" s="787">
        <v>0</v>
      </c>
      <c r="BW157" s="787">
        <v>0</v>
      </c>
      <c r="BX157" s="787">
        <v>0</v>
      </c>
      <c r="BY157" s="787">
        <v>0</v>
      </c>
      <c r="BZ157" s="787">
        <f t="shared" si="18"/>
        <v>0</v>
      </c>
      <c r="CA157" s="787"/>
      <c r="CB157" s="787"/>
      <c r="CC157" s="787"/>
      <c r="CD157" s="787">
        <v>0</v>
      </c>
      <c r="CE157" s="787">
        <v>0</v>
      </c>
      <c r="CF157" s="787">
        <f t="shared" si="19"/>
        <v>0</v>
      </c>
      <c r="CG157" s="787">
        <v>0</v>
      </c>
      <c r="CH157" s="787">
        <v>0</v>
      </c>
      <c r="CI157" s="787">
        <f t="shared" si="20"/>
        <v>0</v>
      </c>
      <c r="CJ157" s="787"/>
      <c r="CK157" s="787"/>
      <c r="CL157" s="787"/>
      <c r="CM157" s="787"/>
      <c r="CN157" s="787"/>
      <c r="CO157" s="787"/>
      <c r="CP157" s="787"/>
      <c r="CQ157" s="787"/>
      <c r="CR157" s="787"/>
      <c r="CS157" s="787">
        <v>528488.79</v>
      </c>
      <c r="CT157" s="787">
        <v>15115.45</v>
      </c>
      <c r="CU157" s="787">
        <v>0</v>
      </c>
      <c r="CV157" s="787">
        <v>513373.34</v>
      </c>
      <c r="CW157" s="787">
        <v>0</v>
      </c>
      <c r="CX157" s="787">
        <v>16845.46</v>
      </c>
      <c r="CY157" s="787">
        <v>5920.28</v>
      </c>
      <c r="CZ157" s="787">
        <v>0</v>
      </c>
      <c r="DA157" s="787">
        <v>0</v>
      </c>
      <c r="DB157" s="787">
        <v>536139.08000000007</v>
      </c>
      <c r="DC157" s="787">
        <v>0</v>
      </c>
      <c r="DD157" s="787">
        <v>0</v>
      </c>
      <c r="DE157" s="787">
        <v>0</v>
      </c>
      <c r="DF157" s="787">
        <v>0</v>
      </c>
      <c r="DG157" s="787"/>
      <c r="DH157" s="787"/>
      <c r="DI157" s="787"/>
      <c r="DJ157" s="787">
        <v>0</v>
      </c>
      <c r="DK157" s="787">
        <v>0</v>
      </c>
      <c r="DL157" s="787">
        <v>0</v>
      </c>
      <c r="DM157" s="787">
        <v>0</v>
      </c>
      <c r="DN157" s="787">
        <v>0</v>
      </c>
      <c r="DO157" s="787">
        <v>0</v>
      </c>
      <c r="DP157" s="787">
        <v>-254313.43</v>
      </c>
      <c r="DQ157" s="787">
        <v>0</v>
      </c>
      <c r="DR157" s="787">
        <v>0</v>
      </c>
      <c r="DS157" s="787">
        <v>0</v>
      </c>
      <c r="DT157" s="787">
        <v>-254313.43</v>
      </c>
      <c r="DU157" s="787">
        <v>0</v>
      </c>
      <c r="DV157" s="787">
        <v>0</v>
      </c>
      <c r="DW157" s="787">
        <v>0</v>
      </c>
      <c r="DX157" s="787">
        <v>0</v>
      </c>
      <c r="DY157" s="787">
        <v>0</v>
      </c>
      <c r="DZ157" s="787">
        <v>0</v>
      </c>
      <c r="EA157" s="787">
        <v>8.1265001790598035E-4</v>
      </c>
    </row>
    <row r="158" spans="1:131" ht="15.6">
      <c r="A158" s="782" t="s">
        <v>1451</v>
      </c>
      <c r="B158" s="782" t="s">
        <v>798</v>
      </c>
      <c r="C158" s="783">
        <v>3016</v>
      </c>
      <c r="D158" s="784" t="s">
        <v>799</v>
      </c>
      <c r="E158" s="785" t="s">
        <v>521</v>
      </c>
      <c r="F158" s="786">
        <v>46094</v>
      </c>
      <c r="G158" s="785" t="s">
        <v>5</v>
      </c>
      <c r="H158" s="785" t="str">
        <f t="shared" si="14"/>
        <v>AX06F</v>
      </c>
      <c r="I158" s="787">
        <v>0</v>
      </c>
      <c r="J158" s="787">
        <v>0</v>
      </c>
      <c r="K158" s="787">
        <v>0</v>
      </c>
      <c r="L158" s="787">
        <v>0</v>
      </c>
      <c r="M158" s="787">
        <v>0</v>
      </c>
      <c r="N158" s="787">
        <v>0</v>
      </c>
      <c r="O158" s="787">
        <v>8193.01</v>
      </c>
      <c r="P158" s="787">
        <v>0</v>
      </c>
      <c r="Q158" s="787">
        <v>132958</v>
      </c>
      <c r="R158" s="787">
        <v>2618.54</v>
      </c>
      <c r="S158" s="787">
        <v>0</v>
      </c>
      <c r="T158" s="787">
        <v>0</v>
      </c>
      <c r="U158" s="787">
        <v>414.39</v>
      </c>
      <c r="V158" s="787">
        <v>0</v>
      </c>
      <c r="W158" s="787">
        <v>0</v>
      </c>
      <c r="X158" s="787">
        <f t="shared" si="15"/>
        <v>144183.94000000003</v>
      </c>
      <c r="Y158" s="787">
        <v>746183.54</v>
      </c>
      <c r="Z158" s="787">
        <v>0</v>
      </c>
      <c r="AA158" s="787">
        <v>325674.44</v>
      </c>
      <c r="AB158" s="787">
        <v>83714.680000000008</v>
      </c>
      <c r="AC158" s="787">
        <v>119734.75</v>
      </c>
      <c r="AD158" s="787">
        <v>0</v>
      </c>
      <c r="AE158" s="787">
        <v>61567.53</v>
      </c>
      <c r="AF158" s="787">
        <v>1190.0899999999999</v>
      </c>
      <c r="AG158" s="787">
        <v>6948.94</v>
      </c>
      <c r="AH158" s="787">
        <v>0</v>
      </c>
      <c r="AI158" s="787">
        <v>5792</v>
      </c>
      <c r="AJ158" s="787">
        <v>20069.86</v>
      </c>
      <c r="AK158" s="787">
        <v>4954.13</v>
      </c>
      <c r="AL158" s="787">
        <v>2760.38</v>
      </c>
      <c r="AM158" s="787">
        <v>6969.18</v>
      </c>
      <c r="AN158" s="787">
        <v>18268.509999999998</v>
      </c>
      <c r="AO158" s="787">
        <v>0</v>
      </c>
      <c r="AP158" s="787">
        <v>21405.62</v>
      </c>
      <c r="AQ158" s="787">
        <v>112628.15999999999</v>
      </c>
      <c r="AR158" s="787">
        <v>3434.66</v>
      </c>
      <c r="AS158" s="787">
        <v>0</v>
      </c>
      <c r="AT158" s="787">
        <v>0</v>
      </c>
      <c r="AU158" s="787">
        <v>32783.440000000002</v>
      </c>
      <c r="AV158" s="787">
        <v>9416.5499999999993</v>
      </c>
      <c r="AW158" s="787">
        <v>0</v>
      </c>
      <c r="AX158" s="787">
        <v>14423.8</v>
      </c>
      <c r="AY158" s="787">
        <v>0</v>
      </c>
      <c r="AZ158" s="787">
        <v>2476.61</v>
      </c>
      <c r="BA158" s="787">
        <v>0</v>
      </c>
      <c r="BB158" s="787">
        <v>0</v>
      </c>
      <c r="BC158" s="787">
        <v>129296.16</v>
      </c>
      <c r="BD158" s="787">
        <v>37844.61</v>
      </c>
      <c r="BE158" s="787">
        <v>0</v>
      </c>
      <c r="BF158" s="787">
        <v>112873.5</v>
      </c>
      <c r="BG158" s="787">
        <v>400</v>
      </c>
      <c r="BH158" s="787">
        <v>0</v>
      </c>
      <c r="BI158" s="787">
        <v>0</v>
      </c>
      <c r="BJ158" s="787">
        <f t="shared" si="16"/>
        <v>1880811.14</v>
      </c>
      <c r="BK158" s="787"/>
      <c r="BL158" s="787"/>
      <c r="BM158" s="787"/>
      <c r="BN158" s="787">
        <v>6124</v>
      </c>
      <c r="BO158" s="787">
        <v>0</v>
      </c>
      <c r="BP158" s="787">
        <v>0</v>
      </c>
      <c r="BQ158" s="787">
        <f t="shared" si="17"/>
        <v>6124</v>
      </c>
      <c r="BR158" s="787">
        <v>0</v>
      </c>
      <c r="BS158" s="787">
        <v>13802.5</v>
      </c>
      <c r="BT158" s="787">
        <v>0</v>
      </c>
      <c r="BU158" s="787">
        <v>0</v>
      </c>
      <c r="BV158" s="787">
        <v>0</v>
      </c>
      <c r="BW158" s="787">
        <v>0</v>
      </c>
      <c r="BX158" s="787">
        <v>0</v>
      </c>
      <c r="BY158" s="787">
        <v>0</v>
      </c>
      <c r="BZ158" s="787">
        <f t="shared" si="18"/>
        <v>13802.5</v>
      </c>
      <c r="CA158" s="787"/>
      <c r="CB158" s="787"/>
      <c r="CC158" s="787"/>
      <c r="CD158" s="787">
        <v>0</v>
      </c>
      <c r="CE158" s="787">
        <v>0</v>
      </c>
      <c r="CF158" s="787">
        <f t="shared" si="19"/>
        <v>0</v>
      </c>
      <c r="CG158" s="787">
        <v>0</v>
      </c>
      <c r="CH158" s="787">
        <v>0</v>
      </c>
      <c r="CI158" s="787">
        <f t="shared" si="20"/>
        <v>0</v>
      </c>
      <c r="CJ158" s="787"/>
      <c r="CK158" s="787"/>
      <c r="CL158" s="787"/>
      <c r="CM158" s="787"/>
      <c r="CN158" s="787"/>
      <c r="CO158" s="787"/>
      <c r="CP158" s="787"/>
      <c r="CQ158" s="787"/>
      <c r="CR158" s="787"/>
      <c r="CS158" s="787">
        <v>761519.85</v>
      </c>
      <c r="CT158" s="787">
        <v>13324.14</v>
      </c>
      <c r="CU158" s="787">
        <v>400</v>
      </c>
      <c r="CV158" s="787">
        <v>748595.71</v>
      </c>
      <c r="CW158" s="787">
        <v>0</v>
      </c>
      <c r="CX158" s="787">
        <v>3812.94</v>
      </c>
      <c r="CY158" s="787">
        <v>1276.93</v>
      </c>
      <c r="CZ158" s="787">
        <v>-3516.6</v>
      </c>
      <c r="DA158" s="787">
        <v>2.0299999999999998</v>
      </c>
      <c r="DB158" s="787">
        <v>750171.01</v>
      </c>
      <c r="DC158" s="787">
        <v>0</v>
      </c>
      <c r="DD158" s="787">
        <v>0</v>
      </c>
      <c r="DE158" s="787">
        <v>0</v>
      </c>
      <c r="DF158" s="787">
        <v>0</v>
      </c>
      <c r="DG158" s="787"/>
      <c r="DH158" s="787"/>
      <c r="DI158" s="787"/>
      <c r="DJ158" s="787">
        <v>0</v>
      </c>
      <c r="DK158" s="787">
        <v>0</v>
      </c>
      <c r="DL158" s="787">
        <v>8193.01</v>
      </c>
      <c r="DM158" s="787">
        <v>0</v>
      </c>
      <c r="DN158" s="787">
        <v>8082</v>
      </c>
      <c r="DO158" s="787">
        <v>0</v>
      </c>
      <c r="DP158" s="787">
        <v>-18268.41</v>
      </c>
      <c r="DQ158" s="787">
        <v>-32935.769999999997</v>
      </c>
      <c r="DR158" s="787">
        <v>0</v>
      </c>
      <c r="DS158" s="787">
        <v>0</v>
      </c>
      <c r="DT158" s="787">
        <v>-34929.17</v>
      </c>
      <c r="DU158" s="787">
        <v>55976.72</v>
      </c>
      <c r="DV158" s="787">
        <v>0</v>
      </c>
      <c r="DW158" s="787">
        <v>0</v>
      </c>
      <c r="DX158" s="787">
        <v>0</v>
      </c>
      <c r="DY158" s="787">
        <v>0</v>
      </c>
      <c r="DZ158" s="787">
        <v>-109919.59</v>
      </c>
      <c r="EA158" s="787">
        <v>1.9209524034522474E-2</v>
      </c>
    </row>
    <row r="159" spans="1:131" ht="15.6">
      <c r="A159" s="782" t="s">
        <v>1452</v>
      </c>
      <c r="B159" s="782" t="s">
        <v>926</v>
      </c>
      <c r="C159" s="783">
        <v>3346</v>
      </c>
      <c r="D159" s="784" t="s">
        <v>927</v>
      </c>
      <c r="E159" s="785" t="s">
        <v>521</v>
      </c>
      <c r="F159" s="786">
        <v>46094</v>
      </c>
      <c r="G159" s="785" t="s">
        <v>5</v>
      </c>
      <c r="H159" s="785" t="str">
        <f t="shared" si="14"/>
        <v>AX06H</v>
      </c>
      <c r="I159" s="787">
        <v>0</v>
      </c>
      <c r="J159" s="787">
        <v>0</v>
      </c>
      <c r="K159" s="787">
        <v>21894</v>
      </c>
      <c r="L159" s="787">
        <v>0</v>
      </c>
      <c r="M159" s="787">
        <v>0</v>
      </c>
      <c r="N159" s="787">
        <v>0</v>
      </c>
      <c r="O159" s="787">
        <v>0</v>
      </c>
      <c r="P159" s="787">
        <v>0</v>
      </c>
      <c r="Q159" s="787">
        <v>28550</v>
      </c>
      <c r="R159" s="787">
        <v>23059</v>
      </c>
      <c r="S159" s="787">
        <v>0</v>
      </c>
      <c r="T159" s="787">
        <v>0</v>
      </c>
      <c r="U159" s="787">
        <v>4075</v>
      </c>
      <c r="V159" s="787">
        <v>0</v>
      </c>
      <c r="W159" s="787">
        <v>0</v>
      </c>
      <c r="X159" s="787">
        <f t="shared" si="15"/>
        <v>77578</v>
      </c>
      <c r="Y159" s="787">
        <v>1378537.86</v>
      </c>
      <c r="Z159" s="787">
        <v>0</v>
      </c>
      <c r="AA159" s="787">
        <v>508104.95</v>
      </c>
      <c r="AB159" s="787">
        <v>92482.94</v>
      </c>
      <c r="AC159" s="787">
        <v>183656.17</v>
      </c>
      <c r="AD159" s="787">
        <v>0</v>
      </c>
      <c r="AE159" s="787">
        <v>105182.36</v>
      </c>
      <c r="AF159" s="787">
        <v>5284</v>
      </c>
      <c r="AG159" s="787">
        <v>13436</v>
      </c>
      <c r="AH159" s="787">
        <v>0</v>
      </c>
      <c r="AI159" s="787">
        <v>0</v>
      </c>
      <c r="AJ159" s="787">
        <v>51438</v>
      </c>
      <c r="AK159" s="787">
        <v>0</v>
      </c>
      <c r="AL159" s="787">
        <v>53590</v>
      </c>
      <c r="AM159" s="787">
        <v>11567</v>
      </c>
      <c r="AN159" s="787">
        <v>46183</v>
      </c>
      <c r="AO159" s="787">
        <v>0</v>
      </c>
      <c r="AP159" s="787">
        <v>9791.56</v>
      </c>
      <c r="AQ159" s="787">
        <v>71612</v>
      </c>
      <c r="AR159" s="787">
        <v>0</v>
      </c>
      <c r="AS159" s="787">
        <v>0</v>
      </c>
      <c r="AT159" s="787">
        <v>3412</v>
      </c>
      <c r="AU159" s="787">
        <v>53230</v>
      </c>
      <c r="AV159" s="787">
        <v>14119</v>
      </c>
      <c r="AW159" s="787">
        <v>0</v>
      </c>
      <c r="AX159" s="787">
        <v>18900</v>
      </c>
      <c r="AY159" s="787">
        <v>0</v>
      </c>
      <c r="AZ159" s="787">
        <v>132595</v>
      </c>
      <c r="BA159" s="787">
        <v>1539</v>
      </c>
      <c r="BB159" s="787">
        <v>0</v>
      </c>
      <c r="BC159" s="787">
        <v>243463.2</v>
      </c>
      <c r="BD159" s="787">
        <v>120798</v>
      </c>
      <c r="BE159" s="787">
        <v>3850</v>
      </c>
      <c r="BF159" s="787">
        <v>44646</v>
      </c>
      <c r="BG159" s="787">
        <v>0</v>
      </c>
      <c r="BH159" s="787">
        <v>0</v>
      </c>
      <c r="BI159" s="787">
        <v>0</v>
      </c>
      <c r="BJ159" s="787">
        <f t="shared" si="16"/>
        <v>3167418.04</v>
      </c>
      <c r="BK159" s="787"/>
      <c r="BL159" s="787"/>
      <c r="BM159" s="787"/>
      <c r="BN159" s="787">
        <v>0</v>
      </c>
      <c r="BO159" s="787">
        <v>0</v>
      </c>
      <c r="BP159" s="787">
        <v>0</v>
      </c>
      <c r="BQ159" s="787">
        <f t="shared" si="17"/>
        <v>0</v>
      </c>
      <c r="BR159" s="787">
        <v>0</v>
      </c>
      <c r="BS159" s="787">
        <v>0</v>
      </c>
      <c r="BT159" s="787">
        <v>0</v>
      </c>
      <c r="BU159" s="787">
        <v>0</v>
      </c>
      <c r="BV159" s="787">
        <v>0</v>
      </c>
      <c r="BW159" s="787">
        <v>0</v>
      </c>
      <c r="BX159" s="787">
        <v>0</v>
      </c>
      <c r="BY159" s="787">
        <v>0</v>
      </c>
      <c r="BZ159" s="787">
        <f t="shared" si="18"/>
        <v>0</v>
      </c>
      <c r="CA159" s="787"/>
      <c r="CB159" s="787"/>
      <c r="CC159" s="787"/>
      <c r="CD159" s="787">
        <v>0</v>
      </c>
      <c r="CE159" s="787">
        <v>0</v>
      </c>
      <c r="CF159" s="787">
        <f t="shared" si="19"/>
        <v>0</v>
      </c>
      <c r="CG159" s="787">
        <v>0</v>
      </c>
      <c r="CH159" s="787">
        <v>0</v>
      </c>
      <c r="CI159" s="787">
        <f t="shared" si="20"/>
        <v>0</v>
      </c>
      <c r="CJ159" s="787"/>
      <c r="CK159" s="787"/>
      <c r="CL159" s="787"/>
      <c r="CM159" s="787"/>
      <c r="CN159" s="787"/>
      <c r="CO159" s="787"/>
      <c r="CP159" s="787"/>
      <c r="CQ159" s="787"/>
      <c r="CR159" s="787"/>
      <c r="CS159" s="787"/>
      <c r="CT159" s="787"/>
      <c r="CU159" s="787"/>
      <c r="CV159" s="787"/>
      <c r="CW159" s="787"/>
      <c r="CX159" s="787"/>
      <c r="CY159" s="787"/>
      <c r="CZ159" s="787"/>
      <c r="DA159" s="787"/>
      <c r="DB159" s="787"/>
      <c r="DC159" s="787"/>
      <c r="DD159" s="787"/>
      <c r="DE159" s="787"/>
      <c r="DF159" s="787"/>
      <c r="DG159" s="787"/>
      <c r="DH159" s="787"/>
      <c r="DI159" s="787"/>
      <c r="DJ159" s="787"/>
      <c r="DK159" s="787"/>
      <c r="DL159" s="787"/>
      <c r="DM159" s="787"/>
      <c r="DN159" s="787"/>
      <c r="DO159" s="787"/>
      <c r="DP159" s="787"/>
      <c r="DQ159" s="787"/>
      <c r="DR159" s="787"/>
      <c r="DS159" s="787"/>
      <c r="DT159" s="787"/>
      <c r="DU159" s="787"/>
      <c r="DV159" s="787"/>
      <c r="DW159" s="787"/>
      <c r="DX159" s="787"/>
      <c r="DY159" s="787"/>
      <c r="DZ159" s="787"/>
      <c r="EA159" s="787"/>
    </row>
    <row r="160" spans="1:131" ht="15.6">
      <c r="A160" s="782" t="s">
        <v>1453</v>
      </c>
      <c r="B160" s="782" t="s">
        <v>800</v>
      </c>
      <c r="C160" s="783">
        <v>4606</v>
      </c>
      <c r="D160" s="784" t="s">
        <v>801</v>
      </c>
      <c r="E160" s="785" t="s">
        <v>521</v>
      </c>
      <c r="F160" s="786">
        <v>46094</v>
      </c>
      <c r="G160" s="785" t="s">
        <v>5</v>
      </c>
      <c r="H160" s="785" t="str">
        <f t="shared" si="14"/>
        <v>AX0C4</v>
      </c>
      <c r="I160" s="787">
        <v>-0.92072716262191534</v>
      </c>
      <c r="J160" s="787">
        <v>-4546.2633333334234</v>
      </c>
      <c r="K160" s="787">
        <v>0</v>
      </c>
      <c r="L160" s="787">
        <v>0</v>
      </c>
      <c r="M160" s="787">
        <v>0</v>
      </c>
      <c r="N160" s="787">
        <v>0</v>
      </c>
      <c r="O160" s="787">
        <v>7664.7</v>
      </c>
      <c r="P160" s="787">
        <v>0</v>
      </c>
      <c r="Q160" s="787">
        <v>61245.740000000005</v>
      </c>
      <c r="R160" s="787">
        <v>0</v>
      </c>
      <c r="S160" s="787">
        <v>0</v>
      </c>
      <c r="T160" s="787">
        <v>0</v>
      </c>
      <c r="U160" s="787">
        <v>350544.4</v>
      </c>
      <c r="V160" s="787">
        <v>0</v>
      </c>
      <c r="W160" s="787">
        <v>0</v>
      </c>
      <c r="X160" s="787">
        <f t="shared" si="15"/>
        <v>414907.65593950398</v>
      </c>
      <c r="Y160" s="787">
        <v>5590316.6799999997</v>
      </c>
      <c r="Z160" s="787">
        <v>0</v>
      </c>
      <c r="AA160" s="787">
        <v>495616.57</v>
      </c>
      <c r="AB160" s="787">
        <v>88970.989999999991</v>
      </c>
      <c r="AC160" s="787">
        <v>466621.92999999993</v>
      </c>
      <c r="AD160" s="787">
        <v>0</v>
      </c>
      <c r="AE160" s="787">
        <v>102786.53</v>
      </c>
      <c r="AF160" s="787">
        <v>56833.130000000005</v>
      </c>
      <c r="AG160" s="787">
        <v>4175.95</v>
      </c>
      <c r="AH160" s="787">
        <v>0</v>
      </c>
      <c r="AI160" s="787">
        <v>0</v>
      </c>
      <c r="AJ160" s="787">
        <v>62567.32</v>
      </c>
      <c r="AK160" s="787">
        <v>6874.36</v>
      </c>
      <c r="AL160" s="787">
        <v>161038.85</v>
      </c>
      <c r="AM160" s="787">
        <v>13119.61</v>
      </c>
      <c r="AN160" s="787">
        <v>121682.1</v>
      </c>
      <c r="AO160" s="787">
        <v>-1.9100000000016735</v>
      </c>
      <c r="AP160" s="787">
        <v>24383.760000000002</v>
      </c>
      <c r="AQ160" s="787">
        <v>400877.95999999996</v>
      </c>
      <c r="AR160" s="787">
        <v>952.42</v>
      </c>
      <c r="AS160" s="787">
        <v>0</v>
      </c>
      <c r="AT160" s="787">
        <v>15038.990000000002</v>
      </c>
      <c r="AU160" s="787">
        <v>0</v>
      </c>
      <c r="AV160" s="787">
        <v>18419.68</v>
      </c>
      <c r="AW160" s="787">
        <v>9925.64</v>
      </c>
      <c r="AX160" s="787">
        <v>31835.919999999998</v>
      </c>
      <c r="AY160" s="787">
        <v>120702.47</v>
      </c>
      <c r="AZ160" s="787">
        <v>92485.239999999976</v>
      </c>
      <c r="BA160" s="787">
        <v>0.25</v>
      </c>
      <c r="BB160" s="787">
        <v>0</v>
      </c>
      <c r="BC160" s="787">
        <v>68558.44</v>
      </c>
      <c r="BD160" s="787">
        <v>65211.22</v>
      </c>
      <c r="BE160" s="787">
        <v>29467.339999999997</v>
      </c>
      <c r="BF160" s="787">
        <v>271798.57</v>
      </c>
      <c r="BG160" s="787">
        <v>516.45000000000005</v>
      </c>
      <c r="BH160" s="787">
        <v>0</v>
      </c>
      <c r="BI160" s="787">
        <v>0</v>
      </c>
      <c r="BJ160" s="787">
        <f t="shared" si="16"/>
        <v>8320776.46</v>
      </c>
      <c r="BK160" s="787"/>
      <c r="BL160" s="787"/>
      <c r="BM160" s="787"/>
      <c r="BN160" s="787">
        <v>0</v>
      </c>
      <c r="BO160" s="787">
        <v>0</v>
      </c>
      <c r="BP160" s="787">
        <v>0</v>
      </c>
      <c r="BQ160" s="787">
        <f t="shared" si="17"/>
        <v>0</v>
      </c>
      <c r="BR160" s="787">
        <v>0</v>
      </c>
      <c r="BS160" s="787">
        <v>0</v>
      </c>
      <c r="BT160" s="787">
        <v>0</v>
      </c>
      <c r="BU160" s="787">
        <v>0</v>
      </c>
      <c r="BV160" s="787">
        <v>0</v>
      </c>
      <c r="BW160" s="787">
        <v>0</v>
      </c>
      <c r="BX160" s="787">
        <v>0</v>
      </c>
      <c r="BY160" s="787">
        <v>0</v>
      </c>
      <c r="BZ160" s="787">
        <f t="shared" si="18"/>
        <v>0</v>
      </c>
      <c r="CA160" s="787"/>
      <c r="CB160" s="787"/>
      <c r="CC160" s="787"/>
      <c r="CD160" s="787">
        <v>0</v>
      </c>
      <c r="CE160" s="787">
        <v>0</v>
      </c>
      <c r="CF160" s="787">
        <f t="shared" si="19"/>
        <v>0</v>
      </c>
      <c r="CG160" s="787">
        <v>0</v>
      </c>
      <c r="CH160" s="787">
        <v>0</v>
      </c>
      <c r="CI160" s="787">
        <f t="shared" si="20"/>
        <v>0</v>
      </c>
      <c r="CJ160" s="787"/>
      <c r="CK160" s="787"/>
      <c r="CL160" s="787"/>
      <c r="CM160" s="787"/>
      <c r="CN160" s="787"/>
      <c r="CO160" s="787"/>
      <c r="CP160" s="787"/>
      <c r="CQ160" s="787"/>
      <c r="CR160" s="787"/>
      <c r="CS160" s="787">
        <v>651975.1</v>
      </c>
      <c r="CT160" s="787">
        <v>24429.68</v>
      </c>
      <c r="CU160" s="787">
        <v>0</v>
      </c>
      <c r="CV160" s="787">
        <v>627545.41999999993</v>
      </c>
      <c r="CW160" s="787">
        <v>0</v>
      </c>
      <c r="CX160" s="787">
        <v>25713.32</v>
      </c>
      <c r="CY160" s="787">
        <v>7441.43</v>
      </c>
      <c r="CZ160" s="787">
        <v>0</v>
      </c>
      <c r="DA160" s="787">
        <v>0</v>
      </c>
      <c r="DB160" s="787">
        <v>660700.16999999993</v>
      </c>
      <c r="DC160" s="787">
        <v>99397.47</v>
      </c>
      <c r="DD160" s="787">
        <v>0</v>
      </c>
      <c r="DE160" s="787">
        <v>90.54</v>
      </c>
      <c r="DF160" s="787">
        <v>99488.01</v>
      </c>
      <c r="DG160" s="787"/>
      <c r="DH160" s="787"/>
      <c r="DI160" s="787"/>
      <c r="DJ160" s="787">
        <v>0</v>
      </c>
      <c r="DK160" s="787">
        <v>99488.01</v>
      </c>
      <c r="DL160" s="787">
        <v>1416.5</v>
      </c>
      <c r="DM160" s="787">
        <v>0</v>
      </c>
      <c r="DN160" s="787">
        <v>112345.3</v>
      </c>
      <c r="DO160" s="787">
        <v>0</v>
      </c>
      <c r="DP160" s="787">
        <v>-68926.679999999993</v>
      </c>
      <c r="DQ160" s="787">
        <v>0</v>
      </c>
      <c r="DR160" s="787">
        <v>-26376.31</v>
      </c>
      <c r="DS160" s="787">
        <v>0</v>
      </c>
      <c r="DT160" s="787">
        <v>18458.810000000009</v>
      </c>
      <c r="DU160" s="787">
        <v>500</v>
      </c>
      <c r="DV160" s="787">
        <v>0</v>
      </c>
      <c r="DW160" s="787">
        <v>0</v>
      </c>
      <c r="DX160" s="787">
        <v>0</v>
      </c>
      <c r="DY160" s="787">
        <v>0</v>
      </c>
      <c r="DZ160" s="787">
        <v>-569795.44999999995</v>
      </c>
      <c r="EA160" s="787">
        <v>-1.0477378964424133E-9</v>
      </c>
    </row>
    <row r="161" spans="1:131" ht="15.6">
      <c r="A161" s="782" t="s">
        <v>1454</v>
      </c>
      <c r="B161" s="782" t="s">
        <v>802</v>
      </c>
      <c r="C161" s="783">
        <v>3428</v>
      </c>
      <c r="D161" s="784" t="s">
        <v>803</v>
      </c>
      <c r="E161" s="785" t="s">
        <v>521</v>
      </c>
      <c r="F161" s="786" t="s">
        <v>1322</v>
      </c>
      <c r="G161" s="785" t="s">
        <v>5</v>
      </c>
      <c r="H161" s="785" t="str">
        <f t="shared" si="14"/>
        <v>AX06L</v>
      </c>
      <c r="I161" s="787">
        <v>0</v>
      </c>
      <c r="J161" s="787">
        <v>0</v>
      </c>
      <c r="K161" s="787">
        <v>0</v>
      </c>
      <c r="L161" s="787">
        <v>0</v>
      </c>
      <c r="M161" s="787">
        <v>0</v>
      </c>
      <c r="N161" s="787">
        <v>0</v>
      </c>
      <c r="O161" s="787">
        <v>0</v>
      </c>
      <c r="P161" s="787">
        <v>0</v>
      </c>
      <c r="Q161" s="787">
        <v>218083.8</v>
      </c>
      <c r="R161" s="787">
        <v>46385.14</v>
      </c>
      <c r="S161" s="787">
        <v>0</v>
      </c>
      <c r="T161" s="787">
        <v>0</v>
      </c>
      <c r="U161" s="787">
        <v>45770</v>
      </c>
      <c r="V161" s="787">
        <v>0</v>
      </c>
      <c r="W161" s="787">
        <v>0</v>
      </c>
      <c r="X161" s="787">
        <f t="shared" si="15"/>
        <v>310238.94</v>
      </c>
      <c r="Y161" s="787">
        <v>1452272.1300000001</v>
      </c>
      <c r="Z161" s="787">
        <v>0</v>
      </c>
      <c r="AA161" s="787">
        <v>510658.45</v>
      </c>
      <c r="AB161" s="787">
        <v>52646.13</v>
      </c>
      <c r="AC161" s="787">
        <v>205686.79</v>
      </c>
      <c r="AD161" s="787">
        <v>81454.64</v>
      </c>
      <c r="AE161" s="787">
        <v>247011.41</v>
      </c>
      <c r="AF161" s="787">
        <v>0</v>
      </c>
      <c r="AG161" s="787">
        <v>10201</v>
      </c>
      <c r="AH161" s="787">
        <v>0</v>
      </c>
      <c r="AI161" s="787">
        <v>0</v>
      </c>
      <c r="AJ161" s="787">
        <v>8067.42</v>
      </c>
      <c r="AK161" s="787">
        <v>49.92</v>
      </c>
      <c r="AL161" s="787">
        <v>47358.720000000001</v>
      </c>
      <c r="AM161" s="787">
        <v>11534.26</v>
      </c>
      <c r="AN161" s="787">
        <v>42172.19</v>
      </c>
      <c r="AO161" s="787">
        <v>0</v>
      </c>
      <c r="AP161" s="787">
        <v>18830.849999999999</v>
      </c>
      <c r="AQ161" s="787">
        <v>36684.36</v>
      </c>
      <c r="AR161" s="787">
        <v>0</v>
      </c>
      <c r="AS161" s="787">
        <v>0</v>
      </c>
      <c r="AT161" s="787">
        <v>228.67000000000002</v>
      </c>
      <c r="AU161" s="787">
        <v>0</v>
      </c>
      <c r="AV161" s="787">
        <v>0</v>
      </c>
      <c r="AW161" s="787">
        <v>0</v>
      </c>
      <c r="AX161" s="787">
        <v>0</v>
      </c>
      <c r="AY161" s="787">
        <v>0</v>
      </c>
      <c r="AZ161" s="787">
        <v>12058.56</v>
      </c>
      <c r="BA161" s="787">
        <v>0</v>
      </c>
      <c r="BB161" s="787">
        <v>7179.15</v>
      </c>
      <c r="BC161" s="787">
        <v>65811.61</v>
      </c>
      <c r="BD161" s="787">
        <v>159880.06</v>
      </c>
      <c r="BE161" s="787">
        <v>25591.85</v>
      </c>
      <c r="BF161" s="787">
        <v>157658.03</v>
      </c>
      <c r="BG161" s="787">
        <v>0</v>
      </c>
      <c r="BH161" s="787">
        <v>0</v>
      </c>
      <c r="BI161" s="787">
        <v>0</v>
      </c>
      <c r="BJ161" s="787">
        <f t="shared" si="16"/>
        <v>3153036.1999999997</v>
      </c>
      <c r="BK161" s="787"/>
      <c r="BL161" s="787"/>
      <c r="BM161" s="787"/>
      <c r="BN161" s="787">
        <v>0</v>
      </c>
      <c r="BO161" s="787">
        <v>0</v>
      </c>
      <c r="BP161" s="787">
        <v>0</v>
      </c>
      <c r="BQ161" s="787">
        <f t="shared" si="17"/>
        <v>0</v>
      </c>
      <c r="BR161" s="787">
        <v>0</v>
      </c>
      <c r="BS161" s="787">
        <v>0</v>
      </c>
      <c r="BT161" s="787">
        <v>0</v>
      </c>
      <c r="BU161" s="787">
        <v>0</v>
      </c>
      <c r="BV161" s="787">
        <v>0</v>
      </c>
      <c r="BW161" s="787">
        <v>0</v>
      </c>
      <c r="BX161" s="787">
        <v>0</v>
      </c>
      <c r="BY161" s="787">
        <v>0</v>
      </c>
      <c r="BZ161" s="787">
        <f t="shared" si="18"/>
        <v>0</v>
      </c>
      <c r="CA161" s="787"/>
      <c r="CB161" s="787"/>
      <c r="CC161" s="787"/>
      <c r="CD161" s="787">
        <v>0</v>
      </c>
      <c r="CE161" s="787">
        <v>0</v>
      </c>
      <c r="CF161" s="787">
        <f t="shared" si="19"/>
        <v>0</v>
      </c>
      <c r="CG161" s="787">
        <v>0</v>
      </c>
      <c r="CH161" s="787">
        <v>0</v>
      </c>
      <c r="CI161" s="787">
        <f t="shared" si="20"/>
        <v>0</v>
      </c>
      <c r="CJ161" s="787"/>
      <c r="CK161" s="787"/>
      <c r="CL161" s="787"/>
      <c r="CM161" s="787"/>
      <c r="CN161" s="787"/>
      <c r="CO161" s="787"/>
      <c r="CP161" s="787"/>
      <c r="CQ161" s="787"/>
      <c r="CR161" s="787"/>
      <c r="CS161" s="787"/>
      <c r="CT161" s="787"/>
      <c r="CU161" s="787"/>
      <c r="CV161" s="787"/>
      <c r="CW161" s="787"/>
      <c r="CX161" s="787"/>
      <c r="CY161" s="787"/>
      <c r="CZ161" s="787"/>
      <c r="DA161" s="787"/>
      <c r="DB161" s="787"/>
      <c r="DC161" s="787"/>
      <c r="DD161" s="787"/>
      <c r="DE161" s="787"/>
      <c r="DF161" s="787"/>
      <c r="DG161" s="787"/>
      <c r="DH161" s="787"/>
      <c r="DI161" s="787"/>
      <c r="DJ161" s="787"/>
      <c r="DK161" s="787"/>
      <c r="DL161" s="787"/>
      <c r="DM161" s="787"/>
      <c r="DN161" s="787"/>
      <c r="DO161" s="787"/>
      <c r="DP161" s="787"/>
      <c r="DQ161" s="787"/>
      <c r="DR161" s="787"/>
      <c r="DS161" s="787"/>
      <c r="DT161" s="787"/>
      <c r="DU161" s="787"/>
      <c r="DV161" s="787"/>
      <c r="DW161" s="787"/>
      <c r="DX161" s="787"/>
      <c r="DY161" s="787"/>
      <c r="DZ161" s="787"/>
      <c r="EA161" s="787"/>
    </row>
    <row r="162" spans="1:131" ht="15.6">
      <c r="A162" s="782" t="s">
        <v>1455</v>
      </c>
      <c r="B162" s="782" t="s">
        <v>804</v>
      </c>
      <c r="C162" s="783">
        <v>3019</v>
      </c>
      <c r="D162" s="784" t="s">
        <v>805</v>
      </c>
      <c r="E162" s="785" t="s">
        <v>521</v>
      </c>
      <c r="F162" s="786">
        <v>46094</v>
      </c>
      <c r="G162" s="785" t="s">
        <v>5</v>
      </c>
      <c r="H162" s="785" t="str">
        <f t="shared" si="14"/>
        <v>AX06N</v>
      </c>
      <c r="I162" s="787">
        <v>0</v>
      </c>
      <c r="J162" s="787">
        <v>0</v>
      </c>
      <c r="K162" s="787">
        <v>0</v>
      </c>
      <c r="L162" s="787">
        <v>0</v>
      </c>
      <c r="M162" s="787">
        <v>2300</v>
      </c>
      <c r="N162" s="787">
        <v>0</v>
      </c>
      <c r="O162" s="787">
        <v>0</v>
      </c>
      <c r="P162" s="787">
        <v>0</v>
      </c>
      <c r="Q162" s="787">
        <v>986.31999999999971</v>
      </c>
      <c r="R162" s="787">
        <v>23870.54</v>
      </c>
      <c r="S162" s="787">
        <v>0</v>
      </c>
      <c r="T162" s="787">
        <v>0</v>
      </c>
      <c r="U162" s="787">
        <v>19175.79</v>
      </c>
      <c r="V162" s="787">
        <v>16607.05</v>
      </c>
      <c r="W162" s="787">
        <v>0</v>
      </c>
      <c r="X162" s="787">
        <f t="shared" si="15"/>
        <v>62939.7</v>
      </c>
      <c r="Y162" s="787">
        <v>1206408.56</v>
      </c>
      <c r="Z162" s="787">
        <v>0</v>
      </c>
      <c r="AA162" s="787">
        <v>571700.18000000005</v>
      </c>
      <c r="AB162" s="787">
        <v>80419.570000000007</v>
      </c>
      <c r="AC162" s="787">
        <v>232460.51</v>
      </c>
      <c r="AD162" s="787">
        <v>0</v>
      </c>
      <c r="AE162" s="787">
        <v>78987.710000000006</v>
      </c>
      <c r="AF162" s="787">
        <v>10778.34</v>
      </c>
      <c r="AG162" s="787">
        <v>8214.49</v>
      </c>
      <c r="AH162" s="787">
        <v>0</v>
      </c>
      <c r="AI162" s="787">
        <v>0</v>
      </c>
      <c r="AJ162" s="787">
        <v>55106.58</v>
      </c>
      <c r="AK162" s="787">
        <v>0</v>
      </c>
      <c r="AL162" s="787">
        <v>7779.53</v>
      </c>
      <c r="AM162" s="787">
        <v>9022.2000000000007</v>
      </c>
      <c r="AN162" s="787">
        <v>33390.020000000004</v>
      </c>
      <c r="AO162" s="787">
        <v>0</v>
      </c>
      <c r="AP162" s="787">
        <v>34622.939999999995</v>
      </c>
      <c r="AQ162" s="787">
        <v>92125.12999999999</v>
      </c>
      <c r="AR162" s="787">
        <v>0</v>
      </c>
      <c r="AS162" s="787">
        <v>0</v>
      </c>
      <c r="AT162" s="787">
        <v>26724.92</v>
      </c>
      <c r="AU162" s="787">
        <v>7188.33</v>
      </c>
      <c r="AV162" s="787">
        <v>19286</v>
      </c>
      <c r="AW162" s="787">
        <v>23589.24</v>
      </c>
      <c r="AX162" s="787">
        <v>31309.52</v>
      </c>
      <c r="AY162" s="787">
        <v>0</v>
      </c>
      <c r="AZ162" s="787">
        <v>8845.2000000000007</v>
      </c>
      <c r="BA162" s="787">
        <v>352.79999999999927</v>
      </c>
      <c r="BB162" s="787">
        <v>20021.5</v>
      </c>
      <c r="BC162" s="787">
        <v>215007.16</v>
      </c>
      <c r="BD162" s="787">
        <v>80502.58</v>
      </c>
      <c r="BE162" s="787">
        <v>38106.080000000002</v>
      </c>
      <c r="BF162" s="787">
        <v>394549.55999999994</v>
      </c>
      <c r="BG162" s="787">
        <v>0</v>
      </c>
      <c r="BH162" s="787">
        <v>0</v>
      </c>
      <c r="BI162" s="787">
        <v>0</v>
      </c>
      <c r="BJ162" s="787">
        <f t="shared" si="16"/>
        <v>3286498.6500000008</v>
      </c>
      <c r="BK162" s="787"/>
      <c r="BL162" s="787"/>
      <c r="BM162" s="787"/>
      <c r="BN162" s="787">
        <v>0</v>
      </c>
      <c r="BO162" s="787">
        <v>0</v>
      </c>
      <c r="BP162" s="787">
        <v>0</v>
      </c>
      <c r="BQ162" s="787">
        <f t="shared" si="17"/>
        <v>0</v>
      </c>
      <c r="BR162" s="787">
        <v>0</v>
      </c>
      <c r="BS162" s="787">
        <v>0</v>
      </c>
      <c r="BT162" s="787">
        <v>0</v>
      </c>
      <c r="BU162" s="787">
        <v>0</v>
      </c>
      <c r="BV162" s="787">
        <v>0</v>
      </c>
      <c r="BW162" s="787">
        <v>0</v>
      </c>
      <c r="BX162" s="787">
        <v>0</v>
      </c>
      <c r="BY162" s="787">
        <v>0</v>
      </c>
      <c r="BZ162" s="787">
        <f t="shared" si="18"/>
        <v>0</v>
      </c>
      <c r="CA162" s="787"/>
      <c r="CB162" s="787"/>
      <c r="CC162" s="787"/>
      <c r="CD162" s="787">
        <v>0</v>
      </c>
      <c r="CE162" s="787">
        <v>0</v>
      </c>
      <c r="CF162" s="787">
        <f t="shared" si="19"/>
        <v>0</v>
      </c>
      <c r="CG162" s="787">
        <v>0</v>
      </c>
      <c r="CH162" s="787">
        <v>0</v>
      </c>
      <c r="CI162" s="787">
        <f t="shared" si="20"/>
        <v>0</v>
      </c>
      <c r="CJ162" s="787"/>
      <c r="CK162" s="787"/>
      <c r="CL162" s="787"/>
      <c r="CM162" s="787"/>
      <c r="CN162" s="787"/>
      <c r="CO162" s="787"/>
      <c r="CP162" s="787"/>
      <c r="CQ162" s="787"/>
      <c r="CR162" s="787"/>
      <c r="CS162" s="787"/>
      <c r="CT162" s="787"/>
      <c r="CU162" s="787"/>
      <c r="CV162" s="787"/>
      <c r="CW162" s="787"/>
      <c r="CX162" s="787"/>
      <c r="CY162" s="787"/>
      <c r="CZ162" s="787"/>
      <c r="DA162" s="787"/>
      <c r="DB162" s="787"/>
      <c r="DC162" s="787"/>
      <c r="DD162" s="787"/>
      <c r="DE162" s="787"/>
      <c r="DF162" s="787"/>
      <c r="DG162" s="787"/>
      <c r="DH162" s="787"/>
      <c r="DI162" s="787"/>
      <c r="DJ162" s="787"/>
      <c r="DK162" s="787"/>
      <c r="DL162" s="787"/>
      <c r="DM162" s="787"/>
      <c r="DN162" s="787"/>
      <c r="DO162" s="787"/>
      <c r="DP162" s="787"/>
      <c r="DQ162" s="787"/>
      <c r="DR162" s="787"/>
      <c r="DS162" s="787"/>
      <c r="DT162" s="787"/>
      <c r="DU162" s="787"/>
      <c r="DV162" s="787"/>
      <c r="DW162" s="787"/>
      <c r="DX162" s="787"/>
      <c r="DY162" s="787"/>
      <c r="DZ162" s="787"/>
      <c r="EA162" s="787"/>
    </row>
    <row r="163" spans="1:131" ht="15.6">
      <c r="A163" s="782" t="s">
        <v>1456</v>
      </c>
      <c r="B163" s="782" t="s">
        <v>930</v>
      </c>
      <c r="C163" s="783">
        <v>1009</v>
      </c>
      <c r="D163" s="784" t="s">
        <v>931</v>
      </c>
      <c r="E163" s="785" t="s">
        <v>521</v>
      </c>
      <c r="F163" s="786">
        <v>46094</v>
      </c>
      <c r="G163" s="785" t="s">
        <v>5</v>
      </c>
      <c r="H163" s="785" t="str">
        <f t="shared" si="14"/>
        <v>AX06R</v>
      </c>
      <c r="I163" s="787">
        <v>0</v>
      </c>
      <c r="J163" s="787">
        <v>0</v>
      </c>
      <c r="K163" s="787">
        <v>55125</v>
      </c>
      <c r="L163" s="787">
        <v>0</v>
      </c>
      <c r="M163" s="787">
        <v>0</v>
      </c>
      <c r="N163" s="787">
        <v>0</v>
      </c>
      <c r="O163" s="787">
        <v>5000</v>
      </c>
      <c r="P163" s="787">
        <v>0</v>
      </c>
      <c r="Q163" s="787">
        <v>9017.9700000000012</v>
      </c>
      <c r="R163" s="787">
        <v>4623.8</v>
      </c>
      <c r="S163" s="787">
        <v>0</v>
      </c>
      <c r="T163" s="787">
        <v>0</v>
      </c>
      <c r="U163" s="787">
        <v>29186.190000000002</v>
      </c>
      <c r="V163" s="787">
        <v>0</v>
      </c>
      <c r="W163" s="787">
        <v>0</v>
      </c>
      <c r="X163" s="787">
        <f t="shared" si="15"/>
        <v>102952.96000000001</v>
      </c>
      <c r="Y163" s="787">
        <v>155966</v>
      </c>
      <c r="Z163" s="787">
        <v>0</v>
      </c>
      <c r="AA163" s="787">
        <v>271365.84999999998</v>
      </c>
      <c r="AB163" s="787">
        <v>0</v>
      </c>
      <c r="AC163" s="787">
        <v>44667.55</v>
      </c>
      <c r="AD163" s="787">
        <v>0</v>
      </c>
      <c r="AE163" s="787">
        <v>0</v>
      </c>
      <c r="AF163" s="787">
        <v>1435</v>
      </c>
      <c r="AG163" s="787">
        <v>11665</v>
      </c>
      <c r="AH163" s="787">
        <v>0</v>
      </c>
      <c r="AI163" s="787">
        <v>3292</v>
      </c>
      <c r="AJ163" s="787">
        <v>12856</v>
      </c>
      <c r="AK163" s="787">
        <v>4663</v>
      </c>
      <c r="AL163" s="787">
        <v>36815.449999999997</v>
      </c>
      <c r="AM163" s="787">
        <v>0</v>
      </c>
      <c r="AN163" s="787">
        <v>55000</v>
      </c>
      <c r="AO163" s="787">
        <v>0</v>
      </c>
      <c r="AP163" s="787">
        <v>0</v>
      </c>
      <c r="AQ163" s="787">
        <v>14070</v>
      </c>
      <c r="AR163" s="787">
        <v>4624</v>
      </c>
      <c r="AS163" s="787">
        <v>0</v>
      </c>
      <c r="AT163" s="787">
        <v>380</v>
      </c>
      <c r="AU163" s="787">
        <v>6866.5</v>
      </c>
      <c r="AV163" s="787">
        <v>115</v>
      </c>
      <c r="AW163" s="787">
        <v>0</v>
      </c>
      <c r="AX163" s="787">
        <v>11326.89</v>
      </c>
      <c r="AY163" s="787">
        <v>0</v>
      </c>
      <c r="AZ163" s="787">
        <v>1994</v>
      </c>
      <c r="BA163" s="787">
        <v>0</v>
      </c>
      <c r="BB163" s="787">
        <v>0</v>
      </c>
      <c r="BC163" s="787">
        <v>20650</v>
      </c>
      <c r="BD163" s="787">
        <v>0</v>
      </c>
      <c r="BE163" s="787">
        <v>155073.29999999999</v>
      </c>
      <c r="BF163" s="787">
        <v>14226.71</v>
      </c>
      <c r="BG163" s="787">
        <v>0</v>
      </c>
      <c r="BH163" s="787">
        <v>0</v>
      </c>
      <c r="BI163" s="787">
        <v>0</v>
      </c>
      <c r="BJ163" s="787">
        <f t="shared" si="16"/>
        <v>827052.25</v>
      </c>
      <c r="BK163" s="787"/>
      <c r="BL163" s="787"/>
      <c r="BM163" s="787"/>
      <c r="BN163" s="787">
        <v>0</v>
      </c>
      <c r="BO163" s="787">
        <v>0</v>
      </c>
      <c r="BP163" s="787">
        <v>0</v>
      </c>
      <c r="BQ163" s="787">
        <f t="shared" si="17"/>
        <v>0</v>
      </c>
      <c r="BR163" s="787">
        <v>0</v>
      </c>
      <c r="BS163" s="787">
        <v>0</v>
      </c>
      <c r="BT163" s="787">
        <v>0</v>
      </c>
      <c r="BU163" s="787">
        <v>0</v>
      </c>
      <c r="BV163" s="787">
        <v>0</v>
      </c>
      <c r="BW163" s="787">
        <v>0</v>
      </c>
      <c r="BX163" s="787">
        <v>0</v>
      </c>
      <c r="BY163" s="787">
        <v>0</v>
      </c>
      <c r="BZ163" s="787">
        <f t="shared" si="18"/>
        <v>0</v>
      </c>
      <c r="CA163" s="787"/>
      <c r="CB163" s="787"/>
      <c r="CC163" s="787"/>
      <c r="CD163" s="787">
        <v>0</v>
      </c>
      <c r="CE163" s="787">
        <v>0</v>
      </c>
      <c r="CF163" s="787">
        <f t="shared" si="19"/>
        <v>0</v>
      </c>
      <c r="CG163" s="787">
        <v>0</v>
      </c>
      <c r="CH163" s="787">
        <v>0</v>
      </c>
      <c r="CI163" s="787">
        <f t="shared" si="20"/>
        <v>0</v>
      </c>
      <c r="CJ163" s="787"/>
      <c r="CK163" s="787"/>
      <c r="CL163" s="787"/>
      <c r="CM163" s="787"/>
      <c r="CN163" s="787"/>
      <c r="CO163" s="787"/>
      <c r="CP163" s="787"/>
      <c r="CQ163" s="787"/>
      <c r="CR163" s="787"/>
      <c r="CS163" s="787">
        <v>429351.73</v>
      </c>
      <c r="CT163" s="787">
        <v>12586.93</v>
      </c>
      <c r="CU163" s="787">
        <v>0</v>
      </c>
      <c r="CV163" s="787">
        <v>416764.8</v>
      </c>
      <c r="CW163" s="787">
        <v>0</v>
      </c>
      <c r="CX163" s="787">
        <v>4246.05</v>
      </c>
      <c r="CY163" s="787">
        <v>2983.33</v>
      </c>
      <c r="CZ163" s="787">
        <v>0</v>
      </c>
      <c r="DA163" s="787">
        <v>3</v>
      </c>
      <c r="DB163" s="787">
        <v>423997.18</v>
      </c>
      <c r="DC163" s="787">
        <v>0</v>
      </c>
      <c r="DD163" s="787">
        <v>0</v>
      </c>
      <c r="DE163" s="787">
        <v>0</v>
      </c>
      <c r="DF163" s="787">
        <v>0</v>
      </c>
      <c r="DG163" s="787"/>
      <c r="DH163" s="787"/>
      <c r="DI163" s="787"/>
      <c r="DJ163" s="787">
        <v>-1597822.1630848222</v>
      </c>
      <c r="DK163" s="787">
        <v>-1597822.1630848222</v>
      </c>
      <c r="DL163" s="787">
        <v>0</v>
      </c>
      <c r="DM163" s="787">
        <v>0</v>
      </c>
      <c r="DN163" s="787">
        <v>0</v>
      </c>
      <c r="DO163" s="787">
        <v>0</v>
      </c>
      <c r="DP163" s="787">
        <v>-41333.24</v>
      </c>
      <c r="DQ163" s="787">
        <v>-55000</v>
      </c>
      <c r="DR163" s="787">
        <v>0</v>
      </c>
      <c r="DS163" s="787">
        <v>0</v>
      </c>
      <c r="DT163" s="787">
        <v>-96333.239999999991</v>
      </c>
      <c r="DU163" s="787">
        <v>0</v>
      </c>
      <c r="DV163" s="787">
        <v>0</v>
      </c>
      <c r="DW163" s="787">
        <v>0</v>
      </c>
      <c r="DX163" s="787">
        <v>0</v>
      </c>
      <c r="DY163" s="787">
        <v>0</v>
      </c>
      <c r="DZ163" s="787">
        <v>-4933.2700000000004</v>
      </c>
      <c r="EA163" s="787">
        <v>-0.11340178735554218</v>
      </c>
    </row>
    <row r="164" spans="1:131" ht="15.6">
      <c r="A164" s="782" t="s">
        <v>1457</v>
      </c>
      <c r="B164" s="782" t="s">
        <v>806</v>
      </c>
      <c r="C164" s="783">
        <v>2178</v>
      </c>
      <c r="D164" s="784" t="s">
        <v>807</v>
      </c>
      <c r="E164" s="785" t="s">
        <v>521</v>
      </c>
      <c r="F164" s="786">
        <v>46094</v>
      </c>
      <c r="G164" s="785" t="s">
        <v>5</v>
      </c>
      <c r="H164" s="785" t="str">
        <f t="shared" si="14"/>
        <v>AX06W</v>
      </c>
      <c r="I164" s="787">
        <v>0</v>
      </c>
      <c r="J164" s="787">
        <v>0</v>
      </c>
      <c r="K164" s="787">
        <v>0</v>
      </c>
      <c r="L164" s="787">
        <v>0</v>
      </c>
      <c r="M164" s="787">
        <v>2600</v>
      </c>
      <c r="N164" s="787">
        <v>0</v>
      </c>
      <c r="O164" s="787">
        <v>0</v>
      </c>
      <c r="P164" s="787">
        <v>8168</v>
      </c>
      <c r="Q164" s="787">
        <v>6207.3400000000011</v>
      </c>
      <c r="R164" s="787">
        <v>6803.7</v>
      </c>
      <c r="S164" s="787">
        <v>0</v>
      </c>
      <c r="T164" s="787">
        <v>0</v>
      </c>
      <c r="U164" s="787">
        <v>16249.1</v>
      </c>
      <c r="V164" s="787">
        <v>100</v>
      </c>
      <c r="W164" s="787">
        <v>0</v>
      </c>
      <c r="X164" s="787">
        <f t="shared" si="15"/>
        <v>40128.14</v>
      </c>
      <c r="Y164" s="787">
        <v>869898.89</v>
      </c>
      <c r="Z164" s="787">
        <v>0</v>
      </c>
      <c r="AA164" s="787">
        <v>321317.75</v>
      </c>
      <c r="AB164" s="787">
        <v>42425.46</v>
      </c>
      <c r="AC164" s="787">
        <v>116731.03</v>
      </c>
      <c r="AD164" s="787">
        <v>54226.18</v>
      </c>
      <c r="AE164" s="787">
        <v>8887.82</v>
      </c>
      <c r="AF164" s="787">
        <v>5408.12</v>
      </c>
      <c r="AG164" s="787">
        <v>3496.25</v>
      </c>
      <c r="AH164" s="787">
        <v>0</v>
      </c>
      <c r="AI164" s="787">
        <v>0</v>
      </c>
      <c r="AJ164" s="787">
        <v>10309.14</v>
      </c>
      <c r="AK164" s="787">
        <v>0</v>
      </c>
      <c r="AL164" s="787">
        <v>37061.74</v>
      </c>
      <c r="AM164" s="787">
        <v>8158.05</v>
      </c>
      <c r="AN164" s="787">
        <v>36603.33</v>
      </c>
      <c r="AO164" s="787">
        <v>0</v>
      </c>
      <c r="AP164" s="787">
        <v>11528.2</v>
      </c>
      <c r="AQ164" s="787">
        <v>18164.240000000002</v>
      </c>
      <c r="AR164" s="787">
        <v>935</v>
      </c>
      <c r="AS164" s="787">
        <v>0</v>
      </c>
      <c r="AT164" s="787">
        <v>12951.15</v>
      </c>
      <c r="AU164" s="787">
        <v>21807.29</v>
      </c>
      <c r="AV164" s="787">
        <v>0</v>
      </c>
      <c r="AW164" s="787">
        <v>0</v>
      </c>
      <c r="AX164" s="787">
        <v>11812.5</v>
      </c>
      <c r="AY164" s="787">
        <v>0</v>
      </c>
      <c r="AZ164" s="787">
        <v>4489.16</v>
      </c>
      <c r="BA164" s="787">
        <v>0</v>
      </c>
      <c r="BB164" s="787">
        <v>4356</v>
      </c>
      <c r="BC164" s="787">
        <v>24262.65</v>
      </c>
      <c r="BD164" s="787">
        <v>1197.25</v>
      </c>
      <c r="BE164" s="787">
        <v>35834</v>
      </c>
      <c r="BF164" s="787">
        <v>46472.41</v>
      </c>
      <c r="BG164" s="787">
        <v>0</v>
      </c>
      <c r="BH164" s="787">
        <v>0</v>
      </c>
      <c r="BI164" s="787">
        <v>0</v>
      </c>
      <c r="BJ164" s="787">
        <f t="shared" si="16"/>
        <v>1708333.6099999999</v>
      </c>
      <c r="BK164" s="787"/>
      <c r="BL164" s="787"/>
      <c r="BM164" s="787"/>
      <c r="BN164" s="787">
        <v>0</v>
      </c>
      <c r="BO164" s="787">
        <v>0</v>
      </c>
      <c r="BP164" s="787">
        <v>0</v>
      </c>
      <c r="BQ164" s="787">
        <f t="shared" si="17"/>
        <v>0</v>
      </c>
      <c r="BR164" s="787">
        <v>0</v>
      </c>
      <c r="BS164" s="787">
        <v>620</v>
      </c>
      <c r="BT164" s="787">
        <v>0</v>
      </c>
      <c r="BU164" s="787">
        <v>2265</v>
      </c>
      <c r="BV164" s="787">
        <v>0</v>
      </c>
      <c r="BW164" s="787">
        <v>0</v>
      </c>
      <c r="BX164" s="787">
        <v>6311</v>
      </c>
      <c r="BY164" s="787">
        <v>2372</v>
      </c>
      <c r="BZ164" s="787">
        <f t="shared" si="18"/>
        <v>11568</v>
      </c>
      <c r="CA164" s="787"/>
      <c r="CB164" s="787"/>
      <c r="CC164" s="787"/>
      <c r="CD164" s="787">
        <v>0</v>
      </c>
      <c r="CE164" s="787">
        <v>0</v>
      </c>
      <c r="CF164" s="787">
        <f t="shared" si="19"/>
        <v>0</v>
      </c>
      <c r="CG164" s="787">
        <v>0</v>
      </c>
      <c r="CH164" s="787">
        <v>0</v>
      </c>
      <c r="CI164" s="787">
        <f t="shared" si="20"/>
        <v>0</v>
      </c>
      <c r="CJ164" s="787"/>
      <c r="CK164" s="787"/>
      <c r="CL164" s="787"/>
      <c r="CM164" s="787"/>
      <c r="CN164" s="787"/>
      <c r="CO164" s="787"/>
      <c r="CP164" s="787"/>
      <c r="CQ164" s="787"/>
      <c r="CR164" s="787"/>
      <c r="CS164" s="787"/>
      <c r="CT164" s="787"/>
      <c r="CU164" s="787"/>
      <c r="CV164" s="787"/>
      <c r="CW164" s="787"/>
      <c r="CX164" s="787"/>
      <c r="CY164" s="787"/>
      <c r="CZ164" s="787"/>
      <c r="DA164" s="787"/>
      <c r="DB164" s="787"/>
      <c r="DC164" s="787"/>
      <c r="DD164" s="787"/>
      <c r="DE164" s="787"/>
      <c r="DF164" s="787"/>
      <c r="DG164" s="787"/>
      <c r="DH164" s="787"/>
      <c r="DI164" s="787"/>
      <c r="DJ164" s="787"/>
      <c r="DK164" s="787"/>
      <c r="DL164" s="787"/>
      <c r="DM164" s="787"/>
      <c r="DN164" s="787"/>
      <c r="DO164" s="787"/>
      <c r="DP164" s="787"/>
      <c r="DQ164" s="787"/>
      <c r="DR164" s="787"/>
      <c r="DS164" s="787"/>
      <c r="DT164" s="787"/>
      <c r="DU164" s="787"/>
      <c r="DV164" s="787"/>
      <c r="DW164" s="787"/>
      <c r="DX164" s="787"/>
      <c r="DY164" s="787"/>
      <c r="DZ164" s="787"/>
      <c r="EA164" s="787"/>
    </row>
    <row r="165" spans="1:131" ht="15.6">
      <c r="A165" s="782" t="s">
        <v>1458</v>
      </c>
      <c r="B165" s="782" t="s">
        <v>808</v>
      </c>
      <c r="C165" s="783">
        <v>2184</v>
      </c>
      <c r="D165" s="784" t="s">
        <v>809</v>
      </c>
      <c r="E165" s="785" t="s">
        <v>521</v>
      </c>
      <c r="F165" s="786">
        <v>46090</v>
      </c>
      <c r="G165" s="785" t="s">
        <v>5</v>
      </c>
      <c r="H165" s="785" t="str">
        <f t="shared" si="14"/>
        <v>AX06Y</v>
      </c>
      <c r="I165" s="787">
        <v>0</v>
      </c>
      <c r="J165" s="787">
        <v>0</v>
      </c>
      <c r="K165" s="787">
        <v>0</v>
      </c>
      <c r="L165" s="787">
        <v>0</v>
      </c>
      <c r="M165" s="787">
        <v>0</v>
      </c>
      <c r="N165" s="787">
        <v>0</v>
      </c>
      <c r="O165" s="787">
        <v>0</v>
      </c>
      <c r="P165" s="787">
        <v>0</v>
      </c>
      <c r="Q165" s="787">
        <v>23385.52124499996</v>
      </c>
      <c r="R165" s="787">
        <v>0</v>
      </c>
      <c r="S165" s="787">
        <v>0</v>
      </c>
      <c r="T165" s="787">
        <v>0</v>
      </c>
      <c r="U165" s="787">
        <v>13139</v>
      </c>
      <c r="V165" s="787">
        <v>10389.18</v>
      </c>
      <c r="W165" s="787">
        <v>0</v>
      </c>
      <c r="X165" s="787">
        <f t="shared" si="15"/>
        <v>46913.70124499996</v>
      </c>
      <c r="Y165" s="787">
        <v>970231.64</v>
      </c>
      <c r="Z165" s="787">
        <v>0</v>
      </c>
      <c r="AA165" s="787">
        <v>620412.17000000004</v>
      </c>
      <c r="AB165" s="787">
        <v>112450.32</v>
      </c>
      <c r="AC165" s="787">
        <v>170303.62</v>
      </c>
      <c r="AD165" s="787">
        <v>0</v>
      </c>
      <c r="AE165" s="787">
        <v>173993.15</v>
      </c>
      <c r="AF165" s="787">
        <v>100590.26</v>
      </c>
      <c r="AG165" s="787">
        <v>9002.26</v>
      </c>
      <c r="AH165" s="787">
        <v>0</v>
      </c>
      <c r="AI165" s="787">
        <v>0</v>
      </c>
      <c r="AJ165" s="787">
        <v>64576.01</v>
      </c>
      <c r="AK165" s="787">
        <v>11753.46</v>
      </c>
      <c r="AL165" s="787">
        <v>3591.27</v>
      </c>
      <c r="AM165" s="787">
        <v>9672.08</v>
      </c>
      <c r="AN165" s="787">
        <v>19590.349999999999</v>
      </c>
      <c r="AO165" s="787">
        <v>0</v>
      </c>
      <c r="AP165" s="787">
        <v>6687.6100000000006</v>
      </c>
      <c r="AQ165" s="787">
        <v>72804.5</v>
      </c>
      <c r="AR165" s="787">
        <v>0</v>
      </c>
      <c r="AS165" s="787">
        <v>0</v>
      </c>
      <c r="AT165" s="787">
        <v>0</v>
      </c>
      <c r="AU165" s="787">
        <v>0</v>
      </c>
      <c r="AV165" s="787">
        <v>7030.48</v>
      </c>
      <c r="AW165" s="787">
        <v>5783.52</v>
      </c>
      <c r="AX165" s="787">
        <v>0</v>
      </c>
      <c r="AY165" s="787">
        <v>0</v>
      </c>
      <c r="AZ165" s="787">
        <v>259703.84</v>
      </c>
      <c r="BA165" s="787">
        <v>273.28000000000065</v>
      </c>
      <c r="BB165" s="787">
        <v>5851.5</v>
      </c>
      <c r="BC165" s="787">
        <v>99744.34</v>
      </c>
      <c r="BD165" s="787">
        <v>181228.74</v>
      </c>
      <c r="BE165" s="787">
        <v>20725.89</v>
      </c>
      <c r="BF165" s="787">
        <v>109457.48000000001</v>
      </c>
      <c r="BG165" s="787">
        <v>0</v>
      </c>
      <c r="BH165" s="787">
        <v>0</v>
      </c>
      <c r="BI165" s="787">
        <v>0</v>
      </c>
      <c r="BJ165" s="787">
        <f t="shared" si="16"/>
        <v>3035457.7699999986</v>
      </c>
      <c r="BK165" s="787"/>
      <c r="BL165" s="787"/>
      <c r="BM165" s="787"/>
      <c r="BN165" s="787">
        <v>0</v>
      </c>
      <c r="BO165" s="787">
        <v>0</v>
      </c>
      <c r="BP165" s="787">
        <v>0</v>
      </c>
      <c r="BQ165" s="787">
        <f t="shared" si="17"/>
        <v>0</v>
      </c>
      <c r="BR165" s="787">
        <v>0</v>
      </c>
      <c r="BS165" s="787">
        <v>6826</v>
      </c>
      <c r="BT165" s="787">
        <v>0</v>
      </c>
      <c r="BU165" s="787">
        <v>0</v>
      </c>
      <c r="BV165" s="787">
        <v>0</v>
      </c>
      <c r="BW165" s="787">
        <v>0</v>
      </c>
      <c r="BX165" s="787">
        <v>0</v>
      </c>
      <c r="BY165" s="787">
        <v>0</v>
      </c>
      <c r="BZ165" s="787">
        <f t="shared" si="18"/>
        <v>6826</v>
      </c>
      <c r="CA165" s="787"/>
      <c r="CB165" s="787"/>
      <c r="CC165" s="787"/>
      <c r="CD165" s="787">
        <v>0</v>
      </c>
      <c r="CE165" s="787">
        <v>0</v>
      </c>
      <c r="CF165" s="787">
        <f t="shared" si="19"/>
        <v>0</v>
      </c>
      <c r="CG165" s="787">
        <v>0</v>
      </c>
      <c r="CH165" s="787">
        <v>0</v>
      </c>
      <c r="CI165" s="787">
        <f t="shared" si="20"/>
        <v>0</v>
      </c>
      <c r="CJ165" s="787"/>
      <c r="CK165" s="787"/>
      <c r="CL165" s="787"/>
      <c r="CM165" s="787"/>
      <c r="CN165" s="787"/>
      <c r="CO165" s="787"/>
      <c r="CP165" s="787"/>
      <c r="CQ165" s="787"/>
      <c r="CR165" s="787"/>
      <c r="CS165" s="787">
        <v>1120829.1599999999</v>
      </c>
      <c r="CT165" s="787">
        <v>95218.73</v>
      </c>
      <c r="CU165" s="787">
        <v>645</v>
      </c>
      <c r="CV165" s="787">
        <v>1026255.4299999999</v>
      </c>
      <c r="CW165" s="787">
        <v>0</v>
      </c>
      <c r="CX165" s="787">
        <v>8506.15</v>
      </c>
      <c r="CY165" s="787">
        <v>3471.54</v>
      </c>
      <c r="CZ165" s="787">
        <v>0</v>
      </c>
      <c r="DA165" s="787">
        <v>0</v>
      </c>
      <c r="DB165" s="787">
        <v>1038233.12</v>
      </c>
      <c r="DC165" s="787">
        <v>0</v>
      </c>
      <c r="DD165" s="787">
        <v>0</v>
      </c>
      <c r="DE165" s="787">
        <v>0</v>
      </c>
      <c r="DF165" s="787">
        <v>0</v>
      </c>
      <c r="DG165" s="787"/>
      <c r="DH165" s="787"/>
      <c r="DI165" s="787"/>
      <c r="DJ165" s="787">
        <v>0</v>
      </c>
      <c r="DK165" s="787">
        <v>0</v>
      </c>
      <c r="DL165" s="787">
        <v>0</v>
      </c>
      <c r="DM165" s="787">
        <v>0</v>
      </c>
      <c r="DN165" s="787">
        <v>0</v>
      </c>
      <c r="DO165" s="787">
        <v>0</v>
      </c>
      <c r="DP165" s="787">
        <v>0</v>
      </c>
      <c r="DQ165" s="787">
        <v>-41668.800000000003</v>
      </c>
      <c r="DR165" s="787">
        <v>0</v>
      </c>
      <c r="DS165" s="787">
        <v>0</v>
      </c>
      <c r="DT165" s="787">
        <v>-41668.800000000003</v>
      </c>
      <c r="DU165" s="787">
        <v>0</v>
      </c>
      <c r="DV165" s="787">
        <v>0</v>
      </c>
      <c r="DW165" s="787">
        <v>-2402.46</v>
      </c>
      <c r="DX165" s="787">
        <v>0</v>
      </c>
      <c r="DY165" s="787">
        <v>0</v>
      </c>
      <c r="DZ165" s="787">
        <v>-239308.83</v>
      </c>
      <c r="EA165" s="787">
        <v>3.5654682433232665E-3</v>
      </c>
    </row>
    <row r="166" spans="1:131" ht="15.6">
      <c r="A166" s="782" t="s">
        <v>1459</v>
      </c>
      <c r="B166" s="782" t="s">
        <v>810</v>
      </c>
      <c r="C166" s="783">
        <v>2190</v>
      </c>
      <c r="D166" s="784" t="s">
        <v>811</v>
      </c>
      <c r="E166" s="785" t="s">
        <v>521</v>
      </c>
      <c r="F166" s="786">
        <v>46094</v>
      </c>
      <c r="G166" s="785" t="s">
        <v>5</v>
      </c>
      <c r="H166" s="785" t="str">
        <f t="shared" si="14"/>
        <v>AX072</v>
      </c>
      <c r="I166" s="787">
        <v>0</v>
      </c>
      <c r="J166" s="787">
        <v>0</v>
      </c>
      <c r="K166" s="787">
        <v>0</v>
      </c>
      <c r="L166" s="787">
        <v>0</v>
      </c>
      <c r="M166" s="787">
        <v>0</v>
      </c>
      <c r="N166" s="787">
        <v>0</v>
      </c>
      <c r="O166" s="787">
        <v>0</v>
      </c>
      <c r="P166" s="787">
        <v>0</v>
      </c>
      <c r="Q166" s="787">
        <v>0</v>
      </c>
      <c r="R166" s="787">
        <v>0</v>
      </c>
      <c r="S166" s="787">
        <v>0</v>
      </c>
      <c r="T166" s="787">
        <v>0</v>
      </c>
      <c r="U166" s="787">
        <v>4004.6</v>
      </c>
      <c r="V166" s="787">
        <v>117073.55</v>
      </c>
      <c r="W166" s="787">
        <v>0</v>
      </c>
      <c r="X166" s="787">
        <f t="shared" si="15"/>
        <v>121078.15000000001</v>
      </c>
      <c r="Y166" s="787">
        <v>581380.20171428809</v>
      </c>
      <c r="Z166" s="787">
        <v>0</v>
      </c>
      <c r="AA166" s="787">
        <v>223743.26509383958</v>
      </c>
      <c r="AB166" s="787">
        <v>31278.102945061855</v>
      </c>
      <c r="AC166" s="787">
        <v>81518.818710698586</v>
      </c>
      <c r="AD166" s="787">
        <v>0</v>
      </c>
      <c r="AE166" s="787">
        <v>19685.492379917832</v>
      </c>
      <c r="AF166" s="787">
        <v>3271.5543489466831</v>
      </c>
      <c r="AG166" s="787">
        <v>1445.0227203069317</v>
      </c>
      <c r="AH166" s="787">
        <v>0</v>
      </c>
      <c r="AI166" s="787">
        <v>0</v>
      </c>
      <c r="AJ166" s="787">
        <v>26668.575300364653</v>
      </c>
      <c r="AK166" s="787">
        <v>17515.5831899888</v>
      </c>
      <c r="AL166" s="787">
        <v>1857.6694613306272</v>
      </c>
      <c r="AM166" s="787">
        <v>2530.9152853499882</v>
      </c>
      <c r="AN166" s="787">
        <v>39916.591199173636</v>
      </c>
      <c r="AO166" s="787">
        <v>13148.911262717033</v>
      </c>
      <c r="AP166" s="787">
        <v>14952.767382015836</v>
      </c>
      <c r="AQ166" s="787">
        <v>16200.55920227909</v>
      </c>
      <c r="AR166" s="787">
        <v>0</v>
      </c>
      <c r="AS166" s="787">
        <v>0</v>
      </c>
      <c r="AT166" s="787">
        <v>4966.0524756391096</v>
      </c>
      <c r="AU166" s="787">
        <v>0</v>
      </c>
      <c r="AV166" s="787">
        <v>0</v>
      </c>
      <c r="AW166" s="787">
        <v>47.102222239832727</v>
      </c>
      <c r="AX166" s="787">
        <v>0</v>
      </c>
      <c r="AY166" s="787">
        <v>0</v>
      </c>
      <c r="AZ166" s="787">
        <v>108058.72942318434</v>
      </c>
      <c r="BA166" s="787">
        <v>0</v>
      </c>
      <c r="BB166" s="787">
        <v>6109.3791440199948</v>
      </c>
      <c r="BC166" s="787">
        <v>64142.683276329946</v>
      </c>
      <c r="BD166" s="787">
        <v>131910.24158655916</v>
      </c>
      <c r="BE166" s="787">
        <v>18900.343578282151</v>
      </c>
      <c r="BF166" s="787">
        <v>41950.258097466343</v>
      </c>
      <c r="BG166" s="787">
        <v>0</v>
      </c>
      <c r="BH166" s="787">
        <v>0</v>
      </c>
      <c r="BI166" s="787">
        <v>0</v>
      </c>
      <c r="BJ166" s="787">
        <f t="shared" si="16"/>
        <v>1451198.82</v>
      </c>
      <c r="BK166" s="787"/>
      <c r="BL166" s="787"/>
      <c r="BM166" s="787"/>
      <c r="BN166" s="787">
        <v>4129.5</v>
      </c>
      <c r="BO166" s="787">
        <v>0</v>
      </c>
      <c r="BP166" s="787">
        <v>0</v>
      </c>
      <c r="BQ166" s="787">
        <f t="shared" si="17"/>
        <v>4129.5</v>
      </c>
      <c r="BR166" s="787">
        <v>0</v>
      </c>
      <c r="BS166" s="787">
        <v>0</v>
      </c>
      <c r="BT166" s="787">
        <v>0</v>
      </c>
      <c r="BU166" s="787">
        <v>0</v>
      </c>
      <c r="BV166" s="787">
        <v>0</v>
      </c>
      <c r="BW166" s="787">
        <v>0</v>
      </c>
      <c r="BX166" s="787">
        <v>0</v>
      </c>
      <c r="BY166" s="787">
        <v>0</v>
      </c>
      <c r="BZ166" s="787">
        <f t="shared" si="18"/>
        <v>0</v>
      </c>
      <c r="CA166" s="787"/>
      <c r="CB166" s="787"/>
      <c r="CC166" s="787"/>
      <c r="CD166" s="787">
        <v>0</v>
      </c>
      <c r="CE166" s="787">
        <v>0</v>
      </c>
      <c r="CF166" s="787">
        <f t="shared" si="19"/>
        <v>0</v>
      </c>
      <c r="CG166" s="787">
        <v>0</v>
      </c>
      <c r="CH166" s="787">
        <v>0</v>
      </c>
      <c r="CI166" s="787">
        <f t="shared" si="20"/>
        <v>0</v>
      </c>
      <c r="CJ166" s="787"/>
      <c r="CK166" s="787"/>
      <c r="CL166" s="787"/>
      <c r="CM166" s="787"/>
      <c r="CN166" s="787"/>
      <c r="CO166" s="787"/>
      <c r="CP166" s="787"/>
      <c r="CQ166" s="787"/>
      <c r="CR166" s="787"/>
      <c r="CS166" s="787"/>
      <c r="CT166" s="787"/>
      <c r="CU166" s="787"/>
      <c r="CV166" s="787"/>
      <c r="CW166" s="787"/>
      <c r="CX166" s="787"/>
      <c r="CY166" s="787"/>
      <c r="CZ166" s="787"/>
      <c r="DA166" s="787"/>
      <c r="DB166" s="787"/>
      <c r="DC166" s="787"/>
      <c r="DD166" s="787"/>
      <c r="DE166" s="787"/>
      <c r="DF166" s="787"/>
      <c r="DG166" s="787"/>
      <c r="DH166" s="787"/>
      <c r="DI166" s="787"/>
      <c r="DJ166" s="787"/>
      <c r="DK166" s="787"/>
      <c r="DL166" s="787"/>
      <c r="DM166" s="787"/>
      <c r="DN166" s="787"/>
      <c r="DO166" s="787"/>
      <c r="DP166" s="787"/>
      <c r="DQ166" s="787"/>
      <c r="DR166" s="787"/>
      <c r="DS166" s="787"/>
      <c r="DT166" s="787"/>
      <c r="DU166" s="787"/>
      <c r="DV166" s="787"/>
      <c r="DW166" s="787"/>
      <c r="DX166" s="787"/>
      <c r="DY166" s="787"/>
      <c r="DZ166" s="787"/>
      <c r="EA166" s="787"/>
    </row>
    <row r="167" spans="1:131" ht="15.6">
      <c r="A167" s="782" t="s">
        <v>1460</v>
      </c>
      <c r="B167" s="782" t="s">
        <v>812</v>
      </c>
      <c r="C167" s="783">
        <v>7035</v>
      </c>
      <c r="D167" s="784" t="s">
        <v>813</v>
      </c>
      <c r="E167" s="785" t="s">
        <v>521</v>
      </c>
      <c r="F167" s="786">
        <v>46094</v>
      </c>
      <c r="G167" s="785" t="s">
        <v>5</v>
      </c>
      <c r="H167" s="785" t="str">
        <f t="shared" si="14"/>
        <v>AX01M</v>
      </c>
      <c r="I167" s="787">
        <v>0</v>
      </c>
      <c r="J167" s="787">
        <v>0</v>
      </c>
      <c r="K167" s="787">
        <v>0</v>
      </c>
      <c r="L167" s="787">
        <v>0</v>
      </c>
      <c r="M167" s="787">
        <v>0</v>
      </c>
      <c r="N167" s="787">
        <v>0</v>
      </c>
      <c r="O167" s="787">
        <v>0</v>
      </c>
      <c r="P167" s="787">
        <v>0</v>
      </c>
      <c r="Q167" s="787">
        <v>93858</v>
      </c>
      <c r="R167" s="787">
        <v>10630.1</v>
      </c>
      <c r="S167" s="787">
        <v>0</v>
      </c>
      <c r="T167" s="787">
        <v>0</v>
      </c>
      <c r="U167" s="787">
        <v>3173</v>
      </c>
      <c r="V167" s="787">
        <v>491</v>
      </c>
      <c r="W167" s="787">
        <v>0</v>
      </c>
      <c r="X167" s="787">
        <f t="shared" si="15"/>
        <v>108152.1</v>
      </c>
      <c r="Y167" s="787">
        <v>1314942</v>
      </c>
      <c r="Z167" s="787">
        <v>0</v>
      </c>
      <c r="AA167" s="787">
        <v>1374985</v>
      </c>
      <c r="AB167" s="787">
        <v>42890</v>
      </c>
      <c r="AC167" s="787">
        <v>170788</v>
      </c>
      <c r="AD167" s="787">
        <v>0</v>
      </c>
      <c r="AE167" s="787">
        <v>113075</v>
      </c>
      <c r="AF167" s="787">
        <v>1201</v>
      </c>
      <c r="AG167" s="787">
        <v>15469</v>
      </c>
      <c r="AH167" s="787">
        <v>0</v>
      </c>
      <c r="AI167" s="787">
        <v>0</v>
      </c>
      <c r="AJ167" s="787">
        <v>156120.91999999998</v>
      </c>
      <c r="AK167" s="787">
        <v>10312</v>
      </c>
      <c r="AL167" s="787">
        <v>53471</v>
      </c>
      <c r="AM167" s="787">
        <v>9280</v>
      </c>
      <c r="AN167" s="787">
        <v>33243</v>
      </c>
      <c r="AO167" s="787">
        <v>1018</v>
      </c>
      <c r="AP167" s="787">
        <v>83519</v>
      </c>
      <c r="AQ167" s="787">
        <v>33008</v>
      </c>
      <c r="AR167" s="787">
        <v>0</v>
      </c>
      <c r="AS167" s="787">
        <v>0</v>
      </c>
      <c r="AT167" s="787">
        <v>1687</v>
      </c>
      <c r="AU167" s="787">
        <v>0</v>
      </c>
      <c r="AV167" s="787">
        <v>0</v>
      </c>
      <c r="AW167" s="787">
        <v>0</v>
      </c>
      <c r="AX167" s="787">
        <v>0</v>
      </c>
      <c r="AY167" s="787">
        <v>0</v>
      </c>
      <c r="AZ167" s="787">
        <v>0</v>
      </c>
      <c r="BA167" s="787">
        <v>0</v>
      </c>
      <c r="BB167" s="787">
        <v>0</v>
      </c>
      <c r="BC167" s="787">
        <v>101797.13</v>
      </c>
      <c r="BD167" s="787">
        <v>151689</v>
      </c>
      <c r="BE167" s="787">
        <v>266237</v>
      </c>
      <c r="BF167" s="787">
        <v>178715</v>
      </c>
      <c r="BG167" s="787">
        <v>0</v>
      </c>
      <c r="BH167" s="787">
        <v>0</v>
      </c>
      <c r="BI167" s="787">
        <v>0</v>
      </c>
      <c r="BJ167" s="787">
        <f t="shared" si="16"/>
        <v>4113447.05</v>
      </c>
      <c r="BK167" s="787"/>
      <c r="BL167" s="787"/>
      <c r="BM167" s="787"/>
      <c r="BN167" s="787">
        <v>0</v>
      </c>
      <c r="BO167" s="787">
        <v>0</v>
      </c>
      <c r="BP167" s="787">
        <v>0</v>
      </c>
      <c r="BQ167" s="787">
        <f t="shared" si="17"/>
        <v>0</v>
      </c>
      <c r="BR167" s="787">
        <v>0</v>
      </c>
      <c r="BS167" s="787">
        <v>0</v>
      </c>
      <c r="BT167" s="787">
        <v>4407</v>
      </c>
      <c r="BU167" s="787">
        <v>0</v>
      </c>
      <c r="BV167" s="787">
        <v>0</v>
      </c>
      <c r="BW167" s="787">
        <v>0</v>
      </c>
      <c r="BX167" s="787">
        <v>1691</v>
      </c>
      <c r="BY167" s="787">
        <v>17802</v>
      </c>
      <c r="BZ167" s="787">
        <f t="shared" si="18"/>
        <v>23900</v>
      </c>
      <c r="CA167" s="787"/>
      <c r="CB167" s="787"/>
      <c r="CC167" s="787"/>
      <c r="CD167" s="787">
        <v>0</v>
      </c>
      <c r="CE167" s="787">
        <v>0</v>
      </c>
      <c r="CF167" s="787">
        <f t="shared" si="19"/>
        <v>0</v>
      </c>
      <c r="CG167" s="787">
        <v>0</v>
      </c>
      <c r="CH167" s="787">
        <v>0</v>
      </c>
      <c r="CI167" s="787">
        <f t="shared" si="20"/>
        <v>0</v>
      </c>
      <c r="CJ167" s="787"/>
      <c r="CK167" s="787"/>
      <c r="CL167" s="787"/>
      <c r="CM167" s="787"/>
      <c r="CN167" s="787"/>
      <c r="CO167" s="787"/>
      <c r="CP167" s="787"/>
      <c r="CQ167" s="787"/>
      <c r="CR167" s="787"/>
      <c r="CS167" s="787"/>
      <c r="CT167" s="787"/>
      <c r="CU167" s="787"/>
      <c r="CV167" s="787"/>
      <c r="CW167" s="787"/>
      <c r="CX167" s="787"/>
      <c r="CY167" s="787"/>
      <c r="CZ167" s="787"/>
      <c r="DA167" s="787"/>
      <c r="DB167" s="787"/>
      <c r="DC167" s="787"/>
      <c r="DD167" s="787"/>
      <c r="DE167" s="787"/>
      <c r="DF167" s="787"/>
      <c r="DG167" s="787"/>
      <c r="DH167" s="787"/>
      <c r="DI167" s="787"/>
      <c r="DJ167" s="787"/>
      <c r="DK167" s="787"/>
      <c r="DL167" s="787"/>
      <c r="DM167" s="787"/>
      <c r="DN167" s="787"/>
      <c r="DO167" s="787"/>
      <c r="DP167" s="787"/>
      <c r="DQ167" s="787"/>
      <c r="DR167" s="787"/>
      <c r="DS167" s="787"/>
      <c r="DT167" s="787"/>
      <c r="DU167" s="787"/>
      <c r="DV167" s="787"/>
      <c r="DW167" s="787"/>
      <c r="DX167" s="787"/>
      <c r="DY167" s="787"/>
      <c r="DZ167" s="787"/>
      <c r="EA167" s="787"/>
    </row>
    <row r="168" spans="1:131" ht="15.6">
      <c r="A168" s="782" t="s">
        <v>1461</v>
      </c>
      <c r="B168" s="782" t="s">
        <v>816</v>
      </c>
      <c r="C168" s="783">
        <v>7045</v>
      </c>
      <c r="D168" s="784" t="s">
        <v>817</v>
      </c>
      <c r="E168" s="785" t="s">
        <v>521</v>
      </c>
      <c r="F168" s="786" t="s">
        <v>1462</v>
      </c>
      <c r="G168" s="785" t="s">
        <v>5</v>
      </c>
      <c r="H168" s="785" t="str">
        <f t="shared" si="14"/>
        <v>AX04P</v>
      </c>
      <c r="I168" s="787">
        <v>5140</v>
      </c>
      <c r="J168" s="787">
        <v>0</v>
      </c>
      <c r="K168" s="787">
        <v>59822</v>
      </c>
      <c r="L168" s="787">
        <v>0</v>
      </c>
      <c r="M168" s="787">
        <v>0</v>
      </c>
      <c r="N168" s="787">
        <v>33957</v>
      </c>
      <c r="O168" s="787">
        <v>0</v>
      </c>
      <c r="P168" s="787">
        <v>6480</v>
      </c>
      <c r="Q168" s="787">
        <v>19613</v>
      </c>
      <c r="R168" s="787">
        <v>24749.599999999999</v>
      </c>
      <c r="S168" s="787">
        <v>0</v>
      </c>
      <c r="T168" s="787">
        <v>0</v>
      </c>
      <c r="U168" s="787">
        <v>7145.92</v>
      </c>
      <c r="V168" s="787">
        <v>35083.75</v>
      </c>
      <c r="W168" s="787">
        <v>0</v>
      </c>
      <c r="X168" s="787">
        <f t="shared" si="15"/>
        <v>191991.27000000002</v>
      </c>
      <c r="Y168" s="787">
        <v>2782615.51</v>
      </c>
      <c r="Z168" s="787">
        <v>0</v>
      </c>
      <c r="AA168" s="787">
        <v>2673089.0299999998</v>
      </c>
      <c r="AB168" s="787">
        <v>63145.64</v>
      </c>
      <c r="AC168" s="787">
        <v>148175.07999999999</v>
      </c>
      <c r="AD168" s="787">
        <v>0</v>
      </c>
      <c r="AE168" s="787">
        <v>109032.04</v>
      </c>
      <c r="AF168" s="787">
        <v>33837.129999999997</v>
      </c>
      <c r="AG168" s="787">
        <v>15538.04</v>
      </c>
      <c r="AH168" s="787">
        <v>0</v>
      </c>
      <c r="AI168" s="787">
        <v>0</v>
      </c>
      <c r="AJ168" s="787">
        <v>50383.44</v>
      </c>
      <c r="AK168" s="787">
        <v>0</v>
      </c>
      <c r="AL168" s="787">
        <v>94081.21</v>
      </c>
      <c r="AM168" s="787">
        <v>14201.09</v>
      </c>
      <c r="AN168" s="787">
        <v>79719.899999999994</v>
      </c>
      <c r="AO168" s="787">
        <v>0</v>
      </c>
      <c r="AP168" s="787">
        <v>16243.55</v>
      </c>
      <c r="AQ168" s="787">
        <v>113971.98</v>
      </c>
      <c r="AR168" s="787">
        <v>0</v>
      </c>
      <c r="AS168" s="787">
        <v>0</v>
      </c>
      <c r="AT168" s="787">
        <v>0</v>
      </c>
      <c r="AU168" s="787">
        <v>0</v>
      </c>
      <c r="AV168" s="787">
        <v>0</v>
      </c>
      <c r="AW168" s="787">
        <v>35170.92</v>
      </c>
      <c r="AX168" s="787">
        <v>0</v>
      </c>
      <c r="AY168" s="787">
        <v>1353.94</v>
      </c>
      <c r="AZ168" s="787">
        <v>34993.22</v>
      </c>
      <c r="BA168" s="787">
        <v>0</v>
      </c>
      <c r="BB168" s="787">
        <v>1188</v>
      </c>
      <c r="BC168" s="787">
        <v>224299.3</v>
      </c>
      <c r="BD168" s="787">
        <v>87307.35</v>
      </c>
      <c r="BE168" s="787">
        <v>642211.79</v>
      </c>
      <c r="BF168" s="787">
        <v>376824.23</v>
      </c>
      <c r="BG168" s="787">
        <v>0</v>
      </c>
      <c r="BH168" s="787">
        <v>0</v>
      </c>
      <c r="BI168" s="787">
        <v>0</v>
      </c>
      <c r="BJ168" s="787">
        <f t="shared" si="16"/>
        <v>7597382.3899999987</v>
      </c>
      <c r="BK168" s="787"/>
      <c r="BL168" s="787"/>
      <c r="BM168" s="787"/>
      <c r="BN168" s="787">
        <v>0</v>
      </c>
      <c r="BO168" s="787">
        <v>0</v>
      </c>
      <c r="BP168" s="787">
        <v>0</v>
      </c>
      <c r="BQ168" s="787">
        <f t="shared" si="17"/>
        <v>0</v>
      </c>
      <c r="BR168" s="787">
        <v>0</v>
      </c>
      <c r="BS168" s="787">
        <v>50931</v>
      </c>
      <c r="BT168" s="787">
        <v>0</v>
      </c>
      <c r="BU168" s="787">
        <v>0</v>
      </c>
      <c r="BV168" s="787">
        <v>0</v>
      </c>
      <c r="BW168" s="787">
        <v>0</v>
      </c>
      <c r="BX168" s="787">
        <v>3522.48</v>
      </c>
      <c r="BY168" s="787">
        <v>2225</v>
      </c>
      <c r="BZ168" s="787">
        <f t="shared" si="18"/>
        <v>56678.48</v>
      </c>
      <c r="CA168" s="787"/>
      <c r="CB168" s="787"/>
      <c r="CC168" s="787"/>
      <c r="CD168" s="787">
        <v>0</v>
      </c>
      <c r="CE168" s="787">
        <v>0</v>
      </c>
      <c r="CF168" s="787">
        <f t="shared" si="19"/>
        <v>0</v>
      </c>
      <c r="CG168" s="787">
        <v>0</v>
      </c>
      <c r="CH168" s="787">
        <v>0</v>
      </c>
      <c r="CI168" s="787">
        <f t="shared" si="20"/>
        <v>0</v>
      </c>
      <c r="CJ168" s="787"/>
      <c r="CK168" s="787"/>
      <c r="CL168" s="787"/>
      <c r="CM168" s="787"/>
      <c r="CN168" s="787"/>
      <c r="CO168" s="787"/>
      <c r="CP168" s="787"/>
      <c r="CQ168" s="787"/>
      <c r="CR168" s="787"/>
      <c r="CS168" s="787">
        <v>2039641.79</v>
      </c>
      <c r="CT168" s="787">
        <v>10121.74</v>
      </c>
      <c r="CU168" s="787">
        <v>0</v>
      </c>
      <c r="CV168" s="787">
        <v>2029520.05</v>
      </c>
      <c r="CW168" s="787">
        <v>0</v>
      </c>
      <c r="CX168" s="787">
        <v>38529.269999999997</v>
      </c>
      <c r="CY168" s="787">
        <v>6913.69</v>
      </c>
      <c r="CZ168" s="787">
        <v>0</v>
      </c>
      <c r="DA168" s="787">
        <v>0</v>
      </c>
      <c r="DB168" s="787">
        <v>2074963.01</v>
      </c>
      <c r="DC168" s="787">
        <v>0</v>
      </c>
      <c r="DD168" s="787">
        <v>0</v>
      </c>
      <c r="DE168" s="787">
        <v>0</v>
      </c>
      <c r="DF168" s="787">
        <v>0</v>
      </c>
      <c r="DG168" s="787"/>
      <c r="DH168" s="787"/>
      <c r="DI168" s="787"/>
      <c r="DJ168" s="787">
        <v>0</v>
      </c>
      <c r="DK168" s="787">
        <v>0</v>
      </c>
      <c r="DL168" s="787">
        <v>59822</v>
      </c>
      <c r="DM168" s="787">
        <v>0</v>
      </c>
      <c r="DN168" s="787">
        <v>0</v>
      </c>
      <c r="DO168" s="787">
        <v>0</v>
      </c>
      <c r="DP168" s="787">
        <v>-641144.85</v>
      </c>
      <c r="DQ168" s="787">
        <v>-64087.67</v>
      </c>
      <c r="DR168" s="787">
        <v>0</v>
      </c>
      <c r="DS168" s="787">
        <v>0</v>
      </c>
      <c r="DT168" s="787">
        <v>-645410.52</v>
      </c>
      <c r="DU168" s="787">
        <v>0</v>
      </c>
      <c r="DV168" s="787">
        <v>0</v>
      </c>
      <c r="DW168" s="787">
        <v>0</v>
      </c>
      <c r="DX168" s="787">
        <v>0</v>
      </c>
      <c r="DY168" s="787">
        <v>0</v>
      </c>
      <c r="DZ168" s="787">
        <v>-96197.56</v>
      </c>
      <c r="EA168" s="787">
        <v>0.11412998964078724</v>
      </c>
    </row>
    <row r="169" spans="1:131" ht="15.6">
      <c r="A169" s="782" t="s">
        <v>1463</v>
      </c>
      <c r="B169" s="782" t="s">
        <v>818</v>
      </c>
      <c r="C169" s="783">
        <v>2192</v>
      </c>
      <c r="D169" s="784" t="s">
        <v>819</v>
      </c>
      <c r="E169" s="785" t="s">
        <v>521</v>
      </c>
      <c r="F169" s="786">
        <v>46086</v>
      </c>
      <c r="G169" s="785" t="s">
        <v>5</v>
      </c>
      <c r="H169" s="785" t="str">
        <f t="shared" si="14"/>
        <v>AX075</v>
      </c>
      <c r="I169" s="787">
        <v>0</v>
      </c>
      <c r="J169" s="787">
        <v>0</v>
      </c>
      <c r="K169" s="787">
        <v>0</v>
      </c>
      <c r="L169" s="787">
        <v>0</v>
      </c>
      <c r="M169" s="787">
        <v>2300</v>
      </c>
      <c r="N169" s="787">
        <v>0</v>
      </c>
      <c r="O169" s="787">
        <v>0</v>
      </c>
      <c r="P169" s="787">
        <v>0</v>
      </c>
      <c r="Q169" s="787">
        <v>0</v>
      </c>
      <c r="R169" s="787">
        <v>52327.899999999994</v>
      </c>
      <c r="S169" s="787">
        <v>0</v>
      </c>
      <c r="T169" s="787">
        <v>0</v>
      </c>
      <c r="U169" s="787">
        <v>6807.5</v>
      </c>
      <c r="V169" s="787">
        <v>23683.83</v>
      </c>
      <c r="W169" s="787">
        <v>0</v>
      </c>
      <c r="X169" s="787">
        <f t="shared" si="15"/>
        <v>85119.23</v>
      </c>
      <c r="Y169" s="787">
        <v>1612754.83</v>
      </c>
      <c r="Z169" s="787">
        <v>0</v>
      </c>
      <c r="AA169" s="787">
        <v>629873.73</v>
      </c>
      <c r="AB169" s="787">
        <v>159731.95000000001</v>
      </c>
      <c r="AC169" s="787">
        <v>190061.58000000002</v>
      </c>
      <c r="AD169" s="787">
        <v>0</v>
      </c>
      <c r="AE169" s="787">
        <v>116832.62000000001</v>
      </c>
      <c r="AF169" s="787">
        <v>12131.8</v>
      </c>
      <c r="AG169" s="787">
        <v>15131.9</v>
      </c>
      <c r="AH169" s="787">
        <v>0</v>
      </c>
      <c r="AI169" s="787">
        <v>0</v>
      </c>
      <c r="AJ169" s="787">
        <v>21069.58</v>
      </c>
      <c r="AK169" s="787">
        <v>1756.29</v>
      </c>
      <c r="AL169" s="787">
        <v>0</v>
      </c>
      <c r="AM169" s="787">
        <v>8381.5300000000007</v>
      </c>
      <c r="AN169" s="787">
        <v>57248.899999999994</v>
      </c>
      <c r="AO169" s="787">
        <v>0</v>
      </c>
      <c r="AP169" s="787">
        <v>3765.29</v>
      </c>
      <c r="AQ169" s="787">
        <v>82161.440000000002</v>
      </c>
      <c r="AR169" s="787">
        <v>2118.2399999999998</v>
      </c>
      <c r="AS169" s="787">
        <v>0</v>
      </c>
      <c r="AT169" s="787">
        <v>0</v>
      </c>
      <c r="AU169" s="787">
        <v>0</v>
      </c>
      <c r="AV169" s="787">
        <v>0</v>
      </c>
      <c r="AW169" s="787">
        <v>0</v>
      </c>
      <c r="AX169" s="787">
        <v>0</v>
      </c>
      <c r="AY169" s="787">
        <v>0</v>
      </c>
      <c r="AZ169" s="787">
        <v>52171.78</v>
      </c>
      <c r="BA169" s="787">
        <v>0</v>
      </c>
      <c r="BB169" s="787">
        <v>9456</v>
      </c>
      <c r="BC169" s="787">
        <v>160099.24</v>
      </c>
      <c r="BD169" s="787">
        <v>135696.94</v>
      </c>
      <c r="BE169" s="787">
        <v>27929.979999999996</v>
      </c>
      <c r="BF169" s="787">
        <v>146587.83000000002</v>
      </c>
      <c r="BG169" s="787">
        <v>0</v>
      </c>
      <c r="BH169" s="787">
        <v>0</v>
      </c>
      <c r="BI169" s="787">
        <v>0</v>
      </c>
      <c r="BJ169" s="787">
        <f t="shared" si="16"/>
        <v>3444961.45</v>
      </c>
      <c r="BK169" s="787"/>
      <c r="BL169" s="787"/>
      <c r="BM169" s="787"/>
      <c r="BN169" s="787">
        <v>0</v>
      </c>
      <c r="BO169" s="787">
        <v>0</v>
      </c>
      <c r="BP169" s="787">
        <v>0</v>
      </c>
      <c r="BQ169" s="787">
        <f t="shared" si="17"/>
        <v>0</v>
      </c>
      <c r="BR169" s="787">
        <v>0</v>
      </c>
      <c r="BS169" s="787">
        <v>0</v>
      </c>
      <c r="BT169" s="787">
        <v>0</v>
      </c>
      <c r="BU169" s="787">
        <v>0</v>
      </c>
      <c r="BV169" s="787">
        <v>0</v>
      </c>
      <c r="BW169" s="787">
        <v>0</v>
      </c>
      <c r="BX169" s="787">
        <v>7447.03</v>
      </c>
      <c r="BY169" s="787">
        <v>0</v>
      </c>
      <c r="BZ169" s="787">
        <f t="shared" si="18"/>
        <v>7447.03</v>
      </c>
      <c r="CA169" s="787"/>
      <c r="CB169" s="787"/>
      <c r="CC169" s="787"/>
      <c r="CD169" s="787">
        <v>0</v>
      </c>
      <c r="CE169" s="787">
        <v>0</v>
      </c>
      <c r="CF169" s="787">
        <f t="shared" si="19"/>
        <v>0</v>
      </c>
      <c r="CG169" s="787">
        <v>0</v>
      </c>
      <c r="CH169" s="787">
        <v>0</v>
      </c>
      <c r="CI169" s="787">
        <f t="shared" si="20"/>
        <v>0</v>
      </c>
      <c r="CJ169" s="787"/>
      <c r="CK169" s="787"/>
      <c r="CL169" s="787"/>
      <c r="CM169" s="787"/>
      <c r="CN169" s="787"/>
      <c r="CO169" s="787"/>
      <c r="CP169" s="787"/>
      <c r="CQ169" s="787"/>
      <c r="CR169" s="787"/>
      <c r="CS169" s="787"/>
      <c r="CT169" s="787"/>
      <c r="CU169" s="787"/>
      <c r="CV169" s="787"/>
      <c r="CW169" s="787"/>
      <c r="CX169" s="787"/>
      <c r="CY169" s="787"/>
      <c r="CZ169" s="787"/>
      <c r="DA169" s="787"/>
      <c r="DB169" s="787"/>
      <c r="DC169" s="787"/>
      <c r="DD169" s="787"/>
      <c r="DE169" s="787"/>
      <c r="DF169" s="787"/>
      <c r="DG169" s="787"/>
      <c r="DH169" s="787"/>
      <c r="DI169" s="787"/>
      <c r="DJ169" s="787"/>
      <c r="DK169" s="787"/>
      <c r="DL169" s="787"/>
      <c r="DM169" s="787"/>
      <c r="DN169" s="787"/>
      <c r="DO169" s="787"/>
      <c r="DP169" s="787"/>
      <c r="DQ169" s="787"/>
      <c r="DR169" s="787"/>
      <c r="DS169" s="787"/>
      <c r="DT169" s="787"/>
      <c r="DU169" s="787"/>
      <c r="DV169" s="787"/>
      <c r="DW169" s="787"/>
      <c r="DX169" s="787"/>
      <c r="DY169" s="787"/>
      <c r="DZ169" s="787"/>
      <c r="EA169" s="787"/>
    </row>
    <row r="170" spans="1:131" ht="15.6">
      <c r="A170" s="782" t="s">
        <v>1464</v>
      </c>
      <c r="B170" s="782" t="s">
        <v>820</v>
      </c>
      <c r="C170" s="783">
        <v>7014</v>
      </c>
      <c r="D170" s="784" t="s">
        <v>821</v>
      </c>
      <c r="E170" s="785" t="s">
        <v>521</v>
      </c>
      <c r="F170" s="786">
        <v>0</v>
      </c>
      <c r="G170" s="785" t="s">
        <v>5</v>
      </c>
      <c r="H170" s="785" t="str">
        <f t="shared" si="14"/>
        <v>AX07A</v>
      </c>
      <c r="I170" s="787">
        <v>0</v>
      </c>
      <c r="J170" s="787">
        <v>0</v>
      </c>
      <c r="K170" s="787">
        <v>0</v>
      </c>
      <c r="L170" s="787">
        <v>0</v>
      </c>
      <c r="M170" s="787">
        <v>3400</v>
      </c>
      <c r="N170" s="787">
        <v>0</v>
      </c>
      <c r="O170" s="787">
        <v>16355.95</v>
      </c>
      <c r="P170" s="787">
        <v>264</v>
      </c>
      <c r="Q170" s="787">
        <v>197719.99</v>
      </c>
      <c r="R170" s="787">
        <v>24444</v>
      </c>
      <c r="S170" s="787">
        <v>0</v>
      </c>
      <c r="T170" s="787">
        <v>0</v>
      </c>
      <c r="U170" s="787">
        <v>0</v>
      </c>
      <c r="V170" s="787">
        <v>0</v>
      </c>
      <c r="W170" s="787">
        <v>0</v>
      </c>
      <c r="X170" s="787">
        <f t="shared" si="15"/>
        <v>242183.94</v>
      </c>
      <c r="Y170" s="787">
        <v>2586117.4</v>
      </c>
      <c r="Z170" s="787">
        <v>0</v>
      </c>
      <c r="AA170" s="787">
        <v>2640342.21</v>
      </c>
      <c r="AB170" s="787">
        <v>108981.81</v>
      </c>
      <c r="AC170" s="787">
        <v>389783</v>
      </c>
      <c r="AD170" s="787">
        <v>0</v>
      </c>
      <c r="AE170" s="787">
        <v>32309.32</v>
      </c>
      <c r="AF170" s="787">
        <v>34182.89</v>
      </c>
      <c r="AG170" s="787">
        <v>19512.939999999999</v>
      </c>
      <c r="AH170" s="787">
        <v>0</v>
      </c>
      <c r="AI170" s="787">
        <v>0</v>
      </c>
      <c r="AJ170" s="787">
        <v>100556.36</v>
      </c>
      <c r="AK170" s="787">
        <v>0</v>
      </c>
      <c r="AL170" s="787">
        <v>135964.73000000001</v>
      </c>
      <c r="AM170" s="787">
        <v>26700.6</v>
      </c>
      <c r="AN170" s="787">
        <v>138890.34</v>
      </c>
      <c r="AO170" s="787">
        <v>0</v>
      </c>
      <c r="AP170" s="787">
        <v>83500.86</v>
      </c>
      <c r="AQ170" s="787">
        <v>75757.25</v>
      </c>
      <c r="AR170" s="787">
        <v>14788.62</v>
      </c>
      <c r="AS170" s="787">
        <v>0</v>
      </c>
      <c r="AT170" s="787">
        <v>26394.639999999999</v>
      </c>
      <c r="AU170" s="787">
        <v>16084.3</v>
      </c>
      <c r="AV170" s="787">
        <v>33377.46</v>
      </c>
      <c r="AW170" s="787">
        <v>11474.12</v>
      </c>
      <c r="AX170" s="787">
        <v>28933.51</v>
      </c>
      <c r="AY170" s="787">
        <v>4062.15</v>
      </c>
      <c r="AZ170" s="787">
        <v>15718</v>
      </c>
      <c r="BA170" s="787">
        <v>9735.2099999999991</v>
      </c>
      <c r="BB170" s="787">
        <v>0</v>
      </c>
      <c r="BC170" s="787">
        <v>183094.59</v>
      </c>
      <c r="BD170" s="787">
        <v>1772163.72</v>
      </c>
      <c r="BE170" s="787">
        <v>124456.83</v>
      </c>
      <c r="BF170" s="787">
        <v>116636.18</v>
      </c>
      <c r="BG170" s="787">
        <v>0</v>
      </c>
      <c r="BH170" s="787">
        <v>0</v>
      </c>
      <c r="BI170" s="787">
        <v>0</v>
      </c>
      <c r="BJ170" s="787">
        <f t="shared" si="16"/>
        <v>8729519.0399999991</v>
      </c>
      <c r="BK170" s="787"/>
      <c r="BL170" s="787"/>
      <c r="BM170" s="787"/>
      <c r="BN170" s="787">
        <v>0</v>
      </c>
      <c r="BO170" s="787">
        <v>0</v>
      </c>
      <c r="BP170" s="787">
        <v>0</v>
      </c>
      <c r="BQ170" s="787">
        <f t="shared" si="17"/>
        <v>0</v>
      </c>
      <c r="BR170" s="787">
        <v>0</v>
      </c>
      <c r="BS170" s="787">
        <v>0</v>
      </c>
      <c r="BT170" s="787">
        <v>0</v>
      </c>
      <c r="BU170" s="787">
        <v>0</v>
      </c>
      <c r="BV170" s="787">
        <v>0</v>
      </c>
      <c r="BW170" s="787">
        <v>0</v>
      </c>
      <c r="BX170" s="787">
        <v>0</v>
      </c>
      <c r="BY170" s="787">
        <v>0</v>
      </c>
      <c r="BZ170" s="787">
        <f t="shared" si="18"/>
        <v>0</v>
      </c>
      <c r="CA170" s="787"/>
      <c r="CB170" s="787"/>
      <c r="CC170" s="787"/>
      <c r="CD170" s="787">
        <v>0</v>
      </c>
      <c r="CE170" s="787">
        <v>0</v>
      </c>
      <c r="CF170" s="787">
        <f t="shared" si="19"/>
        <v>0</v>
      </c>
      <c r="CG170" s="787">
        <v>0</v>
      </c>
      <c r="CH170" s="787">
        <v>0</v>
      </c>
      <c r="CI170" s="787">
        <f t="shared" si="20"/>
        <v>0</v>
      </c>
      <c r="CJ170" s="787"/>
      <c r="CK170" s="787"/>
      <c r="CL170" s="787"/>
      <c r="CM170" s="787"/>
      <c r="CN170" s="787"/>
      <c r="CO170" s="787"/>
      <c r="CP170" s="787"/>
      <c r="CQ170" s="787"/>
      <c r="CR170" s="787"/>
      <c r="CS170" s="787">
        <v>150000</v>
      </c>
      <c r="CT170" s="787">
        <v>13968.32</v>
      </c>
      <c r="CU170" s="787">
        <v>10725.65</v>
      </c>
      <c r="CV170" s="787">
        <v>146757.32999999999</v>
      </c>
      <c r="CW170" s="787">
        <v>0</v>
      </c>
      <c r="CX170" s="787">
        <v>50381.71</v>
      </c>
      <c r="CY170" s="787">
        <v>31459.63</v>
      </c>
      <c r="CZ170" s="787">
        <v>0</v>
      </c>
      <c r="DA170" s="787">
        <v>0</v>
      </c>
      <c r="DB170" s="787">
        <v>228598.66999999998</v>
      </c>
      <c r="DC170" s="787">
        <v>2930205.48</v>
      </c>
      <c r="DD170" s="787">
        <v>680.33</v>
      </c>
      <c r="DE170" s="787">
        <v>498.55</v>
      </c>
      <c r="DF170" s="787">
        <v>2930023.6999999997</v>
      </c>
      <c r="DG170" s="787"/>
      <c r="DH170" s="787"/>
      <c r="DI170" s="787"/>
      <c r="DJ170" s="787">
        <v>0</v>
      </c>
      <c r="DK170" s="787">
        <v>2930023.6999999997</v>
      </c>
      <c r="DL170" s="787">
        <v>0</v>
      </c>
      <c r="DM170" s="787">
        <v>0</v>
      </c>
      <c r="DN170" s="787">
        <v>0</v>
      </c>
      <c r="DO170" s="787">
        <v>0</v>
      </c>
      <c r="DP170" s="787">
        <v>-250363.33</v>
      </c>
      <c r="DQ170" s="787">
        <v>-683.25</v>
      </c>
      <c r="DR170" s="787">
        <v>0</v>
      </c>
      <c r="DS170" s="787">
        <v>0</v>
      </c>
      <c r="DT170" s="787">
        <v>-251046.58</v>
      </c>
      <c r="DU170" s="787">
        <v>0</v>
      </c>
      <c r="DV170" s="787">
        <v>0</v>
      </c>
      <c r="DW170" s="787">
        <v>-3054.42</v>
      </c>
      <c r="DX170" s="787">
        <v>0</v>
      </c>
      <c r="DY170" s="787">
        <v>0</v>
      </c>
      <c r="DZ170" s="787">
        <v>-498721.73</v>
      </c>
      <c r="EA170" s="787">
        <v>0.11513420473784208</v>
      </c>
    </row>
    <row r="171" spans="1:131" ht="15.6">
      <c r="A171" s="782" t="s">
        <v>1465</v>
      </c>
      <c r="B171" s="782" t="s">
        <v>822</v>
      </c>
      <c r="C171" s="783">
        <v>7009</v>
      </c>
      <c r="D171" s="784" t="s">
        <v>823</v>
      </c>
      <c r="E171" s="785" t="s">
        <v>521</v>
      </c>
      <c r="F171" s="786">
        <v>46094</v>
      </c>
      <c r="G171" s="785" t="s">
        <v>5</v>
      </c>
      <c r="H171" s="785" t="str">
        <f t="shared" si="14"/>
        <v>AX0CG</v>
      </c>
      <c r="I171" s="787">
        <v>-641189.71</v>
      </c>
      <c r="J171" s="787">
        <v>633587.69999999995</v>
      </c>
      <c r="K171" s="787">
        <v>542196.78000000026</v>
      </c>
      <c r="L171" s="787">
        <v>0</v>
      </c>
      <c r="M171" s="787">
        <v>21260</v>
      </c>
      <c r="N171" s="787">
        <v>0</v>
      </c>
      <c r="O171" s="787">
        <v>388886.5</v>
      </c>
      <c r="P171" s="787">
        <v>25624</v>
      </c>
      <c r="Q171" s="787">
        <v>119300.13</v>
      </c>
      <c r="R171" s="787">
        <v>16457.22</v>
      </c>
      <c r="S171" s="787">
        <v>0</v>
      </c>
      <c r="T171" s="787">
        <v>36124.589999999997</v>
      </c>
      <c r="U171" s="787">
        <v>1496.75</v>
      </c>
      <c r="V171" s="787">
        <v>42342.03</v>
      </c>
      <c r="W171" s="787">
        <v>0</v>
      </c>
      <c r="X171" s="787">
        <f t="shared" si="15"/>
        <v>1186085.9900000005</v>
      </c>
      <c r="Y171" s="787">
        <v>2318023.73</v>
      </c>
      <c r="Z171" s="787">
        <v>0</v>
      </c>
      <c r="AA171" s="787">
        <v>2573581.98</v>
      </c>
      <c r="AB171" s="787">
        <v>331836.78999999998</v>
      </c>
      <c r="AC171" s="787">
        <v>541330.43999999994</v>
      </c>
      <c r="AD171" s="787">
        <v>0</v>
      </c>
      <c r="AE171" s="787">
        <v>157683.74</v>
      </c>
      <c r="AF171" s="787">
        <v>30637.55</v>
      </c>
      <c r="AG171" s="787">
        <v>32715.75</v>
      </c>
      <c r="AH171" s="787">
        <v>0</v>
      </c>
      <c r="AI171" s="787">
        <v>0</v>
      </c>
      <c r="AJ171" s="787">
        <v>126062.6</v>
      </c>
      <c r="AK171" s="787">
        <v>5610.1</v>
      </c>
      <c r="AL171" s="787">
        <v>25408.42</v>
      </c>
      <c r="AM171" s="787">
        <v>34517.229999999996</v>
      </c>
      <c r="AN171" s="787">
        <v>205291.82</v>
      </c>
      <c r="AO171" s="787">
        <v>0</v>
      </c>
      <c r="AP171" s="787">
        <v>64764.27</v>
      </c>
      <c r="AQ171" s="787">
        <v>114081.96</v>
      </c>
      <c r="AR171" s="787">
        <v>5472.3600000000006</v>
      </c>
      <c r="AS171" s="787">
        <v>0</v>
      </c>
      <c r="AT171" s="787">
        <v>6848.2600000000011</v>
      </c>
      <c r="AU171" s="787">
        <v>20837.86</v>
      </c>
      <c r="AV171" s="787">
        <v>3963.92</v>
      </c>
      <c r="AW171" s="787">
        <v>4272.0600000000004</v>
      </c>
      <c r="AX171" s="787">
        <v>11613.090000000002</v>
      </c>
      <c r="AY171" s="787">
        <v>1877.4</v>
      </c>
      <c r="AZ171" s="787">
        <v>58494.58</v>
      </c>
      <c r="BA171" s="787">
        <v>1313.33</v>
      </c>
      <c r="BB171" s="787">
        <v>0</v>
      </c>
      <c r="BC171" s="787">
        <v>182030.18</v>
      </c>
      <c r="BD171" s="787">
        <v>236900.63</v>
      </c>
      <c r="BE171" s="787">
        <v>347223.70999999996</v>
      </c>
      <c r="BF171" s="787">
        <v>146751.94</v>
      </c>
      <c r="BG171" s="787">
        <v>0</v>
      </c>
      <c r="BH171" s="787">
        <v>0</v>
      </c>
      <c r="BI171" s="787">
        <v>124687.99</v>
      </c>
      <c r="BJ171" s="787">
        <f t="shared" si="16"/>
        <v>7713833.6899999995</v>
      </c>
      <c r="BK171" s="787"/>
      <c r="BL171" s="787"/>
      <c r="BM171" s="787"/>
      <c r="BN171" s="787">
        <v>0</v>
      </c>
      <c r="BO171" s="787">
        <v>0</v>
      </c>
      <c r="BP171" s="787">
        <v>124687.99</v>
      </c>
      <c r="BQ171" s="787">
        <f t="shared" si="17"/>
        <v>124687.99</v>
      </c>
      <c r="BR171" s="787">
        <v>0</v>
      </c>
      <c r="BS171" s="787">
        <v>56340.5</v>
      </c>
      <c r="BT171" s="787">
        <v>44081.99</v>
      </c>
      <c r="BU171" s="787">
        <v>7374.34</v>
      </c>
      <c r="BV171" s="787">
        <v>0</v>
      </c>
      <c r="BW171" s="787">
        <v>2423.36</v>
      </c>
      <c r="BX171" s="787">
        <v>7907.39</v>
      </c>
      <c r="BY171" s="787">
        <v>31846.5</v>
      </c>
      <c r="BZ171" s="787">
        <f t="shared" si="18"/>
        <v>149974.07999999999</v>
      </c>
      <c r="CA171" s="787"/>
      <c r="CB171" s="787"/>
      <c r="CC171" s="787"/>
      <c r="CD171" s="787">
        <v>0</v>
      </c>
      <c r="CE171" s="787">
        <v>0</v>
      </c>
      <c r="CF171" s="787">
        <f t="shared" si="19"/>
        <v>0</v>
      </c>
      <c r="CG171" s="787">
        <v>0</v>
      </c>
      <c r="CH171" s="787">
        <v>0</v>
      </c>
      <c r="CI171" s="787">
        <f t="shared" si="20"/>
        <v>0</v>
      </c>
      <c r="CJ171" s="787"/>
      <c r="CK171" s="787"/>
      <c r="CL171" s="787"/>
      <c r="CM171" s="787"/>
      <c r="CN171" s="787"/>
      <c r="CO171" s="787"/>
      <c r="CP171" s="787"/>
      <c r="CQ171" s="787"/>
      <c r="CR171" s="787"/>
      <c r="CS171" s="787">
        <v>50000</v>
      </c>
      <c r="CT171" s="787">
        <v>609641.80000000005</v>
      </c>
      <c r="CU171" s="787">
        <v>9139.15</v>
      </c>
      <c r="CV171" s="787">
        <v>-550502.65</v>
      </c>
      <c r="CW171" s="787">
        <v>0</v>
      </c>
      <c r="CX171" s="787">
        <v>15238.52</v>
      </c>
      <c r="CY171" s="787">
        <v>28132.240000000002</v>
      </c>
      <c r="CZ171" s="787">
        <v>0</v>
      </c>
      <c r="DA171" s="787">
        <v>91.14</v>
      </c>
      <c r="DB171" s="787">
        <v>-507040.75</v>
      </c>
      <c r="DC171" s="787">
        <v>2910195.91</v>
      </c>
      <c r="DD171" s="787">
        <v>0</v>
      </c>
      <c r="DE171" s="787">
        <v>0</v>
      </c>
      <c r="DF171" s="787">
        <v>2910195.91</v>
      </c>
      <c r="DG171" s="787"/>
      <c r="DH171" s="787"/>
      <c r="DI171" s="787"/>
      <c r="DJ171" s="787">
        <v>0</v>
      </c>
      <c r="DK171" s="787">
        <v>2910195.91</v>
      </c>
      <c r="DL171" s="787">
        <v>197258.39</v>
      </c>
      <c r="DM171" s="787">
        <v>0</v>
      </c>
      <c r="DN171" s="787">
        <v>57037.17</v>
      </c>
      <c r="DO171" s="787">
        <v>0</v>
      </c>
      <c r="DP171" s="787">
        <v>-94351.55</v>
      </c>
      <c r="DQ171" s="787">
        <v>-45887.77</v>
      </c>
      <c r="DR171" s="787">
        <v>-500</v>
      </c>
      <c r="DS171" s="787">
        <v>0</v>
      </c>
      <c r="DT171" s="787">
        <v>113556.24000000002</v>
      </c>
      <c r="DU171" s="787">
        <v>0</v>
      </c>
      <c r="DV171" s="787">
        <v>0</v>
      </c>
      <c r="DW171" s="787">
        <v>-866.25</v>
      </c>
      <c r="DX171" s="787">
        <v>0</v>
      </c>
      <c r="DY171" s="787">
        <v>0</v>
      </c>
      <c r="DZ171" s="787">
        <v>-103621.13</v>
      </c>
      <c r="EA171" s="787">
        <v>-0.40840608766302466</v>
      </c>
    </row>
    <row r="172" spans="1:131" ht="15.6">
      <c r="A172" s="782" t="s">
        <v>1466</v>
      </c>
      <c r="B172" s="782" t="s">
        <v>824</v>
      </c>
      <c r="C172" s="783">
        <v>5203</v>
      </c>
      <c r="D172" s="784" t="s">
        <v>825</v>
      </c>
      <c r="E172" s="785" t="s">
        <v>521</v>
      </c>
      <c r="F172" s="786">
        <v>46094</v>
      </c>
      <c r="G172" s="785" t="s">
        <v>5</v>
      </c>
      <c r="H172" s="785" t="str">
        <f t="shared" si="14"/>
        <v>AX0CH</v>
      </c>
      <c r="I172" s="787">
        <v>1721</v>
      </c>
      <c r="J172" s="787">
        <v>0</v>
      </c>
      <c r="K172" s="787">
        <v>0</v>
      </c>
      <c r="L172" s="787">
        <v>0</v>
      </c>
      <c r="M172" s="787">
        <v>1100</v>
      </c>
      <c r="N172" s="787">
        <v>0</v>
      </c>
      <c r="O172" s="787">
        <v>0</v>
      </c>
      <c r="P172" s="787">
        <v>0</v>
      </c>
      <c r="Q172" s="787">
        <v>78494.009999999995</v>
      </c>
      <c r="R172" s="787">
        <v>17159.780000000002</v>
      </c>
      <c r="S172" s="787">
        <v>0</v>
      </c>
      <c r="T172" s="787">
        <v>0</v>
      </c>
      <c r="U172" s="787">
        <v>51470.2</v>
      </c>
      <c r="V172" s="787">
        <v>6670.59</v>
      </c>
      <c r="W172" s="787">
        <v>0</v>
      </c>
      <c r="X172" s="787">
        <f t="shared" si="15"/>
        <v>156615.57999999999</v>
      </c>
      <c r="Y172" s="787">
        <v>1011693.41</v>
      </c>
      <c r="Z172" s="787">
        <v>0</v>
      </c>
      <c r="AA172" s="787">
        <v>393636.4</v>
      </c>
      <c r="AB172" s="787">
        <v>11740.97</v>
      </c>
      <c r="AC172" s="787">
        <v>110455.34000000001</v>
      </c>
      <c r="AD172" s="787">
        <v>98584.59</v>
      </c>
      <c r="AE172" s="787">
        <v>153100.51999999999</v>
      </c>
      <c r="AF172" s="787">
        <v>355</v>
      </c>
      <c r="AG172" s="787">
        <v>3900.83</v>
      </c>
      <c r="AH172" s="787">
        <v>0</v>
      </c>
      <c r="AI172" s="787">
        <v>0</v>
      </c>
      <c r="AJ172" s="787">
        <v>24287.71</v>
      </c>
      <c r="AK172" s="787">
        <v>5346</v>
      </c>
      <c r="AL172" s="787">
        <v>43964.25</v>
      </c>
      <c r="AM172" s="787">
        <v>4598.4799999999996</v>
      </c>
      <c r="AN172" s="787">
        <v>25803.91</v>
      </c>
      <c r="AO172" s="787">
        <v>0</v>
      </c>
      <c r="AP172" s="787">
        <v>7034.66</v>
      </c>
      <c r="AQ172" s="787">
        <v>26087.64</v>
      </c>
      <c r="AR172" s="787">
        <v>0</v>
      </c>
      <c r="AS172" s="787">
        <v>0</v>
      </c>
      <c r="AT172" s="787">
        <v>0</v>
      </c>
      <c r="AU172" s="787">
        <v>0</v>
      </c>
      <c r="AV172" s="787">
        <v>0</v>
      </c>
      <c r="AW172" s="787">
        <v>0</v>
      </c>
      <c r="AX172" s="787">
        <v>31102.19</v>
      </c>
      <c r="AY172" s="787">
        <v>0</v>
      </c>
      <c r="AZ172" s="787">
        <v>15704.7</v>
      </c>
      <c r="BA172" s="787">
        <v>404.75</v>
      </c>
      <c r="BB172" s="787">
        <v>0</v>
      </c>
      <c r="BC172" s="787">
        <v>46245.32</v>
      </c>
      <c r="BD172" s="787">
        <v>652.32000000000005</v>
      </c>
      <c r="BE172" s="787">
        <v>2286.3999999999987</v>
      </c>
      <c r="BF172" s="787">
        <v>52024.87</v>
      </c>
      <c r="BG172" s="787">
        <v>0</v>
      </c>
      <c r="BH172" s="787">
        <v>0</v>
      </c>
      <c r="BI172" s="787">
        <v>0</v>
      </c>
      <c r="BJ172" s="787">
        <f t="shared" si="16"/>
        <v>2069010.26</v>
      </c>
      <c r="BK172" s="787"/>
      <c r="BL172" s="787"/>
      <c r="BM172" s="787"/>
      <c r="BN172" s="787">
        <v>0</v>
      </c>
      <c r="BO172" s="787">
        <v>0</v>
      </c>
      <c r="BP172" s="787">
        <v>0</v>
      </c>
      <c r="BQ172" s="787">
        <f t="shared" si="17"/>
        <v>0</v>
      </c>
      <c r="BR172" s="787">
        <v>4699.53</v>
      </c>
      <c r="BS172" s="787">
        <v>2196</v>
      </c>
      <c r="BT172" s="787">
        <v>0</v>
      </c>
      <c r="BU172" s="787">
        <v>0</v>
      </c>
      <c r="BV172" s="787">
        <v>0</v>
      </c>
      <c r="BW172" s="787">
        <v>0</v>
      </c>
      <c r="BX172" s="787">
        <v>790</v>
      </c>
      <c r="BY172" s="787">
        <v>0</v>
      </c>
      <c r="BZ172" s="787">
        <f t="shared" si="18"/>
        <v>7685.53</v>
      </c>
      <c r="CA172" s="787"/>
      <c r="CB172" s="787"/>
      <c r="CC172" s="787"/>
      <c r="CD172" s="787">
        <v>0</v>
      </c>
      <c r="CE172" s="787">
        <v>0</v>
      </c>
      <c r="CF172" s="787">
        <f t="shared" si="19"/>
        <v>0</v>
      </c>
      <c r="CG172" s="787">
        <v>0</v>
      </c>
      <c r="CH172" s="787">
        <v>0</v>
      </c>
      <c r="CI172" s="787">
        <f t="shared" si="20"/>
        <v>0</v>
      </c>
      <c r="CJ172" s="787"/>
      <c r="CK172" s="787"/>
      <c r="CL172" s="787"/>
      <c r="CM172" s="787"/>
      <c r="CN172" s="787"/>
      <c r="CO172" s="787"/>
      <c r="CP172" s="787"/>
      <c r="CQ172" s="787"/>
      <c r="CR172" s="787"/>
      <c r="CS172" s="787">
        <v>214827.55</v>
      </c>
      <c r="CT172" s="787">
        <v>10471.790000000001</v>
      </c>
      <c r="CU172" s="787">
        <v>275</v>
      </c>
      <c r="CV172" s="787">
        <v>204630.75999999998</v>
      </c>
      <c r="CW172" s="787">
        <v>0</v>
      </c>
      <c r="CX172" s="787">
        <v>1866.55</v>
      </c>
      <c r="CY172" s="787">
        <v>-137.63999999999999</v>
      </c>
      <c r="CZ172" s="787">
        <v>0</v>
      </c>
      <c r="DA172" s="787">
        <v>0</v>
      </c>
      <c r="DB172" s="787">
        <v>206359.66999999995</v>
      </c>
      <c r="DC172" s="787">
        <v>146.75</v>
      </c>
      <c r="DD172" s="787">
        <v>0</v>
      </c>
      <c r="DE172" s="787">
        <v>0</v>
      </c>
      <c r="DF172" s="787">
        <v>146.75</v>
      </c>
      <c r="DG172" s="787"/>
      <c r="DH172" s="787"/>
      <c r="DI172" s="787"/>
      <c r="DJ172" s="787">
        <v>0</v>
      </c>
      <c r="DK172" s="787">
        <v>146.75</v>
      </c>
      <c r="DL172" s="787">
        <v>6136.5</v>
      </c>
      <c r="DM172" s="787">
        <v>0</v>
      </c>
      <c r="DN172" s="787">
        <v>0</v>
      </c>
      <c r="DO172" s="787">
        <v>0</v>
      </c>
      <c r="DP172" s="787">
        <v>-156480.01999999999</v>
      </c>
      <c r="DQ172" s="787">
        <v>0</v>
      </c>
      <c r="DR172" s="787">
        <v>0</v>
      </c>
      <c r="DS172" s="787">
        <v>0</v>
      </c>
      <c r="DT172" s="787">
        <v>-150343.51999999999</v>
      </c>
      <c r="DU172" s="787">
        <v>0</v>
      </c>
      <c r="DV172" s="787">
        <v>0</v>
      </c>
      <c r="DW172" s="787">
        <v>0</v>
      </c>
      <c r="DX172" s="787">
        <v>0</v>
      </c>
      <c r="DY172" s="787">
        <v>0</v>
      </c>
      <c r="DZ172" s="787">
        <v>0</v>
      </c>
      <c r="EA172" s="787">
        <v>0.34756232606014237</v>
      </c>
    </row>
    <row r="173" spans="1:131" ht="15.6">
      <c r="A173" s="782" t="s">
        <v>1467</v>
      </c>
      <c r="B173" s="782" t="s">
        <v>826</v>
      </c>
      <c r="C173" s="783">
        <v>5202</v>
      </c>
      <c r="D173" s="784" t="s">
        <v>827</v>
      </c>
      <c r="E173" s="785" t="s">
        <v>521</v>
      </c>
      <c r="F173" s="786">
        <v>0</v>
      </c>
      <c r="G173" s="785" t="s">
        <v>5</v>
      </c>
      <c r="H173" s="785" t="str">
        <f t="shared" si="14"/>
        <v>AX0CJ</v>
      </c>
      <c r="I173" s="787">
        <v>0</v>
      </c>
      <c r="J173" s="787">
        <v>0</v>
      </c>
      <c r="K173" s="787">
        <v>0</v>
      </c>
      <c r="L173" s="787">
        <v>0</v>
      </c>
      <c r="M173" s="787">
        <v>3817</v>
      </c>
      <c r="N173" s="787">
        <v>0</v>
      </c>
      <c r="O173" s="787">
        <v>0</v>
      </c>
      <c r="P173" s="787">
        <v>91173.9</v>
      </c>
      <c r="Q173" s="787">
        <v>12011.300000000001</v>
      </c>
      <c r="R173" s="787">
        <v>104963.9</v>
      </c>
      <c r="S173" s="787">
        <v>0</v>
      </c>
      <c r="T173" s="787">
        <v>0</v>
      </c>
      <c r="U173" s="787">
        <v>50848.32</v>
      </c>
      <c r="V173" s="787">
        <v>31163.22</v>
      </c>
      <c r="W173" s="787">
        <v>0</v>
      </c>
      <c r="X173" s="787">
        <f t="shared" si="15"/>
        <v>293977.64</v>
      </c>
      <c r="Y173" s="787">
        <v>1185075.58</v>
      </c>
      <c r="Z173" s="787">
        <v>0</v>
      </c>
      <c r="AA173" s="787">
        <v>256609.93</v>
      </c>
      <c r="AB173" s="787">
        <v>38151.14</v>
      </c>
      <c r="AC173" s="787">
        <v>130079.33</v>
      </c>
      <c r="AD173" s="787">
        <v>86373.42</v>
      </c>
      <c r="AE173" s="787">
        <v>87745.58</v>
      </c>
      <c r="AF173" s="787">
        <v>708</v>
      </c>
      <c r="AG173" s="787">
        <v>3823.69</v>
      </c>
      <c r="AH173" s="787">
        <v>0</v>
      </c>
      <c r="AI173" s="787">
        <v>0</v>
      </c>
      <c r="AJ173" s="787">
        <v>29335.73</v>
      </c>
      <c r="AK173" s="787">
        <v>9357.5999999999985</v>
      </c>
      <c r="AL173" s="787">
        <v>47554.11</v>
      </c>
      <c r="AM173" s="787">
        <v>8795.91</v>
      </c>
      <c r="AN173" s="787">
        <v>30017.019999999997</v>
      </c>
      <c r="AO173" s="787">
        <v>0</v>
      </c>
      <c r="AP173" s="787">
        <v>7748.46</v>
      </c>
      <c r="AQ173" s="787">
        <v>51330.25</v>
      </c>
      <c r="AR173" s="787">
        <v>0</v>
      </c>
      <c r="AS173" s="787">
        <v>0</v>
      </c>
      <c r="AT173" s="787">
        <v>37274.58</v>
      </c>
      <c r="AU173" s="787">
        <v>0</v>
      </c>
      <c r="AV173" s="787">
        <v>0</v>
      </c>
      <c r="AW173" s="787">
        <v>35712.26</v>
      </c>
      <c r="AX173" s="787">
        <v>3750</v>
      </c>
      <c r="AY173" s="787">
        <v>0</v>
      </c>
      <c r="AZ173" s="787">
        <v>1501.97</v>
      </c>
      <c r="BA173" s="787">
        <v>9733.39</v>
      </c>
      <c r="BB173" s="787">
        <v>954.5</v>
      </c>
      <c r="BC173" s="787">
        <v>37570.68</v>
      </c>
      <c r="BD173" s="787">
        <v>105198.43</v>
      </c>
      <c r="BE173" s="787">
        <v>0</v>
      </c>
      <c r="BF173" s="787">
        <v>65068.1</v>
      </c>
      <c r="BG173" s="787">
        <v>0</v>
      </c>
      <c r="BH173" s="787">
        <v>0</v>
      </c>
      <c r="BI173" s="787">
        <v>0</v>
      </c>
      <c r="BJ173" s="787">
        <f t="shared" si="16"/>
        <v>2269469.66</v>
      </c>
      <c r="BK173" s="787"/>
      <c r="BL173" s="787"/>
      <c r="BM173" s="787"/>
      <c r="BN173" s="787">
        <v>0</v>
      </c>
      <c r="BO173" s="787">
        <v>0</v>
      </c>
      <c r="BP173" s="787">
        <v>0</v>
      </c>
      <c r="BQ173" s="787">
        <f t="shared" si="17"/>
        <v>0</v>
      </c>
      <c r="BR173" s="787">
        <v>0</v>
      </c>
      <c r="BS173" s="787">
        <v>0</v>
      </c>
      <c r="BT173" s="787">
        <v>0</v>
      </c>
      <c r="BU173" s="787">
        <v>0</v>
      </c>
      <c r="BV173" s="787">
        <v>0</v>
      </c>
      <c r="BW173" s="787">
        <v>0</v>
      </c>
      <c r="BX173" s="787">
        <v>0</v>
      </c>
      <c r="BY173" s="787">
        <v>0</v>
      </c>
      <c r="BZ173" s="787">
        <f t="shared" si="18"/>
        <v>0</v>
      </c>
      <c r="CA173" s="787"/>
      <c r="CB173" s="787"/>
      <c r="CC173" s="787"/>
      <c r="CD173" s="787">
        <v>0</v>
      </c>
      <c r="CE173" s="787">
        <v>0</v>
      </c>
      <c r="CF173" s="787">
        <f t="shared" si="19"/>
        <v>0</v>
      </c>
      <c r="CG173" s="787">
        <v>0</v>
      </c>
      <c r="CH173" s="787">
        <v>0</v>
      </c>
      <c r="CI173" s="787">
        <f t="shared" si="20"/>
        <v>0</v>
      </c>
      <c r="CJ173" s="787"/>
      <c r="CK173" s="787"/>
      <c r="CL173" s="787"/>
      <c r="CM173" s="787"/>
      <c r="CN173" s="787"/>
      <c r="CO173" s="787"/>
      <c r="CP173" s="787"/>
      <c r="CQ173" s="787"/>
      <c r="CR173" s="787"/>
      <c r="CS173" s="787">
        <v>519280.06</v>
      </c>
      <c r="CT173" s="787">
        <v>38895.35</v>
      </c>
      <c r="CU173" s="787">
        <v>0</v>
      </c>
      <c r="CV173" s="787">
        <v>480384.71</v>
      </c>
      <c r="CW173" s="787">
        <v>18.45</v>
      </c>
      <c r="CX173" s="787">
        <v>6383.69</v>
      </c>
      <c r="CY173" s="787">
        <v>2957.04</v>
      </c>
      <c r="CZ173" s="787">
        <v>0</v>
      </c>
      <c r="DA173" s="787">
        <v>-169.6399999999976</v>
      </c>
      <c r="DB173" s="787">
        <v>489574.25</v>
      </c>
      <c r="DC173" s="787">
        <v>0</v>
      </c>
      <c r="DD173" s="787">
        <v>0</v>
      </c>
      <c r="DE173" s="787">
        <v>0</v>
      </c>
      <c r="DF173" s="787">
        <v>0</v>
      </c>
      <c r="DG173" s="787"/>
      <c r="DH173" s="787"/>
      <c r="DI173" s="787"/>
      <c r="DJ173" s="787">
        <v>0</v>
      </c>
      <c r="DK173" s="787">
        <v>0</v>
      </c>
      <c r="DL173" s="787">
        <v>30387.61</v>
      </c>
      <c r="DM173" s="787">
        <v>0</v>
      </c>
      <c r="DN173" s="787">
        <v>0</v>
      </c>
      <c r="DO173" s="787">
        <v>0</v>
      </c>
      <c r="DP173" s="787">
        <v>-174999.43</v>
      </c>
      <c r="DQ173" s="787">
        <v>0</v>
      </c>
      <c r="DR173" s="787">
        <v>0</v>
      </c>
      <c r="DS173" s="787">
        <v>0</v>
      </c>
      <c r="DT173" s="787">
        <v>-144611.82</v>
      </c>
      <c r="DU173" s="787">
        <v>0</v>
      </c>
      <c r="DV173" s="787">
        <v>0</v>
      </c>
      <c r="DW173" s="787">
        <v>0</v>
      </c>
      <c r="DX173" s="787">
        <v>0</v>
      </c>
      <c r="DY173" s="787">
        <v>293.08</v>
      </c>
      <c r="DZ173" s="787">
        <v>0</v>
      </c>
      <c r="EA173" s="787">
        <v>-0.27666666702134535</v>
      </c>
    </row>
    <row r="174" spans="1:131" ht="15.6">
      <c r="A174" s="782" t="s">
        <v>1468</v>
      </c>
      <c r="B174" s="782" t="s">
        <v>828</v>
      </c>
      <c r="C174" s="783">
        <v>2108</v>
      </c>
      <c r="D174" s="784" t="s">
        <v>829</v>
      </c>
      <c r="E174" s="785" t="s">
        <v>521</v>
      </c>
      <c r="F174" s="786">
        <v>0</v>
      </c>
      <c r="G174" s="785" t="s">
        <v>5</v>
      </c>
      <c r="H174" s="785" t="str">
        <f t="shared" si="14"/>
        <v>AX07B</v>
      </c>
      <c r="I174" s="787">
        <v>6.7514904774725437E-2</v>
      </c>
      <c r="J174" s="787">
        <v>0</v>
      </c>
      <c r="K174" s="787">
        <v>-0.40666666656034067</v>
      </c>
      <c r="L174" s="787">
        <v>0</v>
      </c>
      <c r="M174" s="787">
        <v>5600</v>
      </c>
      <c r="N174" s="787">
        <v>0.42999999999301508</v>
      </c>
      <c r="O174" s="787">
        <v>730</v>
      </c>
      <c r="P174" s="787">
        <v>0</v>
      </c>
      <c r="Q174" s="787">
        <v>114296.9753300001</v>
      </c>
      <c r="R174" s="787">
        <v>29190.620000000003</v>
      </c>
      <c r="S174" s="787">
        <v>0</v>
      </c>
      <c r="T174" s="787">
        <v>0</v>
      </c>
      <c r="U174" s="787">
        <v>24112.68</v>
      </c>
      <c r="V174" s="787">
        <v>8470</v>
      </c>
      <c r="W174" s="787">
        <v>1142.57</v>
      </c>
      <c r="X174" s="787">
        <f t="shared" si="15"/>
        <v>183542.93617823831</v>
      </c>
      <c r="Y174" s="787">
        <v>3139725.83</v>
      </c>
      <c r="Z174" s="787">
        <v>0</v>
      </c>
      <c r="AA174" s="787">
        <v>901634.03</v>
      </c>
      <c r="AB174" s="787">
        <v>194190.73</v>
      </c>
      <c r="AC174" s="787">
        <v>254814.1</v>
      </c>
      <c r="AD174" s="787">
        <v>21014.07</v>
      </c>
      <c r="AE174" s="787">
        <v>495838.37</v>
      </c>
      <c r="AF174" s="787">
        <v>5335.7800000000007</v>
      </c>
      <c r="AG174" s="787">
        <v>21229.9</v>
      </c>
      <c r="AH174" s="787">
        <v>0</v>
      </c>
      <c r="AI174" s="787">
        <v>0</v>
      </c>
      <c r="AJ174" s="787">
        <v>35299.129999999997</v>
      </c>
      <c r="AK174" s="787">
        <v>7449.5</v>
      </c>
      <c r="AL174" s="787">
        <v>8167.91</v>
      </c>
      <c r="AM174" s="787">
        <v>6956.93</v>
      </c>
      <c r="AN174" s="787">
        <v>72713.62</v>
      </c>
      <c r="AO174" s="787">
        <v>0</v>
      </c>
      <c r="AP174" s="787">
        <v>45524.490000000005</v>
      </c>
      <c r="AQ174" s="787">
        <v>149262.95000000001</v>
      </c>
      <c r="AR174" s="787">
        <v>6779.08</v>
      </c>
      <c r="AS174" s="787">
        <v>0</v>
      </c>
      <c r="AT174" s="787">
        <v>2749</v>
      </c>
      <c r="AU174" s="787">
        <v>22666.28</v>
      </c>
      <c r="AV174" s="787">
        <v>9498.08</v>
      </c>
      <c r="AW174" s="787">
        <v>6449.61</v>
      </c>
      <c r="AX174" s="787">
        <v>18033.310000000001</v>
      </c>
      <c r="AY174" s="787">
        <v>0</v>
      </c>
      <c r="AZ174" s="787">
        <v>76050.559999999998</v>
      </c>
      <c r="BA174" s="787">
        <v>0</v>
      </c>
      <c r="BB174" s="787">
        <v>9319.66</v>
      </c>
      <c r="BC174" s="787">
        <v>657083.02999999991</v>
      </c>
      <c r="BD174" s="787">
        <v>264184.52999999997</v>
      </c>
      <c r="BE174" s="787">
        <v>37035.76999999999</v>
      </c>
      <c r="BF174" s="787">
        <v>199743.94</v>
      </c>
      <c r="BG174" s="787">
        <v>0</v>
      </c>
      <c r="BH174" s="787">
        <v>0</v>
      </c>
      <c r="BI174" s="787">
        <v>0</v>
      </c>
      <c r="BJ174" s="787">
        <f t="shared" si="16"/>
        <v>6668750.1900000023</v>
      </c>
      <c r="BK174" s="787"/>
      <c r="BL174" s="787"/>
      <c r="BM174" s="787"/>
      <c r="BN174" s="787">
        <v>0</v>
      </c>
      <c r="BO174" s="787">
        <v>0</v>
      </c>
      <c r="BP174" s="787">
        <v>0</v>
      </c>
      <c r="BQ174" s="787">
        <f t="shared" si="17"/>
        <v>0</v>
      </c>
      <c r="BR174" s="787">
        <v>0</v>
      </c>
      <c r="BS174" s="787">
        <v>0</v>
      </c>
      <c r="BT174" s="787">
        <v>0</v>
      </c>
      <c r="BU174" s="787">
        <v>0</v>
      </c>
      <c r="BV174" s="787">
        <v>0</v>
      </c>
      <c r="BW174" s="787">
        <v>0</v>
      </c>
      <c r="BX174" s="787">
        <v>0</v>
      </c>
      <c r="BY174" s="787">
        <v>0</v>
      </c>
      <c r="BZ174" s="787">
        <f t="shared" si="18"/>
        <v>0</v>
      </c>
      <c r="CA174" s="787"/>
      <c r="CB174" s="787"/>
      <c r="CC174" s="787"/>
      <c r="CD174" s="787">
        <v>0</v>
      </c>
      <c r="CE174" s="787">
        <v>0</v>
      </c>
      <c r="CF174" s="787">
        <f t="shared" si="19"/>
        <v>0</v>
      </c>
      <c r="CG174" s="787">
        <v>0</v>
      </c>
      <c r="CH174" s="787">
        <v>0</v>
      </c>
      <c r="CI174" s="787">
        <f t="shared" si="20"/>
        <v>0</v>
      </c>
      <c r="CJ174" s="787"/>
      <c r="CK174" s="787"/>
      <c r="CL174" s="787"/>
      <c r="CM174" s="787"/>
      <c r="CN174" s="787"/>
      <c r="CO174" s="787"/>
      <c r="CP174" s="787"/>
      <c r="CQ174" s="787"/>
      <c r="CR174" s="787"/>
      <c r="CS174" s="787"/>
      <c r="CT174" s="787"/>
      <c r="CU174" s="787"/>
      <c r="CV174" s="787"/>
      <c r="CW174" s="787"/>
      <c r="CX174" s="787"/>
      <c r="CY174" s="787"/>
      <c r="CZ174" s="787"/>
      <c r="DA174" s="787"/>
      <c r="DB174" s="787"/>
      <c r="DC174" s="787"/>
      <c r="DD174" s="787"/>
      <c r="DE174" s="787"/>
      <c r="DF174" s="787"/>
      <c r="DG174" s="787"/>
      <c r="DH174" s="787"/>
      <c r="DI174" s="787"/>
      <c r="DJ174" s="787"/>
      <c r="DK174" s="787"/>
      <c r="DL174" s="787"/>
      <c r="DM174" s="787"/>
      <c r="DN174" s="787"/>
      <c r="DO174" s="787"/>
      <c r="DP174" s="787"/>
      <c r="DQ174" s="787"/>
      <c r="DR174" s="787"/>
      <c r="DS174" s="787"/>
      <c r="DT174" s="787"/>
      <c r="DU174" s="787"/>
      <c r="DV174" s="787"/>
      <c r="DW174" s="787"/>
      <c r="DX174" s="787"/>
      <c r="DY174" s="787"/>
      <c r="DZ174" s="787"/>
      <c r="EA174" s="787"/>
    </row>
    <row r="175" spans="1:131" ht="15.6">
      <c r="A175" s="782" t="s">
        <v>1469</v>
      </c>
      <c r="B175" s="782" t="s">
        <v>872</v>
      </c>
      <c r="C175" s="783">
        <v>1019</v>
      </c>
      <c r="D175" s="784" t="s">
        <v>873</v>
      </c>
      <c r="E175" s="785" t="s">
        <v>521</v>
      </c>
      <c r="F175" s="786">
        <v>46094</v>
      </c>
      <c r="G175" s="785" t="s">
        <v>5</v>
      </c>
      <c r="H175" s="785" t="str">
        <f t="shared" si="14"/>
        <v>AX07D</v>
      </c>
      <c r="I175" s="787">
        <v>0</v>
      </c>
      <c r="J175" s="787">
        <v>0</v>
      </c>
      <c r="K175" s="787">
        <v>0</v>
      </c>
      <c r="L175" s="787">
        <v>0</v>
      </c>
      <c r="M175" s="787">
        <v>0</v>
      </c>
      <c r="N175" s="787">
        <v>0</v>
      </c>
      <c r="O175" s="787">
        <v>0</v>
      </c>
      <c r="P175" s="787">
        <v>0</v>
      </c>
      <c r="Q175" s="787">
        <v>202886.56</v>
      </c>
      <c r="R175" s="787">
        <v>5169.13</v>
      </c>
      <c r="S175" s="787">
        <v>0</v>
      </c>
      <c r="T175" s="787">
        <v>0</v>
      </c>
      <c r="U175" s="787">
        <v>2984.11</v>
      </c>
      <c r="V175" s="787">
        <v>0</v>
      </c>
      <c r="W175" s="787">
        <v>0</v>
      </c>
      <c r="X175" s="787">
        <f t="shared" si="15"/>
        <v>211039.8</v>
      </c>
      <c r="Y175" s="787">
        <v>298196.88</v>
      </c>
      <c r="Z175" s="787">
        <v>0</v>
      </c>
      <c r="AA175" s="787">
        <v>312327.28000000003</v>
      </c>
      <c r="AB175" s="787">
        <v>0</v>
      </c>
      <c r="AC175" s="787">
        <v>79961.97</v>
      </c>
      <c r="AD175" s="787">
        <v>2788.21</v>
      </c>
      <c r="AE175" s="787">
        <v>41885.870000000003</v>
      </c>
      <c r="AF175" s="787">
        <v>750</v>
      </c>
      <c r="AG175" s="787">
        <v>3537</v>
      </c>
      <c r="AH175" s="787">
        <v>0</v>
      </c>
      <c r="AI175" s="787">
        <v>0</v>
      </c>
      <c r="AJ175" s="787">
        <v>240.49</v>
      </c>
      <c r="AK175" s="787">
        <v>0</v>
      </c>
      <c r="AL175" s="787">
        <v>45958.83</v>
      </c>
      <c r="AM175" s="787">
        <v>1380.95</v>
      </c>
      <c r="AN175" s="787">
        <v>15733</v>
      </c>
      <c r="AO175" s="787">
        <v>0</v>
      </c>
      <c r="AP175" s="787">
        <v>11643.3</v>
      </c>
      <c r="AQ175" s="787">
        <v>7368.47</v>
      </c>
      <c r="AR175" s="787">
        <v>0</v>
      </c>
      <c r="AS175" s="787">
        <v>0</v>
      </c>
      <c r="AT175" s="787">
        <v>0</v>
      </c>
      <c r="AU175" s="787">
        <v>2192</v>
      </c>
      <c r="AV175" s="787">
        <v>0</v>
      </c>
      <c r="AW175" s="787">
        <v>0</v>
      </c>
      <c r="AX175" s="787">
        <v>0</v>
      </c>
      <c r="AY175" s="787">
        <v>0</v>
      </c>
      <c r="AZ175" s="787">
        <v>58908.14</v>
      </c>
      <c r="BA175" s="787">
        <v>3291.75</v>
      </c>
      <c r="BB175" s="787">
        <v>0</v>
      </c>
      <c r="BC175" s="787">
        <v>5216.88</v>
      </c>
      <c r="BD175" s="787">
        <v>23796</v>
      </c>
      <c r="BE175" s="787">
        <v>0</v>
      </c>
      <c r="BF175" s="787">
        <v>35441.06</v>
      </c>
      <c r="BG175" s="787">
        <v>0</v>
      </c>
      <c r="BH175" s="787">
        <v>0</v>
      </c>
      <c r="BI175" s="787">
        <v>0</v>
      </c>
      <c r="BJ175" s="787">
        <f t="shared" si="16"/>
        <v>950618.07999999984</v>
      </c>
      <c r="BK175" s="787"/>
      <c r="BL175" s="787"/>
      <c r="BM175" s="787"/>
      <c r="BN175" s="787">
        <v>0</v>
      </c>
      <c r="BO175" s="787">
        <v>0</v>
      </c>
      <c r="BP175" s="787">
        <v>0</v>
      </c>
      <c r="BQ175" s="787">
        <f t="shared" si="17"/>
        <v>0</v>
      </c>
      <c r="BR175" s="787">
        <v>0</v>
      </c>
      <c r="BS175" s="787">
        <v>0</v>
      </c>
      <c r="BT175" s="787">
        <v>0</v>
      </c>
      <c r="BU175" s="787">
        <v>0</v>
      </c>
      <c r="BV175" s="787">
        <v>0</v>
      </c>
      <c r="BW175" s="787">
        <v>0</v>
      </c>
      <c r="BX175" s="787">
        <v>0</v>
      </c>
      <c r="BY175" s="787">
        <v>0</v>
      </c>
      <c r="BZ175" s="787">
        <f t="shared" si="18"/>
        <v>0</v>
      </c>
      <c r="CA175" s="787"/>
      <c r="CB175" s="787"/>
      <c r="CC175" s="787"/>
      <c r="CD175" s="787">
        <v>0</v>
      </c>
      <c r="CE175" s="787">
        <v>0</v>
      </c>
      <c r="CF175" s="787">
        <f t="shared" si="19"/>
        <v>0</v>
      </c>
      <c r="CG175" s="787">
        <v>0</v>
      </c>
      <c r="CH175" s="787">
        <v>0</v>
      </c>
      <c r="CI175" s="787">
        <f t="shared" si="20"/>
        <v>0</v>
      </c>
      <c r="CJ175" s="787"/>
      <c r="CK175" s="787"/>
      <c r="CL175" s="787"/>
      <c r="CM175" s="787"/>
      <c r="CN175" s="787"/>
      <c r="CO175" s="787"/>
      <c r="CP175" s="787"/>
      <c r="CQ175" s="787"/>
      <c r="CR175" s="787"/>
      <c r="CS175" s="787">
        <v>-170305.63</v>
      </c>
      <c r="CT175" s="787">
        <v>0</v>
      </c>
      <c r="CU175" s="787">
        <v>0</v>
      </c>
      <c r="CV175" s="787">
        <v>-170305.63</v>
      </c>
      <c r="CW175" s="787">
        <v>0</v>
      </c>
      <c r="CX175" s="787">
        <v>1157.6400000000001</v>
      </c>
      <c r="CY175" s="787">
        <v>0</v>
      </c>
      <c r="CZ175" s="787">
        <v>0</v>
      </c>
      <c r="DA175" s="787">
        <v>257.02</v>
      </c>
      <c r="DB175" s="787">
        <v>-168890.97</v>
      </c>
      <c r="DC175" s="787">
        <v>0</v>
      </c>
      <c r="DD175" s="787">
        <v>0</v>
      </c>
      <c r="DE175" s="787">
        <v>0</v>
      </c>
      <c r="DF175" s="787">
        <v>0</v>
      </c>
      <c r="DG175" s="787"/>
      <c r="DH175" s="787"/>
      <c r="DI175" s="787"/>
      <c r="DJ175" s="787">
        <v>0</v>
      </c>
      <c r="DK175" s="787">
        <v>0</v>
      </c>
      <c r="DL175" s="787">
        <v>0</v>
      </c>
      <c r="DM175" s="787">
        <v>38252.120000000003</v>
      </c>
      <c r="DN175" s="787">
        <v>0</v>
      </c>
      <c r="DO175" s="787">
        <v>0</v>
      </c>
      <c r="DP175" s="787">
        <v>-60187.13</v>
      </c>
      <c r="DQ175" s="787">
        <v>0</v>
      </c>
      <c r="DR175" s="787">
        <v>0</v>
      </c>
      <c r="DS175" s="787">
        <v>0</v>
      </c>
      <c r="DT175" s="787">
        <v>-21935.009999999995</v>
      </c>
      <c r="DU175" s="787">
        <v>0</v>
      </c>
      <c r="DV175" s="787">
        <v>0</v>
      </c>
      <c r="DW175" s="787">
        <v>0</v>
      </c>
      <c r="DX175" s="787">
        <v>0</v>
      </c>
      <c r="DY175" s="787">
        <v>0</v>
      </c>
      <c r="DZ175" s="787">
        <v>0</v>
      </c>
      <c r="EA175" s="787">
        <v>0.24794004147406667</v>
      </c>
    </row>
    <row r="176" spans="1:131" ht="15.6">
      <c r="A176" s="782" t="s">
        <v>1470</v>
      </c>
      <c r="B176" s="782" t="s">
        <v>830</v>
      </c>
      <c r="C176" s="783">
        <v>2306</v>
      </c>
      <c r="D176" s="784" t="s">
        <v>831</v>
      </c>
      <c r="E176" s="785" t="s">
        <v>521</v>
      </c>
      <c r="F176" s="786">
        <v>46094</v>
      </c>
      <c r="G176" s="785" t="s">
        <v>5</v>
      </c>
      <c r="H176" s="785" t="str">
        <f t="shared" si="14"/>
        <v>AX07E</v>
      </c>
      <c r="I176" s="787">
        <v>0</v>
      </c>
      <c r="J176" s="787">
        <v>0</v>
      </c>
      <c r="K176" s="787">
        <v>0</v>
      </c>
      <c r="L176" s="787">
        <v>0</v>
      </c>
      <c r="M176" s="787">
        <v>0</v>
      </c>
      <c r="N176" s="787">
        <v>0</v>
      </c>
      <c r="O176" s="787">
        <v>0</v>
      </c>
      <c r="P176" s="787">
        <v>0</v>
      </c>
      <c r="Q176" s="787">
        <v>50192</v>
      </c>
      <c r="R176" s="787">
        <v>11507</v>
      </c>
      <c r="S176" s="787">
        <v>0</v>
      </c>
      <c r="T176" s="787">
        <v>0</v>
      </c>
      <c r="U176" s="787">
        <v>9832</v>
      </c>
      <c r="V176" s="787">
        <v>0</v>
      </c>
      <c r="W176" s="787">
        <v>0</v>
      </c>
      <c r="X176" s="787">
        <f t="shared" si="15"/>
        <v>71531</v>
      </c>
      <c r="Y176" s="787">
        <v>752952.58</v>
      </c>
      <c r="Z176" s="787">
        <v>0</v>
      </c>
      <c r="AA176" s="787">
        <v>286959.51</v>
      </c>
      <c r="AB176" s="787">
        <v>46386</v>
      </c>
      <c r="AC176" s="787">
        <v>96959.53</v>
      </c>
      <c r="AD176" s="787">
        <v>0</v>
      </c>
      <c r="AE176" s="787">
        <v>53141.59</v>
      </c>
      <c r="AF176" s="787">
        <v>4556.09</v>
      </c>
      <c r="AG176" s="787">
        <v>1462.15</v>
      </c>
      <c r="AH176" s="787">
        <v>0</v>
      </c>
      <c r="AI176" s="787">
        <v>0</v>
      </c>
      <c r="AJ176" s="787">
        <v>19563.84</v>
      </c>
      <c r="AK176" s="787">
        <v>1195</v>
      </c>
      <c r="AL176" s="787">
        <v>911.44</v>
      </c>
      <c r="AM176" s="787">
        <v>7031</v>
      </c>
      <c r="AN176" s="787">
        <v>21140.46</v>
      </c>
      <c r="AO176" s="787">
        <v>0</v>
      </c>
      <c r="AP176" s="787">
        <v>5029.91</v>
      </c>
      <c r="AQ176" s="787">
        <v>42412.81</v>
      </c>
      <c r="AR176" s="787">
        <v>0</v>
      </c>
      <c r="AS176" s="787">
        <v>0</v>
      </c>
      <c r="AT176" s="787">
        <v>1055.3399999999999</v>
      </c>
      <c r="AU176" s="787">
        <v>0</v>
      </c>
      <c r="AV176" s="787">
        <v>3550.98</v>
      </c>
      <c r="AW176" s="787">
        <v>0</v>
      </c>
      <c r="AX176" s="787">
        <v>0</v>
      </c>
      <c r="AY176" s="787">
        <v>0</v>
      </c>
      <c r="AZ176" s="787">
        <v>8762</v>
      </c>
      <c r="BA176" s="787">
        <v>0</v>
      </c>
      <c r="BB176" s="787">
        <v>9546.9500000000007</v>
      </c>
      <c r="BC176" s="787">
        <v>85220.45</v>
      </c>
      <c r="BD176" s="787">
        <v>46689.819999999992</v>
      </c>
      <c r="BE176" s="787">
        <v>0</v>
      </c>
      <c r="BF176" s="787">
        <v>98848</v>
      </c>
      <c r="BG176" s="787">
        <v>0</v>
      </c>
      <c r="BH176" s="787">
        <v>73.56</v>
      </c>
      <c r="BI176" s="787">
        <v>0</v>
      </c>
      <c r="BJ176" s="787">
        <f t="shared" si="16"/>
        <v>1593449.01</v>
      </c>
      <c r="BK176" s="787"/>
      <c r="BL176" s="787"/>
      <c r="BM176" s="787"/>
      <c r="BN176" s="787">
        <v>0</v>
      </c>
      <c r="BO176" s="787">
        <v>0</v>
      </c>
      <c r="BP176" s="787">
        <v>0</v>
      </c>
      <c r="BQ176" s="787">
        <f t="shared" si="17"/>
        <v>0</v>
      </c>
      <c r="BR176" s="787">
        <v>0</v>
      </c>
      <c r="BS176" s="787">
        <v>0</v>
      </c>
      <c r="BT176" s="787">
        <v>0</v>
      </c>
      <c r="BU176" s="787">
        <v>0</v>
      </c>
      <c r="BV176" s="787">
        <v>0</v>
      </c>
      <c r="BW176" s="787">
        <v>0</v>
      </c>
      <c r="BX176" s="787">
        <v>0</v>
      </c>
      <c r="BY176" s="787">
        <v>0</v>
      </c>
      <c r="BZ176" s="787">
        <f t="shared" si="18"/>
        <v>0</v>
      </c>
      <c r="CA176" s="787"/>
      <c r="CB176" s="787"/>
      <c r="CC176" s="787"/>
      <c r="CD176" s="787">
        <v>0</v>
      </c>
      <c r="CE176" s="787">
        <v>0</v>
      </c>
      <c r="CF176" s="787">
        <f t="shared" si="19"/>
        <v>0</v>
      </c>
      <c r="CG176" s="787">
        <v>0</v>
      </c>
      <c r="CH176" s="787">
        <v>0</v>
      </c>
      <c r="CI176" s="787">
        <f t="shared" si="20"/>
        <v>0</v>
      </c>
      <c r="CJ176" s="787"/>
      <c r="CK176" s="787"/>
      <c r="CL176" s="787"/>
      <c r="CM176" s="787"/>
      <c r="CN176" s="787"/>
      <c r="CO176" s="787"/>
      <c r="CP176" s="787"/>
      <c r="CQ176" s="787"/>
      <c r="CR176" s="787"/>
      <c r="CS176" s="787">
        <v>446549.9</v>
      </c>
      <c r="CT176" s="787">
        <v>-84</v>
      </c>
      <c r="CU176" s="787">
        <v>0</v>
      </c>
      <c r="CV176" s="787">
        <v>446633.9</v>
      </c>
      <c r="CW176" s="787">
        <v>0</v>
      </c>
      <c r="CX176" s="787">
        <v>2597</v>
      </c>
      <c r="CY176" s="787">
        <v>3235</v>
      </c>
      <c r="CZ176" s="787">
        <v>0</v>
      </c>
      <c r="DA176" s="787">
        <v>1782</v>
      </c>
      <c r="DB176" s="787">
        <v>454247.9</v>
      </c>
      <c r="DC176" s="787">
        <v>0</v>
      </c>
      <c r="DD176" s="787">
        <v>0</v>
      </c>
      <c r="DE176" s="787">
        <v>0</v>
      </c>
      <c r="DF176" s="787">
        <v>0</v>
      </c>
      <c r="DG176" s="787"/>
      <c r="DH176" s="787"/>
      <c r="DI176" s="787"/>
      <c r="DJ176" s="787">
        <v>0</v>
      </c>
      <c r="DK176" s="787">
        <v>0</v>
      </c>
      <c r="DL176" s="787">
        <v>0</v>
      </c>
      <c r="DM176" s="787">
        <v>0</v>
      </c>
      <c r="DN176" s="787">
        <v>0</v>
      </c>
      <c r="DO176" s="787">
        <v>0</v>
      </c>
      <c r="DP176" s="787">
        <v>-121227.8</v>
      </c>
      <c r="DQ176" s="787">
        <v>0</v>
      </c>
      <c r="DR176" s="787">
        <v>0</v>
      </c>
      <c r="DS176" s="787">
        <v>0</v>
      </c>
      <c r="DT176" s="787">
        <v>-121227.8</v>
      </c>
      <c r="DU176" s="787">
        <v>0</v>
      </c>
      <c r="DV176" s="787">
        <v>0</v>
      </c>
      <c r="DW176" s="787">
        <v>0</v>
      </c>
      <c r="DX176" s="787">
        <v>0</v>
      </c>
      <c r="DY176" s="787">
        <v>0</v>
      </c>
      <c r="DZ176" s="787">
        <v>0</v>
      </c>
      <c r="EA176" s="787">
        <v>0.1257951675215736</v>
      </c>
    </row>
    <row r="177" spans="1:131" ht="15.6">
      <c r="A177" s="782" t="s">
        <v>1471</v>
      </c>
      <c r="B177" s="782" t="s">
        <v>832</v>
      </c>
      <c r="C177" s="783">
        <v>2308</v>
      </c>
      <c r="D177" s="784" t="s">
        <v>833</v>
      </c>
      <c r="E177" s="785" t="s">
        <v>521</v>
      </c>
      <c r="F177" s="786">
        <v>46094</v>
      </c>
      <c r="G177" s="785" t="s">
        <v>5</v>
      </c>
      <c r="H177" s="785" t="str">
        <f t="shared" si="14"/>
        <v>AX0CL</v>
      </c>
      <c r="I177" s="787">
        <v>1703</v>
      </c>
      <c r="J177" s="787">
        <v>0</v>
      </c>
      <c r="K177" s="787">
        <v>0</v>
      </c>
      <c r="L177" s="787">
        <v>0</v>
      </c>
      <c r="M177" s="787">
        <v>9700</v>
      </c>
      <c r="N177" s="787">
        <v>0</v>
      </c>
      <c r="O177" s="787">
        <v>0</v>
      </c>
      <c r="P177" s="787">
        <v>3257</v>
      </c>
      <c r="Q177" s="787">
        <v>3575.33</v>
      </c>
      <c r="R177" s="787">
        <v>30023.33</v>
      </c>
      <c r="S177" s="787">
        <v>0</v>
      </c>
      <c r="T177" s="787">
        <v>0</v>
      </c>
      <c r="U177" s="787">
        <v>15279.099999999999</v>
      </c>
      <c r="V177" s="787">
        <v>15401.07</v>
      </c>
      <c r="W177" s="787">
        <v>1</v>
      </c>
      <c r="X177" s="787">
        <f t="shared" si="15"/>
        <v>78939.83</v>
      </c>
      <c r="Y177" s="787">
        <v>1494791.25</v>
      </c>
      <c r="Z177" s="787">
        <v>0</v>
      </c>
      <c r="AA177" s="787">
        <v>581272.84</v>
      </c>
      <c r="AB177" s="787">
        <v>97045.069999999992</v>
      </c>
      <c r="AC177" s="787">
        <v>202544.28</v>
      </c>
      <c r="AD177" s="787">
        <v>90916.439999999988</v>
      </c>
      <c r="AE177" s="787">
        <v>203863.51000000004</v>
      </c>
      <c r="AF177" s="787">
        <v>10270.24</v>
      </c>
      <c r="AG177" s="787">
        <v>1874.55</v>
      </c>
      <c r="AH177" s="787">
        <v>0</v>
      </c>
      <c r="AI177" s="787">
        <v>0</v>
      </c>
      <c r="AJ177" s="787">
        <v>43496.130000000005</v>
      </c>
      <c r="AK177" s="787">
        <v>3499.36</v>
      </c>
      <c r="AL177" s="787">
        <v>44425.67</v>
      </c>
      <c r="AM177" s="787">
        <v>9977.51</v>
      </c>
      <c r="AN177" s="787">
        <v>40202.949999999997</v>
      </c>
      <c r="AO177" s="787">
        <v>0</v>
      </c>
      <c r="AP177" s="787">
        <v>15390.48</v>
      </c>
      <c r="AQ177" s="787">
        <v>30643.010000000002</v>
      </c>
      <c r="AR177" s="787">
        <v>8537</v>
      </c>
      <c r="AS177" s="787">
        <v>0</v>
      </c>
      <c r="AT177" s="787">
        <v>5709.52</v>
      </c>
      <c r="AU177" s="787">
        <v>16981.32</v>
      </c>
      <c r="AV177" s="787">
        <v>0</v>
      </c>
      <c r="AW177" s="787">
        <v>19439.96</v>
      </c>
      <c r="AX177" s="787">
        <v>0</v>
      </c>
      <c r="AY177" s="787">
        <v>0</v>
      </c>
      <c r="AZ177" s="787">
        <v>45276.95</v>
      </c>
      <c r="BA177" s="787">
        <v>1013</v>
      </c>
      <c r="BB177" s="787">
        <v>8337</v>
      </c>
      <c r="BC177" s="787">
        <v>70812.170000000013</v>
      </c>
      <c r="BD177" s="787">
        <v>114948.23</v>
      </c>
      <c r="BE177" s="787">
        <v>139055.76</v>
      </c>
      <c r="BF177" s="787">
        <v>79312.69</v>
      </c>
      <c r="BG177" s="787">
        <v>0</v>
      </c>
      <c r="BH177" s="787">
        <v>0</v>
      </c>
      <c r="BI177" s="787">
        <v>0</v>
      </c>
      <c r="BJ177" s="787">
        <f t="shared" si="16"/>
        <v>3379636.8899999992</v>
      </c>
      <c r="BK177" s="787"/>
      <c r="BL177" s="787"/>
      <c r="BM177" s="787"/>
      <c r="BN177" s="787">
        <v>0</v>
      </c>
      <c r="BO177" s="787">
        <v>0</v>
      </c>
      <c r="BP177" s="787">
        <v>0</v>
      </c>
      <c r="BQ177" s="787">
        <f t="shared" si="17"/>
        <v>0</v>
      </c>
      <c r="BR177" s="787">
        <v>0</v>
      </c>
      <c r="BS177" s="787">
        <v>556.01</v>
      </c>
      <c r="BT177" s="787">
        <v>0</v>
      </c>
      <c r="BU177" s="787">
        <v>0</v>
      </c>
      <c r="BV177" s="787">
        <v>14180.63</v>
      </c>
      <c r="BW177" s="787">
        <v>0</v>
      </c>
      <c r="BX177" s="787">
        <v>0</v>
      </c>
      <c r="BY177" s="787">
        <v>0</v>
      </c>
      <c r="BZ177" s="787">
        <f t="shared" si="18"/>
        <v>14736.64</v>
      </c>
      <c r="CA177" s="787"/>
      <c r="CB177" s="787"/>
      <c r="CC177" s="787"/>
      <c r="CD177" s="787">
        <v>0</v>
      </c>
      <c r="CE177" s="787">
        <v>0</v>
      </c>
      <c r="CF177" s="787">
        <f t="shared" si="19"/>
        <v>0</v>
      </c>
      <c r="CG177" s="787">
        <v>0</v>
      </c>
      <c r="CH177" s="787">
        <v>0</v>
      </c>
      <c r="CI177" s="787">
        <f t="shared" si="20"/>
        <v>0</v>
      </c>
      <c r="CJ177" s="787"/>
      <c r="CK177" s="787"/>
      <c r="CL177" s="787"/>
      <c r="CM177" s="787"/>
      <c r="CN177" s="787"/>
      <c r="CO177" s="787"/>
      <c r="CP177" s="787"/>
      <c r="CQ177" s="787"/>
      <c r="CR177" s="787"/>
      <c r="CS177" s="787">
        <v>445949.09</v>
      </c>
      <c r="CT177" s="787">
        <v>324826.92</v>
      </c>
      <c r="CU177" s="787">
        <v>552.28</v>
      </c>
      <c r="CV177" s="787">
        <v>121674.45000000004</v>
      </c>
      <c r="CW177" s="787">
        <v>0</v>
      </c>
      <c r="CX177" s="787">
        <v>10337.07</v>
      </c>
      <c r="CY177" s="787">
        <v>6451.26</v>
      </c>
      <c r="CZ177" s="787">
        <v>0</v>
      </c>
      <c r="DA177" s="787">
        <v>0</v>
      </c>
      <c r="DB177" s="787">
        <v>138462.78000000006</v>
      </c>
      <c r="DC177" s="787">
        <v>300305.15000000002</v>
      </c>
      <c r="DD177" s="787">
        <v>0</v>
      </c>
      <c r="DE177" s="787">
        <v>0</v>
      </c>
      <c r="DF177" s="787">
        <v>300305.15000000002</v>
      </c>
      <c r="DG177" s="787"/>
      <c r="DH177" s="787"/>
      <c r="DI177" s="787"/>
      <c r="DJ177" s="787">
        <v>0</v>
      </c>
      <c r="DK177" s="787">
        <v>300305.15000000002</v>
      </c>
      <c r="DL177" s="787">
        <v>0</v>
      </c>
      <c r="DM177" s="787">
        <v>0</v>
      </c>
      <c r="DN177" s="787">
        <v>0</v>
      </c>
      <c r="DO177" s="787">
        <v>0</v>
      </c>
      <c r="DP177" s="787">
        <v>-41122.67</v>
      </c>
      <c r="DQ177" s="787">
        <v>-20504.68</v>
      </c>
      <c r="DR177" s="787">
        <v>0</v>
      </c>
      <c r="DS177" s="787">
        <v>0</v>
      </c>
      <c r="DT177" s="787">
        <v>-61627.35</v>
      </c>
      <c r="DU177" s="787">
        <v>0</v>
      </c>
      <c r="DV177" s="787">
        <v>0</v>
      </c>
      <c r="DW177" s="787">
        <v>0</v>
      </c>
      <c r="DX177" s="787">
        <v>0</v>
      </c>
      <c r="DY177" s="787">
        <v>0</v>
      </c>
      <c r="DZ177" s="787">
        <v>0</v>
      </c>
      <c r="EA177" s="787">
        <v>0.48181255551753566</v>
      </c>
    </row>
    <row r="178" spans="1:131" ht="15.6">
      <c r="A178" s="782" t="s">
        <v>1472</v>
      </c>
      <c r="B178" s="782" t="s">
        <v>834</v>
      </c>
      <c r="C178" s="783">
        <v>2245</v>
      </c>
      <c r="D178" s="784" t="s">
        <v>835</v>
      </c>
      <c r="E178" s="785" t="s">
        <v>521</v>
      </c>
      <c r="F178" s="786" t="s">
        <v>1322</v>
      </c>
      <c r="G178" s="785" t="s">
        <v>5</v>
      </c>
      <c r="H178" s="785" t="str">
        <f t="shared" si="14"/>
        <v>AX07H</v>
      </c>
      <c r="I178" s="787">
        <v>2311.884526869515</v>
      </c>
      <c r="J178" s="787">
        <v>0</v>
      </c>
      <c r="K178" s="787">
        <v>368.33333333337214</v>
      </c>
      <c r="L178" s="787">
        <v>0</v>
      </c>
      <c r="M178" s="787">
        <v>0</v>
      </c>
      <c r="N178" s="787">
        <v>0</v>
      </c>
      <c r="O178" s="787">
        <v>0</v>
      </c>
      <c r="P178" s="787">
        <v>0</v>
      </c>
      <c r="Q178" s="787">
        <v>1173.5650700000488</v>
      </c>
      <c r="R178" s="787">
        <v>607.04999999999995</v>
      </c>
      <c r="S178" s="787">
        <v>3850</v>
      </c>
      <c r="T178" s="787">
        <v>0</v>
      </c>
      <c r="U178" s="787">
        <v>0</v>
      </c>
      <c r="V178" s="787">
        <v>6824.17</v>
      </c>
      <c r="W178" s="787">
        <v>0</v>
      </c>
      <c r="X178" s="787">
        <f t="shared" si="15"/>
        <v>15135.002930202936</v>
      </c>
      <c r="Y178" s="787">
        <v>804925.64</v>
      </c>
      <c r="Z178" s="787">
        <v>0</v>
      </c>
      <c r="AA178" s="787">
        <v>350270.29000000004</v>
      </c>
      <c r="AB178" s="787">
        <v>81685.61</v>
      </c>
      <c r="AC178" s="787">
        <v>152056.51</v>
      </c>
      <c r="AD178" s="787">
        <v>0</v>
      </c>
      <c r="AE178" s="787">
        <v>3691.42</v>
      </c>
      <c r="AF178" s="787">
        <v>5627.28</v>
      </c>
      <c r="AG178" s="787">
        <v>7816.99</v>
      </c>
      <c r="AH178" s="787">
        <v>0</v>
      </c>
      <c r="AI178" s="787">
        <v>5376.47</v>
      </c>
      <c r="AJ178" s="787">
        <v>2922.06</v>
      </c>
      <c r="AK178" s="787">
        <v>2864.87</v>
      </c>
      <c r="AL178" s="787">
        <v>0</v>
      </c>
      <c r="AM178" s="787">
        <v>14170.75</v>
      </c>
      <c r="AN178" s="787">
        <v>34881.660000000003</v>
      </c>
      <c r="AO178" s="787">
        <v>9.9999999947613105E-3</v>
      </c>
      <c r="AP178" s="787">
        <v>20474.060000000001</v>
      </c>
      <c r="AQ178" s="787">
        <v>67361.240000000005</v>
      </c>
      <c r="AR178" s="787">
        <v>0</v>
      </c>
      <c r="AS178" s="787">
        <v>0</v>
      </c>
      <c r="AT178" s="787">
        <v>23669.17</v>
      </c>
      <c r="AU178" s="787">
        <v>7724.59</v>
      </c>
      <c r="AV178" s="787">
        <v>0</v>
      </c>
      <c r="AW178" s="787">
        <v>372</v>
      </c>
      <c r="AX178" s="787">
        <v>36414.33</v>
      </c>
      <c r="AY178" s="787">
        <v>0</v>
      </c>
      <c r="AZ178" s="787">
        <v>45843.799999999996</v>
      </c>
      <c r="BA178" s="787">
        <v>0</v>
      </c>
      <c r="BB178" s="787">
        <v>3474</v>
      </c>
      <c r="BC178" s="787">
        <v>144232.99</v>
      </c>
      <c r="BD178" s="787">
        <v>95208.71</v>
      </c>
      <c r="BE178" s="787">
        <v>90818.12</v>
      </c>
      <c r="BF178" s="787">
        <v>149456.58000000002</v>
      </c>
      <c r="BG178" s="787">
        <v>0</v>
      </c>
      <c r="BH178" s="787">
        <v>0</v>
      </c>
      <c r="BI178" s="787">
        <v>0</v>
      </c>
      <c r="BJ178" s="787">
        <f t="shared" si="16"/>
        <v>2151339.1500000004</v>
      </c>
      <c r="BK178" s="787"/>
      <c r="BL178" s="787"/>
      <c r="BM178" s="787"/>
      <c r="BN178" s="787">
        <v>0</v>
      </c>
      <c r="BO178" s="787">
        <v>0</v>
      </c>
      <c r="BP178" s="787">
        <v>0</v>
      </c>
      <c r="BQ178" s="787">
        <f t="shared" si="17"/>
        <v>0</v>
      </c>
      <c r="BR178" s="787">
        <v>0</v>
      </c>
      <c r="BS178" s="787">
        <v>13247.49</v>
      </c>
      <c r="BT178" s="787">
        <v>0</v>
      </c>
      <c r="BU178" s="787">
        <v>0</v>
      </c>
      <c r="BV178" s="787">
        <v>0</v>
      </c>
      <c r="BW178" s="787">
        <v>0</v>
      </c>
      <c r="BX178" s="787">
        <v>0</v>
      </c>
      <c r="BY178" s="787">
        <v>0</v>
      </c>
      <c r="BZ178" s="787">
        <f t="shared" si="18"/>
        <v>13247.49</v>
      </c>
      <c r="CA178" s="787"/>
      <c r="CB178" s="787"/>
      <c r="CC178" s="787"/>
      <c r="CD178" s="787">
        <v>0</v>
      </c>
      <c r="CE178" s="787">
        <v>0</v>
      </c>
      <c r="CF178" s="787">
        <f t="shared" si="19"/>
        <v>0</v>
      </c>
      <c r="CG178" s="787">
        <v>0</v>
      </c>
      <c r="CH178" s="787">
        <v>0</v>
      </c>
      <c r="CI178" s="787">
        <f t="shared" si="20"/>
        <v>0</v>
      </c>
      <c r="CJ178" s="787"/>
      <c r="CK178" s="787"/>
      <c r="CL178" s="787"/>
      <c r="CM178" s="787"/>
      <c r="CN178" s="787"/>
      <c r="CO178" s="787"/>
      <c r="CP178" s="787"/>
      <c r="CQ178" s="787"/>
      <c r="CR178" s="787"/>
      <c r="CS178" s="787"/>
      <c r="CT178" s="787"/>
      <c r="CU178" s="787"/>
      <c r="CV178" s="787"/>
      <c r="CW178" s="787"/>
      <c r="CX178" s="787"/>
      <c r="CY178" s="787"/>
      <c r="CZ178" s="787"/>
      <c r="DA178" s="787"/>
      <c r="DB178" s="787"/>
      <c r="DC178" s="787"/>
      <c r="DD178" s="787"/>
      <c r="DE178" s="787"/>
      <c r="DF178" s="787"/>
      <c r="DG178" s="787"/>
      <c r="DH178" s="787"/>
      <c r="DI178" s="787"/>
      <c r="DJ178" s="787"/>
      <c r="DK178" s="787"/>
      <c r="DL178" s="787"/>
      <c r="DM178" s="787"/>
      <c r="DN178" s="787"/>
      <c r="DO178" s="787"/>
      <c r="DP178" s="787"/>
      <c r="DQ178" s="787"/>
      <c r="DR178" s="787"/>
      <c r="DS178" s="787"/>
      <c r="DT178" s="787"/>
      <c r="DU178" s="787"/>
      <c r="DV178" s="787"/>
      <c r="DW178" s="787"/>
      <c r="DX178" s="787"/>
      <c r="DY178" s="787"/>
      <c r="DZ178" s="787"/>
      <c r="EA178" s="787"/>
    </row>
    <row r="179" spans="1:131" ht="15.6">
      <c r="A179" s="782" t="s">
        <v>1473</v>
      </c>
      <c r="B179" s="782" t="s">
        <v>936</v>
      </c>
      <c r="C179" s="783">
        <v>1020</v>
      </c>
      <c r="D179" s="784" t="s">
        <v>937</v>
      </c>
      <c r="E179" s="785" t="s">
        <v>521</v>
      </c>
      <c r="F179" s="786">
        <v>46094</v>
      </c>
      <c r="G179" s="785" t="s">
        <v>5</v>
      </c>
      <c r="H179" s="785" t="str">
        <f t="shared" si="14"/>
        <v>AX07J</v>
      </c>
      <c r="I179" s="787">
        <v>0</v>
      </c>
      <c r="J179" s="787">
        <v>0</v>
      </c>
      <c r="K179" s="787">
        <v>0</v>
      </c>
      <c r="L179" s="787">
        <v>0</v>
      </c>
      <c r="M179" s="787">
        <v>0</v>
      </c>
      <c r="N179" s="787">
        <v>0</v>
      </c>
      <c r="O179" s="787">
        <v>0</v>
      </c>
      <c r="P179" s="787">
        <v>0</v>
      </c>
      <c r="Q179" s="787">
        <v>2874.71</v>
      </c>
      <c r="R179" s="787">
        <v>0</v>
      </c>
      <c r="S179" s="787">
        <v>0</v>
      </c>
      <c r="T179" s="787">
        <v>0</v>
      </c>
      <c r="U179" s="787">
        <v>42278.11</v>
      </c>
      <c r="V179" s="787">
        <v>74937</v>
      </c>
      <c r="W179" s="787">
        <v>0</v>
      </c>
      <c r="X179" s="787">
        <f t="shared" si="15"/>
        <v>120089.82</v>
      </c>
      <c r="Y179" s="787">
        <v>453828.94</v>
      </c>
      <c r="Z179" s="787">
        <v>0</v>
      </c>
      <c r="AA179" s="787">
        <v>596500.44999999995</v>
      </c>
      <c r="AB179" s="787">
        <v>95190.959999999992</v>
      </c>
      <c r="AC179" s="787">
        <v>55674.21</v>
      </c>
      <c r="AD179" s="787">
        <v>0</v>
      </c>
      <c r="AE179" s="787">
        <v>0</v>
      </c>
      <c r="AF179" s="787">
        <v>366</v>
      </c>
      <c r="AG179" s="787">
        <v>2610.73</v>
      </c>
      <c r="AH179" s="787">
        <v>1236.94</v>
      </c>
      <c r="AI179" s="787">
        <v>0</v>
      </c>
      <c r="AJ179" s="787">
        <v>8511.24</v>
      </c>
      <c r="AK179" s="787">
        <v>0</v>
      </c>
      <c r="AL179" s="787">
        <v>20509.91</v>
      </c>
      <c r="AM179" s="787">
        <v>1874.17</v>
      </c>
      <c r="AN179" s="787">
        <v>30238.61</v>
      </c>
      <c r="AO179" s="787">
        <v>0</v>
      </c>
      <c r="AP179" s="787">
        <v>2078.08</v>
      </c>
      <c r="AQ179" s="787">
        <v>29153.31</v>
      </c>
      <c r="AR179" s="787">
        <v>149.26</v>
      </c>
      <c r="AS179" s="787">
        <v>0</v>
      </c>
      <c r="AT179" s="787">
        <v>0</v>
      </c>
      <c r="AU179" s="787">
        <v>0</v>
      </c>
      <c r="AV179" s="787">
        <v>0</v>
      </c>
      <c r="AW179" s="787">
        <v>0</v>
      </c>
      <c r="AX179" s="787">
        <v>0</v>
      </c>
      <c r="AY179" s="787">
        <v>0</v>
      </c>
      <c r="AZ179" s="787">
        <v>7474.27</v>
      </c>
      <c r="BA179" s="787">
        <v>3291.75</v>
      </c>
      <c r="BB179" s="787">
        <v>0</v>
      </c>
      <c r="BC179" s="787">
        <v>14066.13</v>
      </c>
      <c r="BD179" s="787">
        <v>131974.28</v>
      </c>
      <c r="BE179" s="787">
        <v>9051</v>
      </c>
      <c r="BF179" s="787">
        <v>86776.48</v>
      </c>
      <c r="BG179" s="787">
        <v>0</v>
      </c>
      <c r="BH179" s="787">
        <v>0</v>
      </c>
      <c r="BI179" s="787">
        <v>0</v>
      </c>
      <c r="BJ179" s="787">
        <f t="shared" si="16"/>
        <v>1550556.7199999997</v>
      </c>
      <c r="BK179" s="787"/>
      <c r="BL179" s="787"/>
      <c r="BM179" s="787"/>
      <c r="BN179" s="787">
        <v>0</v>
      </c>
      <c r="BO179" s="787">
        <v>0</v>
      </c>
      <c r="BP179" s="787">
        <v>0</v>
      </c>
      <c r="BQ179" s="787">
        <f t="shared" si="17"/>
        <v>0</v>
      </c>
      <c r="BR179" s="787">
        <v>0</v>
      </c>
      <c r="BS179" s="787">
        <v>0</v>
      </c>
      <c r="BT179" s="787">
        <v>0</v>
      </c>
      <c r="BU179" s="787">
        <v>2163.38</v>
      </c>
      <c r="BV179" s="787">
        <v>0</v>
      </c>
      <c r="BW179" s="787">
        <v>0</v>
      </c>
      <c r="BX179" s="787">
        <v>0</v>
      </c>
      <c r="BY179" s="787">
        <v>0</v>
      </c>
      <c r="BZ179" s="787">
        <f t="shared" si="18"/>
        <v>2163.38</v>
      </c>
      <c r="CA179" s="787"/>
      <c r="CB179" s="787"/>
      <c r="CC179" s="787"/>
      <c r="CD179" s="787">
        <v>0</v>
      </c>
      <c r="CE179" s="787">
        <v>0</v>
      </c>
      <c r="CF179" s="787">
        <f t="shared" si="19"/>
        <v>0</v>
      </c>
      <c r="CG179" s="787">
        <v>0</v>
      </c>
      <c r="CH179" s="787">
        <v>0</v>
      </c>
      <c r="CI179" s="787">
        <f t="shared" si="20"/>
        <v>0</v>
      </c>
      <c r="CJ179" s="787"/>
      <c r="CK179" s="787"/>
      <c r="CL179" s="787"/>
      <c r="CM179" s="787"/>
      <c r="CN179" s="787"/>
      <c r="CO179" s="787"/>
      <c r="CP179" s="787"/>
      <c r="CQ179" s="787"/>
      <c r="CR179" s="787"/>
      <c r="CS179" s="787">
        <v>-76626.789999999994</v>
      </c>
      <c r="CT179" s="787">
        <v>19974.61</v>
      </c>
      <c r="CU179" s="787">
        <v>0</v>
      </c>
      <c r="CV179" s="787">
        <v>-96601.4</v>
      </c>
      <c r="CW179" s="787">
        <v>0</v>
      </c>
      <c r="CX179" s="787">
        <v>5868.07</v>
      </c>
      <c r="CY179" s="787">
        <v>2845.33</v>
      </c>
      <c r="CZ179" s="787">
        <v>0</v>
      </c>
      <c r="DA179" s="787">
        <v>0</v>
      </c>
      <c r="DB179" s="787">
        <v>-87887.999999999985</v>
      </c>
      <c r="DC179" s="787">
        <v>0</v>
      </c>
      <c r="DD179" s="787">
        <v>0</v>
      </c>
      <c r="DE179" s="787">
        <v>0</v>
      </c>
      <c r="DF179" s="787">
        <v>0</v>
      </c>
      <c r="DG179" s="787"/>
      <c r="DH179" s="787"/>
      <c r="DI179" s="787"/>
      <c r="DJ179" s="787">
        <v>0</v>
      </c>
      <c r="DK179" s="787">
        <v>0</v>
      </c>
      <c r="DL179" s="787">
        <v>0</v>
      </c>
      <c r="DM179" s="787">
        <v>0</v>
      </c>
      <c r="DN179" s="787">
        <v>0</v>
      </c>
      <c r="DO179" s="787">
        <v>0</v>
      </c>
      <c r="DP179" s="787">
        <v>-112579.44</v>
      </c>
      <c r="DQ179" s="787">
        <v>-583.44000000000005</v>
      </c>
      <c r="DR179" s="787">
        <v>0</v>
      </c>
      <c r="DS179" s="787">
        <v>0</v>
      </c>
      <c r="DT179" s="787">
        <v>-113162.88</v>
      </c>
      <c r="DU179" s="787">
        <v>0</v>
      </c>
      <c r="DV179" s="787">
        <v>0</v>
      </c>
      <c r="DW179" s="787">
        <v>0</v>
      </c>
      <c r="DX179" s="787">
        <v>0</v>
      </c>
      <c r="DY179" s="787">
        <v>0</v>
      </c>
      <c r="DZ179" s="787">
        <v>-20448.45</v>
      </c>
      <c r="EA179" s="787">
        <v>0.4570717855822295</v>
      </c>
    </row>
    <row r="180" spans="1:131" ht="15.6">
      <c r="A180" s="782" t="s">
        <v>1474</v>
      </c>
      <c r="B180" s="782" t="s">
        <v>836</v>
      </c>
      <c r="C180" s="783">
        <v>1014</v>
      </c>
      <c r="D180" s="784" t="s">
        <v>837</v>
      </c>
      <c r="E180" s="785" t="s">
        <v>521</v>
      </c>
      <c r="F180" s="786">
        <v>0</v>
      </c>
      <c r="G180" s="785" t="s">
        <v>5</v>
      </c>
      <c r="H180" s="785" t="str">
        <f t="shared" si="14"/>
        <v>AX07K</v>
      </c>
      <c r="I180" s="787">
        <v>0</v>
      </c>
      <c r="J180" s="787">
        <v>0</v>
      </c>
      <c r="K180" s="787">
        <v>0</v>
      </c>
      <c r="L180" s="787">
        <v>0</v>
      </c>
      <c r="M180" s="787">
        <v>0</v>
      </c>
      <c r="N180" s="787">
        <v>0</v>
      </c>
      <c r="O180" s="787">
        <v>0</v>
      </c>
      <c r="P180" s="787">
        <v>0</v>
      </c>
      <c r="Q180" s="787">
        <v>6298.08</v>
      </c>
      <c r="R180" s="787">
        <v>0</v>
      </c>
      <c r="S180" s="787">
        <v>0</v>
      </c>
      <c r="T180" s="787">
        <v>75594.380000000121</v>
      </c>
      <c r="U180" s="787">
        <v>0</v>
      </c>
      <c r="V180" s="787">
        <v>48434.46</v>
      </c>
      <c r="W180" s="787">
        <v>0</v>
      </c>
      <c r="X180" s="787">
        <f t="shared" si="15"/>
        <v>130326.92000000013</v>
      </c>
      <c r="Y180" s="787">
        <v>198590.5</v>
      </c>
      <c r="Z180" s="787">
        <v>0</v>
      </c>
      <c r="AA180" s="787">
        <v>230976.53</v>
      </c>
      <c r="AB180" s="787">
        <v>29691.839999999997</v>
      </c>
      <c r="AC180" s="787">
        <v>55784.31</v>
      </c>
      <c r="AD180" s="787">
        <v>0</v>
      </c>
      <c r="AE180" s="787">
        <v>20498.59</v>
      </c>
      <c r="AF180" s="787">
        <v>2331</v>
      </c>
      <c r="AG180" s="787">
        <v>4438.1499999999996</v>
      </c>
      <c r="AH180" s="787">
        <v>0</v>
      </c>
      <c r="AI180" s="787">
        <v>0</v>
      </c>
      <c r="AJ180" s="787">
        <v>5856.27</v>
      </c>
      <c r="AK180" s="787">
        <v>2515</v>
      </c>
      <c r="AL180" s="787">
        <v>1056.97</v>
      </c>
      <c r="AM180" s="787">
        <v>1713.94</v>
      </c>
      <c r="AN180" s="787">
        <v>8902.86</v>
      </c>
      <c r="AO180" s="787">
        <v>0</v>
      </c>
      <c r="AP180" s="787">
        <v>7195.54</v>
      </c>
      <c r="AQ180" s="787">
        <v>38435.99</v>
      </c>
      <c r="AR180" s="787">
        <v>0</v>
      </c>
      <c r="AS180" s="787">
        <v>0</v>
      </c>
      <c r="AT180" s="787">
        <v>1864.83</v>
      </c>
      <c r="AU180" s="787">
        <v>0</v>
      </c>
      <c r="AV180" s="787">
        <v>0</v>
      </c>
      <c r="AW180" s="787">
        <v>19.98</v>
      </c>
      <c r="AX180" s="787">
        <v>0</v>
      </c>
      <c r="AY180" s="787">
        <v>0</v>
      </c>
      <c r="AZ180" s="787">
        <v>10026.469999999999</v>
      </c>
      <c r="BA180" s="787">
        <v>0</v>
      </c>
      <c r="BB180" s="787">
        <v>0</v>
      </c>
      <c r="BC180" s="787">
        <v>6762.1</v>
      </c>
      <c r="BD180" s="787">
        <v>122570.92</v>
      </c>
      <c r="BE180" s="787">
        <v>0</v>
      </c>
      <c r="BF180" s="787">
        <v>64544.89</v>
      </c>
      <c r="BG180" s="787">
        <v>63626.860000000219</v>
      </c>
      <c r="BH180" s="787">
        <v>0</v>
      </c>
      <c r="BI180" s="787">
        <v>0</v>
      </c>
      <c r="BJ180" s="787">
        <f t="shared" si="16"/>
        <v>877403.54000000015</v>
      </c>
      <c r="BK180" s="787"/>
      <c r="BL180" s="787"/>
      <c r="BM180" s="787"/>
      <c r="BN180" s="787">
        <v>0</v>
      </c>
      <c r="BO180" s="787">
        <v>0</v>
      </c>
      <c r="BP180" s="787">
        <v>0</v>
      </c>
      <c r="BQ180" s="787">
        <f t="shared" si="17"/>
        <v>0</v>
      </c>
      <c r="BR180" s="787">
        <v>0</v>
      </c>
      <c r="BS180" s="787">
        <v>14778.62</v>
      </c>
      <c r="BT180" s="787">
        <v>0</v>
      </c>
      <c r="BU180" s="787">
        <v>0</v>
      </c>
      <c r="BV180" s="787">
        <v>0</v>
      </c>
      <c r="BW180" s="787">
        <v>0</v>
      </c>
      <c r="BX180" s="787">
        <v>3485</v>
      </c>
      <c r="BY180" s="787">
        <v>0</v>
      </c>
      <c r="BZ180" s="787">
        <f t="shared" si="18"/>
        <v>18263.620000000003</v>
      </c>
      <c r="CA180" s="787"/>
      <c r="CB180" s="787"/>
      <c r="CC180" s="787"/>
      <c r="CD180" s="787">
        <v>0</v>
      </c>
      <c r="CE180" s="787">
        <v>0</v>
      </c>
      <c r="CF180" s="787">
        <f t="shared" si="19"/>
        <v>0</v>
      </c>
      <c r="CG180" s="787">
        <v>0</v>
      </c>
      <c r="CH180" s="787">
        <v>0</v>
      </c>
      <c r="CI180" s="787">
        <f t="shared" si="20"/>
        <v>0</v>
      </c>
      <c r="CJ180" s="787"/>
      <c r="CK180" s="787"/>
      <c r="CL180" s="787"/>
      <c r="CM180" s="787"/>
      <c r="CN180" s="787"/>
      <c r="CO180" s="787"/>
      <c r="CP180" s="787"/>
      <c r="CQ180" s="787"/>
      <c r="CR180" s="787"/>
      <c r="CS180" s="787"/>
      <c r="CT180" s="787"/>
      <c r="CU180" s="787"/>
      <c r="CV180" s="787"/>
      <c r="CW180" s="787"/>
      <c r="CX180" s="787"/>
      <c r="CY180" s="787"/>
      <c r="CZ180" s="787"/>
      <c r="DA180" s="787"/>
      <c r="DB180" s="787"/>
      <c r="DC180" s="787"/>
      <c r="DD180" s="787"/>
      <c r="DE180" s="787"/>
      <c r="DF180" s="787"/>
      <c r="DG180" s="787"/>
      <c r="DH180" s="787"/>
      <c r="DI180" s="787"/>
      <c r="DJ180" s="787"/>
      <c r="DK180" s="787"/>
      <c r="DL180" s="787"/>
      <c r="DM180" s="787"/>
      <c r="DN180" s="787"/>
      <c r="DO180" s="787"/>
      <c r="DP180" s="787"/>
      <c r="DQ180" s="787"/>
      <c r="DR180" s="787"/>
      <c r="DS180" s="787"/>
      <c r="DT180" s="787"/>
      <c r="DU180" s="787"/>
      <c r="DV180" s="787"/>
      <c r="DW180" s="787"/>
      <c r="DX180" s="787"/>
      <c r="DY180" s="787"/>
      <c r="DZ180" s="787"/>
      <c r="EA180" s="787"/>
    </row>
    <row r="181" spans="1:131" ht="15.6">
      <c r="A181" s="782" t="s">
        <v>1475</v>
      </c>
      <c r="B181" s="782" t="s">
        <v>938</v>
      </c>
      <c r="C181" s="783">
        <v>2019</v>
      </c>
      <c r="D181" s="784" t="s">
        <v>939</v>
      </c>
      <c r="E181" s="785" t="s">
        <v>521</v>
      </c>
      <c r="F181" s="786">
        <v>46091</v>
      </c>
      <c r="G181" s="785" t="s">
        <v>5</v>
      </c>
      <c r="H181" s="785" t="str">
        <f t="shared" si="14"/>
        <v>AX07L</v>
      </c>
      <c r="I181" s="787">
        <v>0</v>
      </c>
      <c r="J181" s="787">
        <v>0</v>
      </c>
      <c r="K181" s="787">
        <v>0</v>
      </c>
      <c r="L181" s="787">
        <v>0</v>
      </c>
      <c r="M181" s="787">
        <v>0</v>
      </c>
      <c r="N181" s="787">
        <v>0</v>
      </c>
      <c r="O181" s="787">
        <v>0</v>
      </c>
      <c r="P181" s="787">
        <v>0</v>
      </c>
      <c r="Q181" s="787">
        <v>11869.66</v>
      </c>
      <c r="R181" s="787">
        <v>0</v>
      </c>
      <c r="S181" s="787">
        <v>0</v>
      </c>
      <c r="T181" s="787">
        <v>0</v>
      </c>
      <c r="U181" s="787">
        <v>1958.69</v>
      </c>
      <c r="V181" s="787">
        <v>8613.08</v>
      </c>
      <c r="W181" s="787">
        <v>0</v>
      </c>
      <c r="X181" s="787">
        <f t="shared" si="15"/>
        <v>22441.43</v>
      </c>
      <c r="Y181" s="787">
        <v>1568539.3499999999</v>
      </c>
      <c r="Z181" s="787">
        <v>0</v>
      </c>
      <c r="AA181" s="787">
        <v>438936.41</v>
      </c>
      <c r="AB181" s="787">
        <v>134668.51</v>
      </c>
      <c r="AC181" s="787">
        <v>218452.5</v>
      </c>
      <c r="AD181" s="787">
        <v>10460.130000000001</v>
      </c>
      <c r="AE181" s="787">
        <v>0</v>
      </c>
      <c r="AF181" s="787">
        <v>225.03</v>
      </c>
      <c r="AG181" s="787">
        <v>3046.25</v>
      </c>
      <c r="AH181" s="787">
        <v>0</v>
      </c>
      <c r="AI181" s="787">
        <v>0</v>
      </c>
      <c r="AJ181" s="787">
        <v>3406.53</v>
      </c>
      <c r="AK181" s="787">
        <v>3930.39</v>
      </c>
      <c r="AL181" s="787">
        <v>2230.52</v>
      </c>
      <c r="AM181" s="787">
        <v>28447.98</v>
      </c>
      <c r="AN181" s="787">
        <v>34437.160000000003</v>
      </c>
      <c r="AO181" s="787">
        <v>0</v>
      </c>
      <c r="AP181" s="787">
        <v>23185.09</v>
      </c>
      <c r="AQ181" s="787">
        <v>8791.2999999999993</v>
      </c>
      <c r="AR181" s="787">
        <v>0</v>
      </c>
      <c r="AS181" s="787">
        <v>0</v>
      </c>
      <c r="AT181" s="787">
        <v>133.33000000000001</v>
      </c>
      <c r="AU181" s="787">
        <v>0</v>
      </c>
      <c r="AV181" s="787">
        <v>0</v>
      </c>
      <c r="AW181" s="787">
        <v>0</v>
      </c>
      <c r="AX181" s="787">
        <v>0</v>
      </c>
      <c r="AY181" s="787">
        <v>0</v>
      </c>
      <c r="AZ181" s="787">
        <v>221653.33</v>
      </c>
      <c r="BA181" s="787">
        <v>0</v>
      </c>
      <c r="BB181" s="787">
        <v>1504.5</v>
      </c>
      <c r="BC181" s="787">
        <v>137000.39000000001</v>
      </c>
      <c r="BD181" s="787">
        <v>1407.24</v>
      </c>
      <c r="BE181" s="787">
        <v>0</v>
      </c>
      <c r="BF181" s="787">
        <v>177939.99</v>
      </c>
      <c r="BG181" s="787">
        <v>0</v>
      </c>
      <c r="BH181" s="787">
        <v>0</v>
      </c>
      <c r="BI181" s="787">
        <v>0</v>
      </c>
      <c r="BJ181" s="787">
        <f t="shared" si="16"/>
        <v>3018395.9299999997</v>
      </c>
      <c r="BK181" s="787"/>
      <c r="BL181" s="787"/>
      <c r="BM181" s="787"/>
      <c r="BN181" s="787">
        <v>0</v>
      </c>
      <c r="BO181" s="787">
        <v>0</v>
      </c>
      <c r="BP181" s="787">
        <v>0</v>
      </c>
      <c r="BQ181" s="787">
        <f t="shared" si="17"/>
        <v>0</v>
      </c>
      <c r="BR181" s="787">
        <v>18024</v>
      </c>
      <c r="BS181" s="787">
        <v>0</v>
      </c>
      <c r="BT181" s="787">
        <v>0</v>
      </c>
      <c r="BU181" s="787">
        <v>0</v>
      </c>
      <c r="BV181" s="787">
        <v>0</v>
      </c>
      <c r="BW181" s="787">
        <v>0</v>
      </c>
      <c r="BX181" s="787">
        <v>0</v>
      </c>
      <c r="BY181" s="787">
        <v>0</v>
      </c>
      <c r="BZ181" s="787">
        <f t="shared" si="18"/>
        <v>18024</v>
      </c>
      <c r="CA181" s="787"/>
      <c r="CB181" s="787"/>
      <c r="CC181" s="787"/>
      <c r="CD181" s="787">
        <v>0</v>
      </c>
      <c r="CE181" s="787">
        <v>0</v>
      </c>
      <c r="CF181" s="787">
        <f t="shared" si="19"/>
        <v>0</v>
      </c>
      <c r="CG181" s="787">
        <v>0</v>
      </c>
      <c r="CH181" s="787">
        <v>0</v>
      </c>
      <c r="CI181" s="787">
        <f t="shared" si="20"/>
        <v>0</v>
      </c>
      <c r="CJ181" s="787"/>
      <c r="CK181" s="787"/>
      <c r="CL181" s="787"/>
      <c r="CM181" s="787"/>
      <c r="CN181" s="787"/>
      <c r="CO181" s="787"/>
      <c r="CP181" s="787"/>
      <c r="CQ181" s="787"/>
      <c r="CR181" s="787"/>
      <c r="CS181" s="787">
        <v>370768.9</v>
      </c>
      <c r="CT181" s="787">
        <v>0</v>
      </c>
      <c r="CU181" s="787">
        <v>0</v>
      </c>
      <c r="CV181" s="787">
        <v>370768.9</v>
      </c>
      <c r="CW181" s="787">
        <v>0</v>
      </c>
      <c r="CX181" s="787">
        <v>3107.57</v>
      </c>
      <c r="CY181" s="787">
        <v>1029.71</v>
      </c>
      <c r="CZ181" s="787">
        <v>0</v>
      </c>
      <c r="DA181" s="787">
        <v>0</v>
      </c>
      <c r="DB181" s="787">
        <v>374906.18000000005</v>
      </c>
      <c r="DC181" s="787">
        <v>0</v>
      </c>
      <c r="DD181" s="787">
        <v>0</v>
      </c>
      <c r="DE181" s="787">
        <v>0</v>
      </c>
      <c r="DF181" s="787">
        <v>0</v>
      </c>
      <c r="DG181" s="787"/>
      <c r="DH181" s="787"/>
      <c r="DI181" s="787"/>
      <c r="DJ181" s="787">
        <v>0</v>
      </c>
      <c r="DK181" s="787">
        <v>0</v>
      </c>
      <c r="DL181" s="787">
        <v>1072.98</v>
      </c>
      <c r="DM181" s="787">
        <v>0</v>
      </c>
      <c r="DN181" s="787">
        <v>0</v>
      </c>
      <c r="DO181" s="787">
        <v>0</v>
      </c>
      <c r="DP181" s="787">
        <v>-204006.16</v>
      </c>
      <c r="DQ181" s="787">
        <v>-6321.62</v>
      </c>
      <c r="DR181" s="787">
        <v>0</v>
      </c>
      <c r="DS181" s="787">
        <v>0</v>
      </c>
      <c r="DT181" s="787">
        <v>-209254.8</v>
      </c>
      <c r="DU181" s="787">
        <v>0</v>
      </c>
      <c r="DV181" s="787">
        <v>0</v>
      </c>
      <c r="DW181" s="787">
        <v>0</v>
      </c>
      <c r="DX181" s="787">
        <v>0</v>
      </c>
      <c r="DY181" s="787">
        <v>0</v>
      </c>
      <c r="DZ181" s="787">
        <v>0</v>
      </c>
      <c r="EA181" s="787">
        <v>0.15258499854826368</v>
      </c>
    </row>
    <row r="182" spans="1:131" ht="15.6">
      <c r="A182" s="782" t="s">
        <v>1476</v>
      </c>
      <c r="B182" s="782" t="s">
        <v>838</v>
      </c>
      <c r="C182" s="783">
        <v>2011</v>
      </c>
      <c r="D182" s="784" t="s">
        <v>839</v>
      </c>
      <c r="E182" s="785" t="s">
        <v>521</v>
      </c>
      <c r="F182" s="786">
        <v>46092</v>
      </c>
      <c r="G182" s="785" t="s">
        <v>5</v>
      </c>
      <c r="H182" s="785" t="str">
        <f t="shared" si="14"/>
        <v>AX07P</v>
      </c>
      <c r="I182" s="787">
        <v>0</v>
      </c>
      <c r="J182" s="787">
        <v>0</v>
      </c>
      <c r="K182" s="787">
        <v>0</v>
      </c>
      <c r="L182" s="787">
        <v>0</v>
      </c>
      <c r="M182" s="787">
        <v>0</v>
      </c>
      <c r="N182" s="787">
        <v>0</v>
      </c>
      <c r="O182" s="787">
        <v>0</v>
      </c>
      <c r="P182" s="787">
        <v>14725.56</v>
      </c>
      <c r="Q182" s="787">
        <v>80.23</v>
      </c>
      <c r="R182" s="787">
        <v>44706.83</v>
      </c>
      <c r="S182" s="787">
        <v>0</v>
      </c>
      <c r="T182" s="787">
        <v>0</v>
      </c>
      <c r="U182" s="787">
        <v>41577.85</v>
      </c>
      <c r="V182" s="787">
        <v>25417.66</v>
      </c>
      <c r="W182" s="787">
        <v>0</v>
      </c>
      <c r="X182" s="787">
        <f t="shared" si="15"/>
        <v>126508.13</v>
      </c>
      <c r="Y182" s="787">
        <v>2293462.34</v>
      </c>
      <c r="Z182" s="787">
        <v>0</v>
      </c>
      <c r="AA182" s="787">
        <v>270271.87</v>
      </c>
      <c r="AB182" s="787">
        <v>0</v>
      </c>
      <c r="AC182" s="787">
        <v>240394.55</v>
      </c>
      <c r="AD182" s="787">
        <v>136441.75</v>
      </c>
      <c r="AE182" s="787">
        <v>78189.8</v>
      </c>
      <c r="AF182" s="787">
        <v>11745.37</v>
      </c>
      <c r="AG182" s="787">
        <v>3862.56</v>
      </c>
      <c r="AH182" s="787">
        <v>0</v>
      </c>
      <c r="AI182" s="787">
        <v>0</v>
      </c>
      <c r="AJ182" s="787">
        <v>950</v>
      </c>
      <c r="AK182" s="787">
        <v>0</v>
      </c>
      <c r="AL182" s="787">
        <v>0</v>
      </c>
      <c r="AM182" s="787">
        <v>29210.6</v>
      </c>
      <c r="AN182" s="787">
        <v>63609.599999999999</v>
      </c>
      <c r="AO182" s="787">
        <v>0</v>
      </c>
      <c r="AP182" s="787">
        <v>4672.95</v>
      </c>
      <c r="AQ182" s="787">
        <v>157415.64000000001</v>
      </c>
      <c r="AR182" s="787">
        <v>0</v>
      </c>
      <c r="AS182" s="787">
        <v>0</v>
      </c>
      <c r="AT182" s="787">
        <v>0</v>
      </c>
      <c r="AU182" s="787">
        <v>0</v>
      </c>
      <c r="AV182" s="787">
        <v>0</v>
      </c>
      <c r="AW182" s="787">
        <v>0</v>
      </c>
      <c r="AX182" s="787">
        <v>22623.05</v>
      </c>
      <c r="AY182" s="787">
        <v>0</v>
      </c>
      <c r="AZ182" s="787">
        <v>7575.44</v>
      </c>
      <c r="BA182" s="787">
        <v>0</v>
      </c>
      <c r="BB182" s="787">
        <v>3800</v>
      </c>
      <c r="BC182" s="787">
        <v>65807.98</v>
      </c>
      <c r="BD182" s="787">
        <v>390183.45</v>
      </c>
      <c r="BE182" s="787">
        <v>27387.68</v>
      </c>
      <c r="BF182" s="787">
        <v>543547.63</v>
      </c>
      <c r="BG182" s="787">
        <v>0</v>
      </c>
      <c r="BH182" s="787">
        <v>0</v>
      </c>
      <c r="BI182" s="787">
        <v>0</v>
      </c>
      <c r="BJ182" s="787">
        <f t="shared" si="16"/>
        <v>4351152.2600000007</v>
      </c>
      <c r="BK182" s="787"/>
      <c r="BL182" s="787"/>
      <c r="BM182" s="787"/>
      <c r="BN182" s="787">
        <v>0</v>
      </c>
      <c r="BO182" s="787">
        <v>0</v>
      </c>
      <c r="BP182" s="787">
        <v>0</v>
      </c>
      <c r="BQ182" s="787">
        <f t="shared" si="17"/>
        <v>0</v>
      </c>
      <c r="BR182" s="787">
        <v>0</v>
      </c>
      <c r="BS182" s="787">
        <v>0</v>
      </c>
      <c r="BT182" s="787">
        <v>0</v>
      </c>
      <c r="BU182" s="787">
        <v>0</v>
      </c>
      <c r="BV182" s="787">
        <v>0</v>
      </c>
      <c r="BW182" s="787">
        <v>0</v>
      </c>
      <c r="BX182" s="787">
        <v>13633</v>
      </c>
      <c r="BY182" s="787">
        <v>0</v>
      </c>
      <c r="BZ182" s="787">
        <f t="shared" si="18"/>
        <v>13633</v>
      </c>
      <c r="CA182" s="787"/>
      <c r="CB182" s="787"/>
      <c r="CC182" s="787"/>
      <c r="CD182" s="787">
        <v>0</v>
      </c>
      <c r="CE182" s="787">
        <v>0</v>
      </c>
      <c r="CF182" s="787">
        <f t="shared" si="19"/>
        <v>0</v>
      </c>
      <c r="CG182" s="787">
        <v>0</v>
      </c>
      <c r="CH182" s="787">
        <v>0</v>
      </c>
      <c r="CI182" s="787">
        <f t="shared" si="20"/>
        <v>0</v>
      </c>
      <c r="CJ182" s="787"/>
      <c r="CK182" s="787"/>
      <c r="CL182" s="787"/>
      <c r="CM182" s="787"/>
      <c r="CN182" s="787"/>
      <c r="CO182" s="787"/>
      <c r="CP182" s="787"/>
      <c r="CQ182" s="787"/>
      <c r="CR182" s="787"/>
      <c r="CS182" s="787">
        <v>805051.17</v>
      </c>
      <c r="CT182" s="787">
        <v>272070.42</v>
      </c>
      <c r="CU182" s="787">
        <v>6516.35</v>
      </c>
      <c r="CV182" s="787">
        <v>539497.1</v>
      </c>
      <c r="CW182" s="787">
        <v>0</v>
      </c>
      <c r="CX182" s="787">
        <v>9987.9599999999991</v>
      </c>
      <c r="CY182" s="787">
        <v>6110.55</v>
      </c>
      <c r="CZ182" s="787">
        <v>0</v>
      </c>
      <c r="DA182" s="787">
        <v>0</v>
      </c>
      <c r="DB182" s="787">
        <v>555595.61</v>
      </c>
      <c r="DC182" s="787">
        <v>0</v>
      </c>
      <c r="DD182" s="787">
        <v>0</v>
      </c>
      <c r="DE182" s="787">
        <v>0</v>
      </c>
      <c r="DF182" s="787">
        <v>0</v>
      </c>
      <c r="DG182" s="787"/>
      <c r="DH182" s="787"/>
      <c r="DI182" s="787"/>
      <c r="DJ182" s="787">
        <v>0</v>
      </c>
      <c r="DK182" s="787">
        <v>0</v>
      </c>
      <c r="DL182" s="787">
        <v>0</v>
      </c>
      <c r="DM182" s="787">
        <v>0</v>
      </c>
      <c r="DN182" s="787">
        <v>0</v>
      </c>
      <c r="DO182" s="787">
        <v>0</v>
      </c>
      <c r="DP182" s="787">
        <v>0</v>
      </c>
      <c r="DQ182" s="787">
        <v>0</v>
      </c>
      <c r="DR182" s="787">
        <v>0</v>
      </c>
      <c r="DS182" s="787">
        <v>0</v>
      </c>
      <c r="DT182" s="787">
        <v>0</v>
      </c>
      <c r="DU182" s="787">
        <v>119.98</v>
      </c>
      <c r="DV182" s="787">
        <v>0</v>
      </c>
      <c r="DW182" s="787">
        <v>0</v>
      </c>
      <c r="DX182" s="787">
        <v>0</v>
      </c>
      <c r="DY182" s="787">
        <v>0</v>
      </c>
      <c r="DZ182" s="787">
        <v>-51503.17</v>
      </c>
      <c r="EA182" s="787">
        <v>0.26805380318546668</v>
      </c>
    </row>
    <row r="183" spans="1:131" ht="15.6">
      <c r="A183" s="782" t="s">
        <v>1477</v>
      </c>
      <c r="B183" s="782" t="s">
        <v>840</v>
      </c>
      <c r="C183" s="783">
        <v>4193</v>
      </c>
      <c r="D183" s="784" t="s">
        <v>841</v>
      </c>
      <c r="E183" s="785" t="s">
        <v>521</v>
      </c>
      <c r="F183" s="786">
        <v>0</v>
      </c>
      <c r="G183" s="785" t="s">
        <v>5</v>
      </c>
      <c r="H183" s="785" t="str">
        <f t="shared" si="14"/>
        <v>AX07N</v>
      </c>
      <c r="I183" s="787">
        <v>0</v>
      </c>
      <c r="J183" s="787">
        <v>0</v>
      </c>
      <c r="K183" s="787">
        <v>24932</v>
      </c>
      <c r="L183" s="787">
        <v>0</v>
      </c>
      <c r="M183" s="787">
        <v>0</v>
      </c>
      <c r="N183" s="787">
        <v>13920</v>
      </c>
      <c r="O183" s="787">
        <v>0</v>
      </c>
      <c r="P183" s="787">
        <v>0</v>
      </c>
      <c r="Q183" s="787">
        <v>14070.29</v>
      </c>
      <c r="R183" s="787">
        <v>0</v>
      </c>
      <c r="S183" s="787">
        <v>0</v>
      </c>
      <c r="T183" s="787">
        <v>0</v>
      </c>
      <c r="U183" s="787">
        <v>130810.34999999999</v>
      </c>
      <c r="V183" s="787">
        <v>198744.24</v>
      </c>
      <c r="W183" s="787">
        <v>0</v>
      </c>
      <c r="X183" s="787">
        <f t="shared" si="15"/>
        <v>382476.88</v>
      </c>
      <c r="Y183" s="787">
        <v>3426217.39</v>
      </c>
      <c r="Z183" s="787">
        <v>0</v>
      </c>
      <c r="AA183" s="787">
        <v>433980.01</v>
      </c>
      <c r="AB183" s="787">
        <v>0</v>
      </c>
      <c r="AC183" s="787">
        <v>1122111.3700000001</v>
      </c>
      <c r="AD183" s="787">
        <v>0</v>
      </c>
      <c r="AE183" s="787">
        <v>61006.14</v>
      </c>
      <c r="AF183" s="787">
        <v>20266.22</v>
      </c>
      <c r="AG183" s="787">
        <v>7077.67</v>
      </c>
      <c r="AH183" s="787">
        <v>0</v>
      </c>
      <c r="AI183" s="787">
        <v>0</v>
      </c>
      <c r="AJ183" s="787">
        <v>1680.3</v>
      </c>
      <c r="AK183" s="787">
        <v>400</v>
      </c>
      <c r="AL183" s="787">
        <v>187.4</v>
      </c>
      <c r="AM183" s="787">
        <v>45017.25</v>
      </c>
      <c r="AN183" s="787">
        <v>132519.81</v>
      </c>
      <c r="AO183" s="787">
        <v>0</v>
      </c>
      <c r="AP183" s="787">
        <v>24329.89</v>
      </c>
      <c r="AQ183" s="787">
        <v>230060.7580952381</v>
      </c>
      <c r="AR183" s="787">
        <v>0</v>
      </c>
      <c r="AS183" s="787">
        <v>72642.37</v>
      </c>
      <c r="AT183" s="787">
        <v>10553.216666666667</v>
      </c>
      <c r="AU183" s="787">
        <v>32614.52</v>
      </c>
      <c r="AV183" s="787">
        <v>0</v>
      </c>
      <c r="AW183" s="787">
        <v>0</v>
      </c>
      <c r="AX183" s="787">
        <v>0</v>
      </c>
      <c r="AY183" s="787">
        <v>64666.049999999988</v>
      </c>
      <c r="AZ183" s="787">
        <v>110996.93333333333</v>
      </c>
      <c r="BA183" s="787">
        <v>3459.1366666666654</v>
      </c>
      <c r="BB183" s="787">
        <v>148.83000000000001</v>
      </c>
      <c r="BC183" s="787">
        <v>128833.12000000001</v>
      </c>
      <c r="BD183" s="787">
        <v>26663.61</v>
      </c>
      <c r="BE183" s="787">
        <v>107416.05</v>
      </c>
      <c r="BF183" s="787">
        <v>69110.845833333326</v>
      </c>
      <c r="BG183" s="787">
        <v>338894.34</v>
      </c>
      <c r="BH183" s="787">
        <v>0</v>
      </c>
      <c r="BI183" s="787">
        <v>0</v>
      </c>
      <c r="BJ183" s="787">
        <f t="shared" si="16"/>
        <v>6470853.2305952376</v>
      </c>
      <c r="BK183" s="787"/>
      <c r="BL183" s="787"/>
      <c r="BM183" s="787"/>
      <c r="BN183" s="787">
        <v>0</v>
      </c>
      <c r="BO183" s="787">
        <v>0</v>
      </c>
      <c r="BP183" s="787">
        <v>0</v>
      </c>
      <c r="BQ183" s="787">
        <f t="shared" si="17"/>
        <v>0</v>
      </c>
      <c r="BR183" s="787">
        <v>0</v>
      </c>
      <c r="BS183" s="787">
        <v>0</v>
      </c>
      <c r="BT183" s="787">
        <v>0</v>
      </c>
      <c r="BU183" s="787">
        <v>0</v>
      </c>
      <c r="BV183" s="787">
        <v>0</v>
      </c>
      <c r="BW183" s="787">
        <v>0</v>
      </c>
      <c r="BX183" s="787">
        <v>24590.37</v>
      </c>
      <c r="BY183" s="787">
        <v>0</v>
      </c>
      <c r="BZ183" s="787">
        <f t="shared" si="18"/>
        <v>24590.37</v>
      </c>
      <c r="CA183" s="787"/>
      <c r="CB183" s="787"/>
      <c r="CC183" s="787"/>
      <c r="CD183" s="787">
        <v>0</v>
      </c>
      <c r="CE183" s="787">
        <v>0</v>
      </c>
      <c r="CF183" s="787">
        <f t="shared" si="19"/>
        <v>0</v>
      </c>
      <c r="CG183" s="787">
        <v>0</v>
      </c>
      <c r="CH183" s="787">
        <v>0</v>
      </c>
      <c r="CI183" s="787">
        <f t="shared" si="20"/>
        <v>0</v>
      </c>
      <c r="CJ183" s="787"/>
      <c r="CK183" s="787"/>
      <c r="CL183" s="787"/>
      <c r="CM183" s="787"/>
      <c r="CN183" s="787"/>
      <c r="CO183" s="787"/>
      <c r="CP183" s="787"/>
      <c r="CQ183" s="787"/>
      <c r="CR183" s="787"/>
      <c r="CS183" s="787"/>
      <c r="CT183" s="787"/>
      <c r="CU183" s="787"/>
      <c r="CV183" s="787"/>
      <c r="CW183" s="787"/>
      <c r="CX183" s="787"/>
      <c r="CY183" s="787"/>
      <c r="CZ183" s="787"/>
      <c r="DA183" s="787"/>
      <c r="DB183" s="787"/>
      <c r="DC183" s="787"/>
      <c r="DD183" s="787"/>
      <c r="DE183" s="787"/>
      <c r="DF183" s="787"/>
      <c r="DG183" s="787"/>
      <c r="DH183" s="787"/>
      <c r="DI183" s="787"/>
      <c r="DJ183" s="787"/>
      <c r="DK183" s="787"/>
      <c r="DL183" s="787"/>
      <c r="DM183" s="787"/>
      <c r="DN183" s="787"/>
      <c r="DO183" s="787"/>
      <c r="DP183" s="787"/>
      <c r="DQ183" s="787"/>
      <c r="DR183" s="787"/>
      <c r="DS183" s="787"/>
      <c r="DT183" s="787"/>
      <c r="DU183" s="787"/>
      <c r="DV183" s="787"/>
      <c r="DW183" s="787"/>
      <c r="DX183" s="787"/>
      <c r="DY183" s="787"/>
      <c r="DZ183" s="787"/>
      <c r="EA183" s="787"/>
    </row>
    <row r="184" spans="1:131" ht="15.6">
      <c r="A184" s="782" t="s">
        <v>1478</v>
      </c>
      <c r="B184" s="782" t="s">
        <v>842</v>
      </c>
      <c r="C184" s="783">
        <v>2478</v>
      </c>
      <c r="D184" s="784" t="s">
        <v>843</v>
      </c>
      <c r="E184" s="785" t="s">
        <v>521</v>
      </c>
      <c r="F184" s="786">
        <v>46094</v>
      </c>
      <c r="G184" s="785" t="s">
        <v>5</v>
      </c>
      <c r="H184" s="785" t="str">
        <f t="shared" si="14"/>
        <v>AX07Q</v>
      </c>
      <c r="I184" s="787">
        <v>0</v>
      </c>
      <c r="J184" s="787">
        <v>0</v>
      </c>
      <c r="K184" s="787">
        <v>0</v>
      </c>
      <c r="L184" s="787">
        <v>0</v>
      </c>
      <c r="M184" s="787">
        <v>0</v>
      </c>
      <c r="N184" s="787">
        <v>0</v>
      </c>
      <c r="O184" s="787">
        <v>38623</v>
      </c>
      <c r="P184" s="787">
        <v>45864</v>
      </c>
      <c r="Q184" s="787">
        <v>52258.61</v>
      </c>
      <c r="R184" s="787">
        <v>0</v>
      </c>
      <c r="S184" s="787">
        <v>0</v>
      </c>
      <c r="T184" s="787">
        <v>0</v>
      </c>
      <c r="U184" s="787">
        <v>41636.92</v>
      </c>
      <c r="V184" s="787">
        <v>208666.34</v>
      </c>
      <c r="W184" s="787">
        <v>0</v>
      </c>
      <c r="X184" s="787">
        <f t="shared" si="15"/>
        <v>387048.87</v>
      </c>
      <c r="Y184" s="787">
        <v>1365556.82</v>
      </c>
      <c r="Z184" s="787">
        <v>7324.71</v>
      </c>
      <c r="AA184" s="787">
        <v>318179.78999999998</v>
      </c>
      <c r="AB184" s="787">
        <v>61343.78</v>
      </c>
      <c r="AC184" s="787">
        <v>207589.86</v>
      </c>
      <c r="AD184" s="787">
        <v>0</v>
      </c>
      <c r="AE184" s="787">
        <v>181665.16</v>
      </c>
      <c r="AF184" s="787">
        <v>626.63</v>
      </c>
      <c r="AG184" s="787">
        <v>3004.12</v>
      </c>
      <c r="AH184" s="787">
        <v>0</v>
      </c>
      <c r="AI184" s="787">
        <v>0</v>
      </c>
      <c r="AJ184" s="787">
        <v>61684.85</v>
      </c>
      <c r="AK184" s="787">
        <v>6349.9299999999994</v>
      </c>
      <c r="AL184" s="787">
        <v>56922.03</v>
      </c>
      <c r="AM184" s="787">
        <v>9163.9399999999987</v>
      </c>
      <c r="AN184" s="787">
        <v>58960.15</v>
      </c>
      <c r="AO184" s="787">
        <v>0</v>
      </c>
      <c r="AP184" s="787">
        <v>9750.67</v>
      </c>
      <c r="AQ184" s="787">
        <v>57482.229999999996</v>
      </c>
      <c r="AR184" s="787">
        <v>0</v>
      </c>
      <c r="AS184" s="787">
        <v>0</v>
      </c>
      <c r="AT184" s="787">
        <v>27927.67</v>
      </c>
      <c r="AU184" s="787">
        <v>4629.75</v>
      </c>
      <c r="AV184" s="787">
        <v>0</v>
      </c>
      <c r="AW184" s="787">
        <v>26402.51</v>
      </c>
      <c r="AX184" s="787">
        <v>0</v>
      </c>
      <c r="AY184" s="787">
        <v>0</v>
      </c>
      <c r="AZ184" s="787">
        <v>37147.82</v>
      </c>
      <c r="BA184" s="787">
        <v>0</v>
      </c>
      <c r="BB184" s="787">
        <v>0</v>
      </c>
      <c r="BC184" s="787">
        <v>70535.319999999992</v>
      </c>
      <c r="BD184" s="787">
        <v>250347.84</v>
      </c>
      <c r="BE184" s="787">
        <v>108749.09</v>
      </c>
      <c r="BF184" s="787">
        <v>208159.28</v>
      </c>
      <c r="BG184" s="787">
        <v>0</v>
      </c>
      <c r="BH184" s="787">
        <v>0</v>
      </c>
      <c r="BI184" s="787">
        <v>0</v>
      </c>
      <c r="BJ184" s="787">
        <f t="shared" si="16"/>
        <v>3139503.9499999988</v>
      </c>
      <c r="BK184" s="787"/>
      <c r="BL184" s="787"/>
      <c r="BM184" s="787"/>
      <c r="BN184" s="787">
        <v>0</v>
      </c>
      <c r="BO184" s="787">
        <v>0</v>
      </c>
      <c r="BP184" s="787">
        <v>0</v>
      </c>
      <c r="BQ184" s="787">
        <f t="shared" si="17"/>
        <v>0</v>
      </c>
      <c r="BR184" s="787">
        <v>0</v>
      </c>
      <c r="BS184" s="787">
        <v>0</v>
      </c>
      <c r="BT184" s="787">
        <v>0</v>
      </c>
      <c r="BU184" s="787">
        <v>0</v>
      </c>
      <c r="BV184" s="787">
        <v>0</v>
      </c>
      <c r="BW184" s="787">
        <v>0</v>
      </c>
      <c r="BX184" s="787">
        <v>0</v>
      </c>
      <c r="BY184" s="787">
        <v>0</v>
      </c>
      <c r="BZ184" s="787">
        <f t="shared" si="18"/>
        <v>0</v>
      </c>
      <c r="CA184" s="787"/>
      <c r="CB184" s="787"/>
      <c r="CC184" s="787"/>
      <c r="CD184" s="787">
        <v>0</v>
      </c>
      <c r="CE184" s="787">
        <v>0</v>
      </c>
      <c r="CF184" s="787">
        <f t="shared" si="19"/>
        <v>0</v>
      </c>
      <c r="CG184" s="787">
        <v>0</v>
      </c>
      <c r="CH184" s="787">
        <v>0</v>
      </c>
      <c r="CI184" s="787">
        <f t="shared" si="20"/>
        <v>0</v>
      </c>
      <c r="CJ184" s="787"/>
      <c r="CK184" s="787"/>
      <c r="CL184" s="787"/>
      <c r="CM184" s="787"/>
      <c r="CN184" s="787"/>
      <c r="CO184" s="787"/>
      <c r="CP184" s="787"/>
      <c r="CQ184" s="787"/>
      <c r="CR184" s="787"/>
      <c r="CS184" s="787"/>
      <c r="CT184" s="787"/>
      <c r="CU184" s="787"/>
      <c r="CV184" s="787"/>
      <c r="CW184" s="787"/>
      <c r="CX184" s="787"/>
      <c r="CY184" s="787"/>
      <c r="CZ184" s="787"/>
      <c r="DA184" s="787"/>
      <c r="DB184" s="787"/>
      <c r="DC184" s="787"/>
      <c r="DD184" s="787"/>
      <c r="DE184" s="787"/>
      <c r="DF184" s="787"/>
      <c r="DG184" s="787"/>
      <c r="DH184" s="787"/>
      <c r="DI184" s="787"/>
      <c r="DJ184" s="787"/>
      <c r="DK184" s="787"/>
      <c r="DL184" s="787"/>
      <c r="DM184" s="787"/>
      <c r="DN184" s="787"/>
      <c r="DO184" s="787"/>
      <c r="DP184" s="787"/>
      <c r="DQ184" s="787"/>
      <c r="DR184" s="787"/>
      <c r="DS184" s="787"/>
      <c r="DT184" s="787"/>
      <c r="DU184" s="787"/>
      <c r="DV184" s="787"/>
      <c r="DW184" s="787"/>
      <c r="DX184" s="787"/>
      <c r="DY184" s="787"/>
      <c r="DZ184" s="787"/>
      <c r="EA184" s="787"/>
    </row>
    <row r="185" spans="1:131" ht="15.6">
      <c r="A185" s="782" t="s">
        <v>1479</v>
      </c>
      <c r="B185" s="782" t="s">
        <v>844</v>
      </c>
      <c r="C185" s="783">
        <v>2293</v>
      </c>
      <c r="D185" s="784" t="s">
        <v>845</v>
      </c>
      <c r="E185" s="785" t="s">
        <v>521</v>
      </c>
      <c r="F185" s="786">
        <v>0</v>
      </c>
      <c r="G185" s="785" t="s">
        <v>5</v>
      </c>
      <c r="H185" s="785" t="str">
        <f t="shared" si="14"/>
        <v>AX07T</v>
      </c>
      <c r="I185" s="787">
        <v>0</v>
      </c>
      <c r="J185" s="787">
        <v>0</v>
      </c>
      <c r="K185" s="787">
        <v>0</v>
      </c>
      <c r="L185" s="787">
        <v>0</v>
      </c>
      <c r="M185" s="787">
        <v>0</v>
      </c>
      <c r="N185" s="787">
        <v>0</v>
      </c>
      <c r="O185" s="787">
        <v>0</v>
      </c>
      <c r="P185" s="787">
        <v>0</v>
      </c>
      <c r="Q185" s="787">
        <v>69.98</v>
      </c>
      <c r="R185" s="787">
        <v>2736.93</v>
      </c>
      <c r="S185" s="787">
        <v>0</v>
      </c>
      <c r="T185" s="787">
        <v>0</v>
      </c>
      <c r="U185" s="787">
        <v>44532.98</v>
      </c>
      <c r="V185" s="787">
        <v>82648.899999999994</v>
      </c>
      <c r="W185" s="787">
        <v>0</v>
      </c>
      <c r="X185" s="787">
        <f t="shared" si="15"/>
        <v>129988.79</v>
      </c>
      <c r="Y185" s="787">
        <v>1919445.81</v>
      </c>
      <c r="Z185" s="787">
        <v>0</v>
      </c>
      <c r="AA185" s="787">
        <v>417758.99</v>
      </c>
      <c r="AB185" s="787">
        <v>154550.91</v>
      </c>
      <c r="AC185" s="787">
        <v>387867.86</v>
      </c>
      <c r="AD185" s="787">
        <v>130993.59999999999</v>
      </c>
      <c r="AE185" s="787">
        <v>190719.68</v>
      </c>
      <c r="AF185" s="787">
        <v>0</v>
      </c>
      <c r="AG185" s="787">
        <v>15079.46</v>
      </c>
      <c r="AH185" s="787">
        <v>0</v>
      </c>
      <c r="AI185" s="787">
        <v>0</v>
      </c>
      <c r="AJ185" s="787">
        <v>30496.42</v>
      </c>
      <c r="AK185" s="787">
        <v>23554.01</v>
      </c>
      <c r="AL185" s="787">
        <v>247.3</v>
      </c>
      <c r="AM185" s="787">
        <v>8203.81</v>
      </c>
      <c r="AN185" s="787">
        <v>87943.74</v>
      </c>
      <c r="AO185" s="787">
        <v>0</v>
      </c>
      <c r="AP185" s="787">
        <v>13084.06</v>
      </c>
      <c r="AQ185" s="787">
        <v>242443.3168743182</v>
      </c>
      <c r="AR185" s="787">
        <v>0</v>
      </c>
      <c r="AS185" s="787">
        <v>0</v>
      </c>
      <c r="AT185" s="787">
        <v>0</v>
      </c>
      <c r="AU185" s="787">
        <v>0</v>
      </c>
      <c r="AV185" s="787">
        <v>11247.7</v>
      </c>
      <c r="AW185" s="787">
        <v>0</v>
      </c>
      <c r="AX185" s="787">
        <v>0</v>
      </c>
      <c r="AY185" s="787">
        <v>0</v>
      </c>
      <c r="AZ185" s="787">
        <v>78429.649999999994</v>
      </c>
      <c r="BA185" s="787">
        <v>0</v>
      </c>
      <c r="BB185" s="787">
        <v>10578</v>
      </c>
      <c r="BC185" s="787">
        <v>118472.73000000001</v>
      </c>
      <c r="BD185" s="787">
        <v>255156.9</v>
      </c>
      <c r="BE185" s="787">
        <v>26942.229999999996</v>
      </c>
      <c r="BF185" s="787">
        <v>202155.31</v>
      </c>
      <c r="BG185" s="787">
        <v>0</v>
      </c>
      <c r="BH185" s="787">
        <v>0</v>
      </c>
      <c r="BI185" s="787">
        <v>0</v>
      </c>
      <c r="BJ185" s="787">
        <f t="shared" si="16"/>
        <v>4325371.4868743178</v>
      </c>
      <c r="BK185" s="787"/>
      <c r="BL185" s="787"/>
      <c r="BM185" s="787"/>
      <c r="BN185" s="787">
        <v>0</v>
      </c>
      <c r="BO185" s="787">
        <v>0</v>
      </c>
      <c r="BP185" s="787">
        <v>0</v>
      </c>
      <c r="BQ185" s="787">
        <f t="shared" si="17"/>
        <v>0</v>
      </c>
      <c r="BR185" s="787">
        <v>0</v>
      </c>
      <c r="BS185" s="787">
        <v>0</v>
      </c>
      <c r="BT185" s="787">
        <v>0</v>
      </c>
      <c r="BU185" s="787">
        <v>0</v>
      </c>
      <c r="BV185" s="787">
        <v>0</v>
      </c>
      <c r="BW185" s="787">
        <v>0</v>
      </c>
      <c r="BX185" s="787">
        <v>0</v>
      </c>
      <c r="BY185" s="787">
        <v>0</v>
      </c>
      <c r="BZ185" s="787">
        <f t="shared" si="18"/>
        <v>0</v>
      </c>
      <c r="CA185" s="787"/>
      <c r="CB185" s="787"/>
      <c r="CC185" s="787"/>
      <c r="CD185" s="787">
        <v>0</v>
      </c>
      <c r="CE185" s="787">
        <v>0</v>
      </c>
      <c r="CF185" s="787">
        <f t="shared" si="19"/>
        <v>0</v>
      </c>
      <c r="CG185" s="787">
        <v>0</v>
      </c>
      <c r="CH185" s="787">
        <v>0</v>
      </c>
      <c r="CI185" s="787">
        <f t="shared" si="20"/>
        <v>0</v>
      </c>
      <c r="CJ185" s="787"/>
      <c r="CK185" s="787"/>
      <c r="CL185" s="787"/>
      <c r="CM185" s="787"/>
      <c r="CN185" s="787"/>
      <c r="CO185" s="787"/>
      <c r="CP185" s="787"/>
      <c r="CQ185" s="787"/>
      <c r="CR185" s="787"/>
      <c r="CS185" s="787"/>
      <c r="CT185" s="787"/>
      <c r="CU185" s="787"/>
      <c r="CV185" s="787"/>
      <c r="CW185" s="787"/>
      <c r="CX185" s="787"/>
      <c r="CY185" s="787"/>
      <c r="CZ185" s="787"/>
      <c r="DA185" s="787"/>
      <c r="DB185" s="787"/>
      <c r="DC185" s="787"/>
      <c r="DD185" s="787"/>
      <c r="DE185" s="787"/>
      <c r="DF185" s="787"/>
      <c r="DG185" s="787"/>
      <c r="DH185" s="787"/>
      <c r="DI185" s="787"/>
      <c r="DJ185" s="787"/>
      <c r="DK185" s="787"/>
      <c r="DL185" s="787"/>
      <c r="DM185" s="787"/>
      <c r="DN185" s="787"/>
      <c r="DO185" s="787"/>
      <c r="DP185" s="787"/>
      <c r="DQ185" s="787"/>
      <c r="DR185" s="787"/>
      <c r="DS185" s="787"/>
      <c r="DT185" s="787"/>
      <c r="DU185" s="787"/>
      <c r="DV185" s="787"/>
      <c r="DW185" s="787"/>
      <c r="DX185" s="787"/>
      <c r="DY185" s="787"/>
      <c r="DZ185" s="787"/>
      <c r="EA185" s="787"/>
    </row>
    <row r="186" spans="1:131" ht="15.6">
      <c r="A186" s="782" t="s">
        <v>1480</v>
      </c>
      <c r="B186" s="782" t="s">
        <v>874</v>
      </c>
      <c r="C186" s="783">
        <v>2445</v>
      </c>
      <c r="D186" s="784" t="s">
        <v>875</v>
      </c>
      <c r="E186" s="785" t="s">
        <v>521</v>
      </c>
      <c r="F186" s="786">
        <v>46094</v>
      </c>
      <c r="G186" s="785" t="s">
        <v>5</v>
      </c>
      <c r="H186" s="785" t="str">
        <f t="shared" si="14"/>
        <v>AX07U</v>
      </c>
      <c r="I186" s="787">
        <v>0</v>
      </c>
      <c r="J186" s="787">
        <v>0</v>
      </c>
      <c r="K186" s="787">
        <v>0</v>
      </c>
      <c r="L186" s="787">
        <v>0</v>
      </c>
      <c r="M186" s="787">
        <v>0</v>
      </c>
      <c r="N186" s="787">
        <v>0</v>
      </c>
      <c r="O186" s="787">
        <v>0</v>
      </c>
      <c r="P186" s="787">
        <v>0</v>
      </c>
      <c r="Q186" s="787">
        <v>3849.19</v>
      </c>
      <c r="R186" s="787">
        <v>9720</v>
      </c>
      <c r="S186" s="787">
        <v>0</v>
      </c>
      <c r="T186" s="787">
        <v>0</v>
      </c>
      <c r="U186" s="787">
        <v>6979</v>
      </c>
      <c r="V186" s="787">
        <v>16194.899438877124</v>
      </c>
      <c r="W186" s="787">
        <v>0</v>
      </c>
      <c r="X186" s="787">
        <f t="shared" si="15"/>
        <v>36743.089438877127</v>
      </c>
      <c r="Y186" s="787">
        <v>663874.03</v>
      </c>
      <c r="Z186" s="787">
        <v>0</v>
      </c>
      <c r="AA186" s="787">
        <v>411115.31</v>
      </c>
      <c r="AB186" s="787">
        <v>49970.99</v>
      </c>
      <c r="AC186" s="787">
        <v>118379.5</v>
      </c>
      <c r="AD186" s="787">
        <v>0</v>
      </c>
      <c r="AE186" s="787">
        <v>40564.959999999999</v>
      </c>
      <c r="AF186" s="787">
        <v>0</v>
      </c>
      <c r="AG186" s="787">
        <v>3926</v>
      </c>
      <c r="AH186" s="787">
        <v>0</v>
      </c>
      <c r="AI186" s="787">
        <v>0</v>
      </c>
      <c r="AJ186" s="787">
        <v>28693</v>
      </c>
      <c r="AK186" s="787">
        <v>10360</v>
      </c>
      <c r="AL186" s="787">
        <v>4682</v>
      </c>
      <c r="AM186" s="787">
        <v>12192</v>
      </c>
      <c r="AN186" s="787">
        <v>38737</v>
      </c>
      <c r="AO186" s="787">
        <v>0</v>
      </c>
      <c r="AP186" s="787">
        <v>16160</v>
      </c>
      <c r="AQ186" s="787">
        <v>36387</v>
      </c>
      <c r="AR186" s="787">
        <v>39921</v>
      </c>
      <c r="AS186" s="787">
        <v>0</v>
      </c>
      <c r="AT186" s="787">
        <v>0</v>
      </c>
      <c r="AU186" s="787">
        <v>0</v>
      </c>
      <c r="AV186" s="787">
        <v>0</v>
      </c>
      <c r="AW186" s="787">
        <v>0</v>
      </c>
      <c r="AX186" s="787">
        <v>9020</v>
      </c>
      <c r="AY186" s="787">
        <v>0</v>
      </c>
      <c r="AZ186" s="787">
        <v>10574</v>
      </c>
      <c r="BA186" s="787">
        <v>0</v>
      </c>
      <c r="BB186" s="787">
        <v>5685</v>
      </c>
      <c r="BC186" s="787">
        <v>88423.679999999993</v>
      </c>
      <c r="BD186" s="787">
        <v>105557</v>
      </c>
      <c r="BE186" s="787">
        <v>22681</v>
      </c>
      <c r="BF186" s="787">
        <v>20323</v>
      </c>
      <c r="BG186" s="787">
        <v>4119.160000000149</v>
      </c>
      <c r="BH186" s="787">
        <v>0</v>
      </c>
      <c r="BI186" s="787">
        <v>216</v>
      </c>
      <c r="BJ186" s="787">
        <f t="shared" si="16"/>
        <v>1741561.6300000001</v>
      </c>
      <c r="BK186" s="787"/>
      <c r="BL186" s="787"/>
      <c r="BM186" s="787"/>
      <c r="BN186" s="787">
        <v>0</v>
      </c>
      <c r="BO186" s="787">
        <v>0</v>
      </c>
      <c r="BP186" s="787">
        <v>216</v>
      </c>
      <c r="BQ186" s="787">
        <f t="shared" si="17"/>
        <v>216</v>
      </c>
      <c r="BR186" s="787">
        <v>0</v>
      </c>
      <c r="BS186" s="787">
        <v>6500</v>
      </c>
      <c r="BT186" s="787">
        <v>0</v>
      </c>
      <c r="BU186" s="787">
        <v>0</v>
      </c>
      <c r="BV186" s="787">
        <v>0</v>
      </c>
      <c r="BW186" s="787">
        <v>0</v>
      </c>
      <c r="BX186" s="787">
        <v>0</v>
      </c>
      <c r="BY186" s="787">
        <v>0</v>
      </c>
      <c r="BZ186" s="787">
        <f t="shared" si="18"/>
        <v>6500</v>
      </c>
      <c r="CA186" s="787"/>
      <c r="CB186" s="787"/>
      <c r="CC186" s="787"/>
      <c r="CD186" s="787">
        <v>0</v>
      </c>
      <c r="CE186" s="787">
        <v>0</v>
      </c>
      <c r="CF186" s="787">
        <f t="shared" si="19"/>
        <v>0</v>
      </c>
      <c r="CG186" s="787">
        <v>0</v>
      </c>
      <c r="CH186" s="787">
        <v>0</v>
      </c>
      <c r="CI186" s="787">
        <f t="shared" si="20"/>
        <v>0</v>
      </c>
      <c r="CJ186" s="787"/>
      <c r="CK186" s="787"/>
      <c r="CL186" s="787"/>
      <c r="CM186" s="787"/>
      <c r="CN186" s="787"/>
      <c r="CO186" s="787"/>
      <c r="CP186" s="787"/>
      <c r="CQ186" s="787"/>
      <c r="CR186" s="787"/>
      <c r="CS186" s="787">
        <v>254134</v>
      </c>
      <c r="CT186" s="787">
        <v>0</v>
      </c>
      <c r="CU186" s="787">
        <v>0</v>
      </c>
      <c r="CV186" s="787">
        <v>254134</v>
      </c>
      <c r="CW186" s="787">
        <v>0</v>
      </c>
      <c r="CX186" s="787">
        <v>5585.16</v>
      </c>
      <c r="CY186" s="787">
        <v>621.24</v>
      </c>
      <c r="CZ186" s="787">
        <v>0</v>
      </c>
      <c r="DA186" s="787">
        <v>0</v>
      </c>
      <c r="DB186" s="787">
        <v>260340.4</v>
      </c>
      <c r="DC186" s="787">
        <v>0</v>
      </c>
      <c r="DD186" s="787">
        <v>0</v>
      </c>
      <c r="DE186" s="787">
        <v>0</v>
      </c>
      <c r="DF186" s="787">
        <v>0</v>
      </c>
      <c r="DG186" s="787"/>
      <c r="DH186" s="787"/>
      <c r="DI186" s="787"/>
      <c r="DJ186" s="787">
        <v>0</v>
      </c>
      <c r="DK186" s="787">
        <v>0</v>
      </c>
      <c r="DL186" s="787">
        <v>0</v>
      </c>
      <c r="DM186" s="787">
        <v>3691.19</v>
      </c>
      <c r="DN186" s="787">
        <v>0</v>
      </c>
      <c r="DO186" s="787">
        <v>0</v>
      </c>
      <c r="DP186" s="787">
        <v>-111923.79</v>
      </c>
      <c r="DQ186" s="787">
        <v>-23544.68</v>
      </c>
      <c r="DR186" s="787">
        <v>0</v>
      </c>
      <c r="DS186" s="787">
        <v>0</v>
      </c>
      <c r="DT186" s="787">
        <v>-131777.28</v>
      </c>
      <c r="DU186" s="787">
        <v>0</v>
      </c>
      <c r="DV186" s="787">
        <v>0</v>
      </c>
      <c r="DW186" s="787">
        <v>0</v>
      </c>
      <c r="DX186" s="787">
        <v>0</v>
      </c>
      <c r="DY186" s="787">
        <v>0</v>
      </c>
      <c r="DZ186" s="787">
        <v>0</v>
      </c>
      <c r="EA186" s="787">
        <v>0.48539313138462603</v>
      </c>
    </row>
    <row r="187" spans="1:131" ht="15.6">
      <c r="A187" s="782" t="s">
        <v>1481</v>
      </c>
      <c r="B187" s="782" t="s">
        <v>846</v>
      </c>
      <c r="C187" s="783">
        <v>2278</v>
      </c>
      <c r="D187" s="784" t="s">
        <v>847</v>
      </c>
      <c r="E187" s="785" t="s">
        <v>521</v>
      </c>
      <c r="F187" s="786">
        <v>46091</v>
      </c>
      <c r="G187" s="785" t="s">
        <v>5</v>
      </c>
      <c r="H187" s="785" t="str">
        <f t="shared" si="14"/>
        <v>AX07V</v>
      </c>
      <c r="I187" s="787">
        <v>0</v>
      </c>
      <c r="J187" s="787">
        <v>0</v>
      </c>
      <c r="K187" s="787">
        <v>0</v>
      </c>
      <c r="L187" s="787">
        <v>0</v>
      </c>
      <c r="M187" s="787">
        <v>2600</v>
      </c>
      <c r="N187" s="787">
        <v>0</v>
      </c>
      <c r="O187" s="787">
        <v>0</v>
      </c>
      <c r="P187" s="787">
        <v>8164</v>
      </c>
      <c r="Q187" s="787">
        <v>12273.134774999991</v>
      </c>
      <c r="R187" s="787">
        <v>0</v>
      </c>
      <c r="S187" s="787">
        <v>0</v>
      </c>
      <c r="T187" s="787">
        <v>0</v>
      </c>
      <c r="U187" s="787">
        <v>14843.5</v>
      </c>
      <c r="V187" s="787">
        <v>370712.44</v>
      </c>
      <c r="W187" s="787">
        <v>0</v>
      </c>
      <c r="X187" s="787">
        <f t="shared" si="15"/>
        <v>408593.07477499999</v>
      </c>
      <c r="Y187" s="787">
        <v>1524706.42</v>
      </c>
      <c r="Z187" s="787">
        <v>0</v>
      </c>
      <c r="AA187" s="787">
        <v>750418.88</v>
      </c>
      <c r="AB187" s="787">
        <v>89956.61</v>
      </c>
      <c r="AC187" s="787">
        <v>149220.98000000001</v>
      </c>
      <c r="AD187" s="787">
        <v>0</v>
      </c>
      <c r="AE187" s="787">
        <v>81303.429999999993</v>
      </c>
      <c r="AF187" s="787">
        <v>16620.3</v>
      </c>
      <c r="AG187" s="787">
        <v>1239</v>
      </c>
      <c r="AH187" s="787">
        <v>0</v>
      </c>
      <c r="AI187" s="787">
        <v>0</v>
      </c>
      <c r="AJ187" s="787">
        <v>179377.40000000002</v>
      </c>
      <c r="AK187" s="787">
        <v>6864</v>
      </c>
      <c r="AL187" s="787">
        <v>1247.8</v>
      </c>
      <c r="AM187" s="787">
        <v>7700</v>
      </c>
      <c r="AN187" s="787">
        <v>37550.46</v>
      </c>
      <c r="AO187" s="787">
        <v>0</v>
      </c>
      <c r="AP187" s="787">
        <v>10473.64</v>
      </c>
      <c r="AQ187" s="787">
        <v>68306.990000000005</v>
      </c>
      <c r="AR187" s="787">
        <v>0</v>
      </c>
      <c r="AS187" s="787">
        <v>0</v>
      </c>
      <c r="AT187" s="787">
        <v>0</v>
      </c>
      <c r="AU187" s="787">
        <v>0</v>
      </c>
      <c r="AV187" s="787">
        <v>0</v>
      </c>
      <c r="AW187" s="787">
        <v>0</v>
      </c>
      <c r="AX187" s="787">
        <v>0</v>
      </c>
      <c r="AY187" s="787">
        <v>0</v>
      </c>
      <c r="AZ187" s="787">
        <v>327344.83</v>
      </c>
      <c r="BA187" s="787">
        <v>0</v>
      </c>
      <c r="BB187" s="787">
        <v>4540</v>
      </c>
      <c r="BC187" s="787">
        <v>178827.2</v>
      </c>
      <c r="BD187" s="787">
        <v>77167.259999999995</v>
      </c>
      <c r="BE187" s="787">
        <v>0</v>
      </c>
      <c r="BF187" s="787">
        <v>170245.5</v>
      </c>
      <c r="BG187" s="787">
        <v>0</v>
      </c>
      <c r="BH187" s="787">
        <v>0</v>
      </c>
      <c r="BI187" s="787">
        <v>0</v>
      </c>
      <c r="BJ187" s="787">
        <f t="shared" si="16"/>
        <v>3683110.6999999997</v>
      </c>
      <c r="BK187" s="787"/>
      <c r="BL187" s="787"/>
      <c r="BM187" s="787"/>
      <c r="BN187" s="787">
        <v>0</v>
      </c>
      <c r="BO187" s="787">
        <v>0</v>
      </c>
      <c r="BP187" s="787">
        <v>0</v>
      </c>
      <c r="BQ187" s="787">
        <f t="shared" si="17"/>
        <v>0</v>
      </c>
      <c r="BR187" s="787">
        <v>0</v>
      </c>
      <c r="BS187" s="787">
        <v>0</v>
      </c>
      <c r="BT187" s="787">
        <v>0</v>
      </c>
      <c r="BU187" s="787">
        <v>0</v>
      </c>
      <c r="BV187" s="787">
        <v>0</v>
      </c>
      <c r="BW187" s="787">
        <v>0</v>
      </c>
      <c r="BX187" s="787">
        <v>31101.42</v>
      </c>
      <c r="BY187" s="787">
        <v>0</v>
      </c>
      <c r="BZ187" s="787">
        <f t="shared" si="18"/>
        <v>31101.42</v>
      </c>
      <c r="CA187" s="787"/>
      <c r="CB187" s="787"/>
      <c r="CC187" s="787"/>
      <c r="CD187" s="787">
        <v>0</v>
      </c>
      <c r="CE187" s="787">
        <v>0</v>
      </c>
      <c r="CF187" s="787">
        <f t="shared" si="19"/>
        <v>0</v>
      </c>
      <c r="CG187" s="787">
        <v>0</v>
      </c>
      <c r="CH187" s="787">
        <v>0</v>
      </c>
      <c r="CI187" s="787">
        <f t="shared" si="20"/>
        <v>0</v>
      </c>
      <c r="CJ187" s="787"/>
      <c r="CK187" s="787"/>
      <c r="CL187" s="787"/>
      <c r="CM187" s="787"/>
      <c r="CN187" s="787"/>
      <c r="CO187" s="787"/>
      <c r="CP187" s="787"/>
      <c r="CQ187" s="787"/>
      <c r="CR187" s="787"/>
      <c r="CS187" s="787">
        <v>879225.84</v>
      </c>
      <c r="CT187" s="787">
        <v>35000</v>
      </c>
      <c r="CU187" s="787">
        <v>0</v>
      </c>
      <c r="CV187" s="787">
        <v>844225.84</v>
      </c>
      <c r="CW187" s="787">
        <v>0</v>
      </c>
      <c r="CX187" s="787">
        <v>7119.22</v>
      </c>
      <c r="CY187" s="787">
        <v>1115.8599999999999</v>
      </c>
      <c r="CZ187" s="787">
        <v>128.58000000000001</v>
      </c>
      <c r="DA187" s="787">
        <v>0</v>
      </c>
      <c r="DB187" s="787">
        <v>852589.49999999988</v>
      </c>
      <c r="DC187" s="787">
        <v>0</v>
      </c>
      <c r="DD187" s="787">
        <v>0</v>
      </c>
      <c r="DE187" s="787">
        <v>0</v>
      </c>
      <c r="DF187" s="787">
        <v>0</v>
      </c>
      <c r="DG187" s="787"/>
      <c r="DH187" s="787"/>
      <c r="DI187" s="787"/>
      <c r="DJ187" s="787">
        <v>0</v>
      </c>
      <c r="DK187" s="787">
        <v>0</v>
      </c>
      <c r="DL187" s="787">
        <v>0</v>
      </c>
      <c r="DM187" s="787">
        <v>0</v>
      </c>
      <c r="DN187" s="787">
        <v>0</v>
      </c>
      <c r="DO187" s="787">
        <v>0</v>
      </c>
      <c r="DP187" s="787">
        <v>-233976.21</v>
      </c>
      <c r="DQ187" s="787">
        <v>-56872.88</v>
      </c>
      <c r="DR187" s="787">
        <v>0</v>
      </c>
      <c r="DS187" s="787">
        <v>0</v>
      </c>
      <c r="DT187" s="787">
        <v>-290849.08999999997</v>
      </c>
      <c r="DU187" s="787">
        <v>0</v>
      </c>
      <c r="DV187" s="787">
        <v>4096.55</v>
      </c>
      <c r="DW187" s="787">
        <v>0</v>
      </c>
      <c r="DX187" s="787">
        <v>0</v>
      </c>
      <c r="DY187" s="787">
        <v>1186.9199999999998</v>
      </c>
      <c r="DZ187" s="787">
        <v>0</v>
      </c>
      <c r="EA187" s="787">
        <v>-1.5049378853291273E-3</v>
      </c>
    </row>
    <row r="188" spans="1:131" ht="15.6">
      <c r="A188" s="782" t="s">
        <v>1482</v>
      </c>
      <c r="B188" s="782" t="s">
        <v>850</v>
      </c>
      <c r="C188" s="783">
        <v>2317</v>
      </c>
      <c r="D188" s="784" t="s">
        <v>851</v>
      </c>
      <c r="E188" s="785" t="s">
        <v>521</v>
      </c>
      <c r="F188" s="786" t="s">
        <v>1305</v>
      </c>
      <c r="G188" s="785" t="s">
        <v>5</v>
      </c>
      <c r="H188" s="785" t="str">
        <f t="shared" si="14"/>
        <v>AX07X</v>
      </c>
      <c r="I188" s="787">
        <v>0</v>
      </c>
      <c r="J188" s="787">
        <v>0</v>
      </c>
      <c r="K188" s="787">
        <v>0</v>
      </c>
      <c r="L188" s="787">
        <v>0</v>
      </c>
      <c r="M188" s="787">
        <v>7500</v>
      </c>
      <c r="N188" s="787">
        <v>0</v>
      </c>
      <c r="O188" s="787">
        <v>900</v>
      </c>
      <c r="P188" s="787">
        <v>0</v>
      </c>
      <c r="Q188" s="787">
        <v>1532.0000000000005</v>
      </c>
      <c r="R188" s="787">
        <v>7619.44</v>
      </c>
      <c r="S188" s="787">
        <v>0</v>
      </c>
      <c r="T188" s="787">
        <v>0</v>
      </c>
      <c r="U188" s="787">
        <v>4825.3</v>
      </c>
      <c r="V188" s="787">
        <v>161426.13999999998</v>
      </c>
      <c r="W188" s="787">
        <v>0</v>
      </c>
      <c r="X188" s="787">
        <f t="shared" si="15"/>
        <v>183802.87999999998</v>
      </c>
      <c r="Y188" s="787">
        <v>904602.12</v>
      </c>
      <c r="Z188" s="787">
        <v>0</v>
      </c>
      <c r="AA188" s="787">
        <v>398958.96</v>
      </c>
      <c r="AB188" s="787">
        <v>75891.89</v>
      </c>
      <c r="AC188" s="787">
        <v>120089.68</v>
      </c>
      <c r="AD188" s="787">
        <v>0</v>
      </c>
      <c r="AE188" s="787">
        <v>79249.59</v>
      </c>
      <c r="AF188" s="787">
        <v>50224.24</v>
      </c>
      <c r="AG188" s="787">
        <v>6745.6</v>
      </c>
      <c r="AH188" s="787">
        <v>0</v>
      </c>
      <c r="AI188" s="787">
        <v>0</v>
      </c>
      <c r="AJ188" s="787">
        <v>18464.240000000002</v>
      </c>
      <c r="AK188" s="787">
        <v>3000</v>
      </c>
      <c r="AL188" s="787">
        <v>2875.04</v>
      </c>
      <c r="AM188" s="787">
        <v>29055.49</v>
      </c>
      <c r="AN188" s="787">
        <v>107509.78</v>
      </c>
      <c r="AO188" s="787">
        <v>0</v>
      </c>
      <c r="AP188" s="787">
        <v>14926.3</v>
      </c>
      <c r="AQ188" s="787">
        <v>36681.26</v>
      </c>
      <c r="AR188" s="787">
        <v>0</v>
      </c>
      <c r="AS188" s="787">
        <v>0</v>
      </c>
      <c r="AT188" s="787">
        <v>0</v>
      </c>
      <c r="AU188" s="787">
        <v>1636.52</v>
      </c>
      <c r="AV188" s="787">
        <v>0</v>
      </c>
      <c r="AW188" s="787">
        <v>0</v>
      </c>
      <c r="AX188" s="787">
        <v>0</v>
      </c>
      <c r="AY188" s="787">
        <v>0</v>
      </c>
      <c r="AZ188" s="787">
        <v>13810</v>
      </c>
      <c r="BA188" s="787">
        <v>0</v>
      </c>
      <c r="BB188" s="787">
        <v>0</v>
      </c>
      <c r="BC188" s="787">
        <v>137501.44</v>
      </c>
      <c r="BD188" s="787">
        <v>483229.13</v>
      </c>
      <c r="BE188" s="787">
        <v>0</v>
      </c>
      <c r="BF188" s="787">
        <v>107432.04</v>
      </c>
      <c r="BG188" s="787">
        <v>0</v>
      </c>
      <c r="BH188" s="787">
        <v>0</v>
      </c>
      <c r="BI188" s="787">
        <v>0</v>
      </c>
      <c r="BJ188" s="787">
        <f t="shared" si="16"/>
        <v>2591883.3200000003</v>
      </c>
      <c r="BK188" s="787"/>
      <c r="BL188" s="787"/>
      <c r="BM188" s="787"/>
      <c r="BN188" s="787">
        <v>0</v>
      </c>
      <c r="BO188" s="787">
        <v>0</v>
      </c>
      <c r="BP188" s="787">
        <v>0</v>
      </c>
      <c r="BQ188" s="787">
        <f t="shared" si="17"/>
        <v>0</v>
      </c>
      <c r="BR188" s="787">
        <v>0</v>
      </c>
      <c r="BS188" s="787">
        <v>6952</v>
      </c>
      <c r="BT188" s="787">
        <v>0</v>
      </c>
      <c r="BU188" s="787">
        <v>0</v>
      </c>
      <c r="BV188" s="787">
        <v>0</v>
      </c>
      <c r="BW188" s="787">
        <v>0</v>
      </c>
      <c r="BX188" s="787">
        <v>0</v>
      </c>
      <c r="BY188" s="787">
        <v>0</v>
      </c>
      <c r="BZ188" s="787">
        <f t="shared" si="18"/>
        <v>6952</v>
      </c>
      <c r="CA188" s="787"/>
      <c r="CB188" s="787"/>
      <c r="CC188" s="787"/>
      <c r="CD188" s="787">
        <v>0</v>
      </c>
      <c r="CE188" s="787">
        <v>0</v>
      </c>
      <c r="CF188" s="787">
        <f t="shared" si="19"/>
        <v>0</v>
      </c>
      <c r="CG188" s="787">
        <v>0</v>
      </c>
      <c r="CH188" s="787">
        <v>0</v>
      </c>
      <c r="CI188" s="787">
        <f t="shared" si="20"/>
        <v>0</v>
      </c>
      <c r="CJ188" s="787"/>
      <c r="CK188" s="787"/>
      <c r="CL188" s="787"/>
      <c r="CM188" s="787"/>
      <c r="CN188" s="787"/>
      <c r="CO188" s="787"/>
      <c r="CP188" s="787"/>
      <c r="CQ188" s="787"/>
      <c r="CR188" s="787"/>
      <c r="CS188" s="787">
        <v>-119690.38</v>
      </c>
      <c r="CT188" s="787">
        <v>0</v>
      </c>
      <c r="CU188" s="787">
        <v>0</v>
      </c>
      <c r="CV188" s="787">
        <v>-119690.38</v>
      </c>
      <c r="CW188" s="787">
        <v>600</v>
      </c>
      <c r="CX188" s="787">
        <v>13961.21</v>
      </c>
      <c r="CY188" s="787">
        <v>2616.08</v>
      </c>
      <c r="CZ188" s="787">
        <v>0</v>
      </c>
      <c r="DA188" s="787">
        <v>-35000</v>
      </c>
      <c r="DB188" s="787">
        <v>-137513.09000000003</v>
      </c>
      <c r="DC188" s="787">
        <v>58.44</v>
      </c>
      <c r="DD188" s="787">
        <v>0</v>
      </c>
      <c r="DE188" s="787">
        <v>0</v>
      </c>
      <c r="DF188" s="787">
        <v>58.44</v>
      </c>
      <c r="DG188" s="787"/>
      <c r="DH188" s="787"/>
      <c r="DI188" s="787"/>
      <c r="DJ188" s="787">
        <v>0</v>
      </c>
      <c r="DK188" s="787">
        <v>58.44</v>
      </c>
      <c r="DL188" s="787">
        <v>59920.18</v>
      </c>
      <c r="DM188" s="787">
        <v>0</v>
      </c>
      <c r="DN188" s="787">
        <v>0</v>
      </c>
      <c r="DO188" s="787">
        <v>0</v>
      </c>
      <c r="DP188" s="787">
        <v>-49000</v>
      </c>
      <c r="DQ188" s="787">
        <v>-34111.39</v>
      </c>
      <c r="DR188" s="787">
        <v>0</v>
      </c>
      <c r="DS188" s="787">
        <v>0</v>
      </c>
      <c r="DT188" s="787">
        <v>-23191.21</v>
      </c>
      <c r="DU188" s="787">
        <v>596.5</v>
      </c>
      <c r="DV188" s="787">
        <v>0</v>
      </c>
      <c r="DW188" s="787">
        <v>-308.7</v>
      </c>
      <c r="DX188" s="787">
        <v>0</v>
      </c>
      <c r="DY188" s="787">
        <v>0</v>
      </c>
      <c r="DZ188" s="787">
        <v>-137777.87</v>
      </c>
      <c r="EA188" s="787">
        <v>-0.14967409014934674</v>
      </c>
    </row>
    <row r="189" spans="1:131" ht="15.6">
      <c r="A189" s="782" t="s">
        <v>1483</v>
      </c>
      <c r="B189" s="782" t="s">
        <v>852</v>
      </c>
      <c r="C189" s="783">
        <v>2225</v>
      </c>
      <c r="D189" s="784" t="s">
        <v>853</v>
      </c>
      <c r="E189" s="785" t="s">
        <v>521</v>
      </c>
      <c r="F189" s="786">
        <v>46094</v>
      </c>
      <c r="G189" s="785" t="s">
        <v>5</v>
      </c>
      <c r="H189" s="785" t="str">
        <f t="shared" si="14"/>
        <v>AX0CQ</v>
      </c>
      <c r="I189" s="787">
        <v>0</v>
      </c>
      <c r="J189" s="787">
        <v>0</v>
      </c>
      <c r="K189" s="787">
        <v>0</v>
      </c>
      <c r="L189" s="787">
        <v>0</v>
      </c>
      <c r="M189" s="787">
        <v>0</v>
      </c>
      <c r="N189" s="787">
        <v>0</v>
      </c>
      <c r="O189" s="787">
        <v>0</v>
      </c>
      <c r="P189" s="787">
        <v>0</v>
      </c>
      <c r="Q189" s="787">
        <v>7239.48</v>
      </c>
      <c r="R189" s="787">
        <v>26558.95</v>
      </c>
      <c r="S189" s="787">
        <v>0</v>
      </c>
      <c r="T189" s="787">
        <v>0</v>
      </c>
      <c r="U189" s="787">
        <v>32144.809999999998</v>
      </c>
      <c r="V189" s="787">
        <v>80270.27</v>
      </c>
      <c r="W189" s="787">
        <v>0</v>
      </c>
      <c r="X189" s="787">
        <f t="shared" si="15"/>
        <v>146213.51</v>
      </c>
      <c r="Y189" s="787">
        <v>1171893.3399999999</v>
      </c>
      <c r="Z189" s="787">
        <v>200494.78</v>
      </c>
      <c r="AA189" s="787">
        <v>695848.30999999994</v>
      </c>
      <c r="AB189" s="787">
        <v>34816.950000000004</v>
      </c>
      <c r="AC189" s="787">
        <v>58933.340000000004</v>
      </c>
      <c r="AD189" s="787">
        <v>0</v>
      </c>
      <c r="AE189" s="787">
        <v>70622.5</v>
      </c>
      <c r="AF189" s="787">
        <v>7747.88</v>
      </c>
      <c r="AG189" s="787">
        <v>27915.74</v>
      </c>
      <c r="AH189" s="787">
        <v>0</v>
      </c>
      <c r="AI189" s="787">
        <v>0</v>
      </c>
      <c r="AJ189" s="787">
        <v>60168.1</v>
      </c>
      <c r="AK189" s="787">
        <v>1289.75</v>
      </c>
      <c r="AL189" s="787">
        <v>5702.16</v>
      </c>
      <c r="AM189" s="787">
        <v>12250.93</v>
      </c>
      <c r="AN189" s="787">
        <v>46822.41</v>
      </c>
      <c r="AO189" s="787">
        <v>0</v>
      </c>
      <c r="AP189" s="787">
        <v>37915.99</v>
      </c>
      <c r="AQ189" s="787">
        <v>118583.5</v>
      </c>
      <c r="AR189" s="787">
        <v>0</v>
      </c>
      <c r="AS189" s="787">
        <v>0</v>
      </c>
      <c r="AT189" s="787">
        <v>0</v>
      </c>
      <c r="AU189" s="787">
        <v>0</v>
      </c>
      <c r="AV189" s="787">
        <v>0</v>
      </c>
      <c r="AW189" s="787">
        <v>0</v>
      </c>
      <c r="AX189" s="787">
        <v>0</v>
      </c>
      <c r="AY189" s="787">
        <v>0</v>
      </c>
      <c r="AZ189" s="787">
        <v>60341.639999999992</v>
      </c>
      <c r="BA189" s="787">
        <v>0</v>
      </c>
      <c r="BB189" s="787">
        <v>0</v>
      </c>
      <c r="BC189" s="787">
        <v>140608.24</v>
      </c>
      <c r="BD189" s="787">
        <v>0</v>
      </c>
      <c r="BE189" s="787">
        <v>97550.76</v>
      </c>
      <c r="BF189" s="787">
        <v>0</v>
      </c>
      <c r="BG189" s="787">
        <v>0</v>
      </c>
      <c r="BH189" s="787">
        <v>0</v>
      </c>
      <c r="BI189" s="787">
        <v>0</v>
      </c>
      <c r="BJ189" s="787">
        <f t="shared" si="16"/>
        <v>2849506.3200000003</v>
      </c>
      <c r="BK189" s="787"/>
      <c r="BL189" s="787"/>
      <c r="BM189" s="787"/>
      <c r="BN189" s="787">
        <v>0</v>
      </c>
      <c r="BO189" s="787">
        <v>0</v>
      </c>
      <c r="BP189" s="787">
        <v>0</v>
      </c>
      <c r="BQ189" s="787">
        <f t="shared" si="17"/>
        <v>0</v>
      </c>
      <c r="BR189" s="787">
        <v>0</v>
      </c>
      <c r="BS189" s="787">
        <v>0</v>
      </c>
      <c r="BT189" s="787">
        <v>0</v>
      </c>
      <c r="BU189" s="787">
        <v>0</v>
      </c>
      <c r="BV189" s="787">
        <v>0</v>
      </c>
      <c r="BW189" s="787">
        <v>0</v>
      </c>
      <c r="BX189" s="787">
        <v>0</v>
      </c>
      <c r="BY189" s="787">
        <v>0</v>
      </c>
      <c r="BZ189" s="787">
        <f t="shared" si="18"/>
        <v>0</v>
      </c>
      <c r="CA189" s="787"/>
      <c r="CB189" s="787"/>
      <c r="CC189" s="787"/>
      <c r="CD189" s="787">
        <v>0</v>
      </c>
      <c r="CE189" s="787">
        <v>0</v>
      </c>
      <c r="CF189" s="787">
        <f t="shared" si="19"/>
        <v>0</v>
      </c>
      <c r="CG189" s="787">
        <v>0</v>
      </c>
      <c r="CH189" s="787">
        <v>0</v>
      </c>
      <c r="CI189" s="787">
        <f t="shared" si="20"/>
        <v>0</v>
      </c>
      <c r="CJ189" s="787"/>
      <c r="CK189" s="787"/>
      <c r="CL189" s="787"/>
      <c r="CM189" s="787"/>
      <c r="CN189" s="787"/>
      <c r="CO189" s="787"/>
      <c r="CP189" s="787"/>
      <c r="CQ189" s="787"/>
      <c r="CR189" s="787"/>
      <c r="CS189" s="787"/>
      <c r="CT189" s="787"/>
      <c r="CU189" s="787"/>
      <c r="CV189" s="787"/>
      <c r="CW189" s="787"/>
      <c r="CX189" s="787"/>
      <c r="CY189" s="787"/>
      <c r="CZ189" s="787"/>
      <c r="DA189" s="787"/>
      <c r="DB189" s="787"/>
      <c r="DC189" s="787"/>
      <c r="DD189" s="787"/>
      <c r="DE189" s="787"/>
      <c r="DF189" s="787"/>
      <c r="DG189" s="787"/>
      <c r="DH189" s="787"/>
      <c r="DI189" s="787"/>
      <c r="DJ189" s="787"/>
      <c r="DK189" s="787"/>
      <c r="DL189" s="787"/>
      <c r="DM189" s="787"/>
      <c r="DN189" s="787"/>
      <c r="DO189" s="787"/>
      <c r="DP189" s="787"/>
      <c r="DQ189" s="787"/>
      <c r="DR189" s="787"/>
      <c r="DS189" s="787"/>
      <c r="DT189" s="787"/>
      <c r="DU189" s="787"/>
      <c r="DV189" s="787"/>
      <c r="DW189" s="787"/>
      <c r="DX189" s="787"/>
      <c r="DY189" s="787"/>
      <c r="DZ189" s="787"/>
      <c r="EA189" s="787"/>
    </row>
    <row r="190" spans="1:131" ht="15.6">
      <c r="A190" s="782" t="s">
        <v>1484</v>
      </c>
      <c r="B190" s="782" t="s">
        <v>854</v>
      </c>
      <c r="C190" s="783">
        <v>2412</v>
      </c>
      <c r="D190" s="784" t="s">
        <v>855</v>
      </c>
      <c r="E190" s="785" t="s">
        <v>521</v>
      </c>
      <c r="F190" s="786">
        <v>46094</v>
      </c>
      <c r="G190" s="785" t="s">
        <v>5</v>
      </c>
      <c r="H190" s="785" t="str">
        <f t="shared" si="14"/>
        <v>AX07Y</v>
      </c>
      <c r="I190" s="787">
        <v>0</v>
      </c>
      <c r="J190" s="787">
        <v>0</v>
      </c>
      <c r="K190" s="787">
        <v>0</v>
      </c>
      <c r="L190" s="787">
        <v>0</v>
      </c>
      <c r="M190" s="787">
        <v>0</v>
      </c>
      <c r="N190" s="787">
        <v>0</v>
      </c>
      <c r="O190" s="787">
        <v>32265.53</v>
      </c>
      <c r="P190" s="787">
        <v>0</v>
      </c>
      <c r="Q190" s="787">
        <v>861.98</v>
      </c>
      <c r="R190" s="787">
        <v>0</v>
      </c>
      <c r="S190" s="787">
        <v>0</v>
      </c>
      <c r="T190" s="787">
        <v>0</v>
      </c>
      <c r="U190" s="787">
        <v>26600</v>
      </c>
      <c r="V190" s="787">
        <v>20531</v>
      </c>
      <c r="W190" s="787">
        <v>0</v>
      </c>
      <c r="X190" s="787">
        <f t="shared" si="15"/>
        <v>80258.510000000009</v>
      </c>
      <c r="Y190" s="787">
        <v>1380114.4</v>
      </c>
      <c r="Z190" s="787">
        <v>0</v>
      </c>
      <c r="AA190" s="787">
        <v>196519.97999999998</v>
      </c>
      <c r="AB190" s="787">
        <v>87233.25</v>
      </c>
      <c r="AC190" s="787">
        <v>45452.340000000004</v>
      </c>
      <c r="AD190" s="787">
        <v>0</v>
      </c>
      <c r="AE190" s="787">
        <v>52472.1</v>
      </c>
      <c r="AF190" s="787">
        <v>5901.58</v>
      </c>
      <c r="AG190" s="787">
        <v>4702.9699999999993</v>
      </c>
      <c r="AH190" s="787">
        <v>0</v>
      </c>
      <c r="AI190" s="787">
        <v>0</v>
      </c>
      <c r="AJ190" s="787">
        <v>15623.130000000001</v>
      </c>
      <c r="AK190" s="787">
        <v>2310</v>
      </c>
      <c r="AL190" s="787">
        <v>0</v>
      </c>
      <c r="AM190" s="787">
        <v>6104.22</v>
      </c>
      <c r="AN190" s="787">
        <v>35211.089999999997</v>
      </c>
      <c r="AO190" s="787">
        <v>0</v>
      </c>
      <c r="AP190" s="787">
        <v>33879.9</v>
      </c>
      <c r="AQ190" s="787">
        <v>148702.45000000001</v>
      </c>
      <c r="AR190" s="787">
        <v>0</v>
      </c>
      <c r="AS190" s="787">
        <v>0</v>
      </c>
      <c r="AT190" s="787">
        <v>0</v>
      </c>
      <c r="AU190" s="787">
        <v>0</v>
      </c>
      <c r="AV190" s="787">
        <v>0</v>
      </c>
      <c r="AW190" s="787">
        <v>0</v>
      </c>
      <c r="AX190" s="787">
        <v>11480</v>
      </c>
      <c r="AY190" s="787">
        <v>0</v>
      </c>
      <c r="AZ190" s="787">
        <v>6874.08</v>
      </c>
      <c r="BA190" s="787">
        <v>0</v>
      </c>
      <c r="BB190" s="787">
        <v>5000</v>
      </c>
      <c r="BC190" s="787">
        <v>88977.89</v>
      </c>
      <c r="BD190" s="787">
        <v>318847.08999999997</v>
      </c>
      <c r="BE190" s="787">
        <v>97323.650000000009</v>
      </c>
      <c r="BF190" s="787">
        <v>137874.81</v>
      </c>
      <c r="BG190" s="787">
        <v>0</v>
      </c>
      <c r="BH190" s="787">
        <v>0</v>
      </c>
      <c r="BI190" s="787">
        <v>0</v>
      </c>
      <c r="BJ190" s="787">
        <f t="shared" si="16"/>
        <v>2680604.9299999997</v>
      </c>
      <c r="BK190" s="787"/>
      <c r="BL190" s="787"/>
      <c r="BM190" s="787"/>
      <c r="BN190" s="787">
        <v>0</v>
      </c>
      <c r="BO190" s="787">
        <v>0</v>
      </c>
      <c r="BP190" s="787">
        <v>0</v>
      </c>
      <c r="BQ190" s="787">
        <f t="shared" si="17"/>
        <v>0</v>
      </c>
      <c r="BR190" s="787">
        <v>0</v>
      </c>
      <c r="BS190" s="787">
        <v>0</v>
      </c>
      <c r="BT190" s="787">
        <v>0</v>
      </c>
      <c r="BU190" s="787">
        <v>0</v>
      </c>
      <c r="BV190" s="787">
        <v>0</v>
      </c>
      <c r="BW190" s="787">
        <v>0</v>
      </c>
      <c r="BX190" s="787">
        <v>10264.64</v>
      </c>
      <c r="BY190" s="787">
        <v>0</v>
      </c>
      <c r="BZ190" s="787">
        <f t="shared" si="18"/>
        <v>10264.64</v>
      </c>
      <c r="CA190" s="787"/>
      <c r="CB190" s="787"/>
      <c r="CC190" s="787"/>
      <c r="CD190" s="787">
        <v>0</v>
      </c>
      <c r="CE190" s="787">
        <v>0</v>
      </c>
      <c r="CF190" s="787">
        <f t="shared" si="19"/>
        <v>0</v>
      </c>
      <c r="CG190" s="787">
        <v>0</v>
      </c>
      <c r="CH190" s="787">
        <v>0</v>
      </c>
      <c r="CI190" s="787">
        <f t="shared" si="20"/>
        <v>0</v>
      </c>
      <c r="CJ190" s="787"/>
      <c r="CK190" s="787"/>
      <c r="CL190" s="787"/>
      <c r="CM190" s="787"/>
      <c r="CN190" s="787"/>
      <c r="CO190" s="787"/>
      <c r="CP190" s="787"/>
      <c r="CQ190" s="787"/>
      <c r="CR190" s="787"/>
      <c r="CS190" s="787">
        <v>1012991.28</v>
      </c>
      <c r="CT190" s="787">
        <v>59418.52</v>
      </c>
      <c r="CU190" s="787">
        <v>0</v>
      </c>
      <c r="CV190" s="787">
        <v>953572.76</v>
      </c>
      <c r="CW190" s="787">
        <v>0</v>
      </c>
      <c r="CX190" s="787">
        <v>14932.56</v>
      </c>
      <c r="CY190" s="787">
        <v>7714.06</v>
      </c>
      <c r="CZ190" s="787">
        <v>0</v>
      </c>
      <c r="DA190" s="787">
        <v>0</v>
      </c>
      <c r="DB190" s="787">
        <v>976219.38000000012</v>
      </c>
      <c r="DC190" s="787">
        <v>0</v>
      </c>
      <c r="DD190" s="787">
        <v>0</v>
      </c>
      <c r="DE190" s="787">
        <v>0</v>
      </c>
      <c r="DF190" s="787">
        <v>0</v>
      </c>
      <c r="DG190" s="787"/>
      <c r="DH190" s="787"/>
      <c r="DI190" s="787"/>
      <c r="DJ190" s="787">
        <v>0</v>
      </c>
      <c r="DK190" s="787">
        <v>0</v>
      </c>
      <c r="DL190" s="787">
        <v>0</v>
      </c>
      <c r="DM190" s="787">
        <v>0</v>
      </c>
      <c r="DN190" s="787">
        <v>9251.17</v>
      </c>
      <c r="DO190" s="787">
        <v>0</v>
      </c>
      <c r="DP190" s="787">
        <v>-180841.61</v>
      </c>
      <c r="DQ190" s="787">
        <v>0</v>
      </c>
      <c r="DR190" s="787">
        <v>-75722.080000000002</v>
      </c>
      <c r="DS190" s="787">
        <v>0</v>
      </c>
      <c r="DT190" s="787">
        <v>-247312.51999999996</v>
      </c>
      <c r="DU190" s="787">
        <v>0</v>
      </c>
      <c r="DV190" s="787">
        <v>0</v>
      </c>
      <c r="DW190" s="787">
        <v>0</v>
      </c>
      <c r="DX190" s="787">
        <v>0</v>
      </c>
      <c r="DY190" s="787">
        <v>0</v>
      </c>
      <c r="DZ190" s="787">
        <v>0</v>
      </c>
      <c r="EA190" s="787">
        <v>0.36106627539265901</v>
      </c>
    </row>
    <row r="191" spans="1:131" ht="15.6">
      <c r="A191" s="782" t="s">
        <v>1485</v>
      </c>
      <c r="B191" s="782" t="s">
        <v>856</v>
      </c>
      <c r="C191" s="783">
        <v>3421</v>
      </c>
      <c r="D191" s="784" t="s">
        <v>857</v>
      </c>
      <c r="E191" s="785" t="s">
        <v>521</v>
      </c>
      <c r="F191" s="786">
        <v>0</v>
      </c>
      <c r="G191" s="785" t="s">
        <v>5</v>
      </c>
      <c r="H191" s="785" t="str">
        <f t="shared" si="14"/>
        <v>AX080</v>
      </c>
      <c r="I191" s="787">
        <v>0</v>
      </c>
      <c r="J191" s="787">
        <v>0</v>
      </c>
      <c r="K191" s="787">
        <v>0</v>
      </c>
      <c r="L191" s="787">
        <v>0</v>
      </c>
      <c r="M191" s="787">
        <v>13100</v>
      </c>
      <c r="N191" s="787">
        <v>223.46999999880791</v>
      </c>
      <c r="O191" s="787">
        <v>0</v>
      </c>
      <c r="P191" s="787">
        <v>60</v>
      </c>
      <c r="Q191" s="787">
        <v>69429.75</v>
      </c>
      <c r="R191" s="787">
        <v>39263.47</v>
      </c>
      <c r="S191" s="787">
        <v>0</v>
      </c>
      <c r="T191" s="787">
        <v>0</v>
      </c>
      <c r="U191" s="787">
        <v>25996.7</v>
      </c>
      <c r="V191" s="787">
        <v>13364.44</v>
      </c>
      <c r="W191" s="787">
        <v>0</v>
      </c>
      <c r="X191" s="787">
        <f t="shared" si="15"/>
        <v>161437.82999999882</v>
      </c>
      <c r="Y191" s="787">
        <v>3308476.1599999997</v>
      </c>
      <c r="Z191" s="787">
        <v>0</v>
      </c>
      <c r="AA191" s="787">
        <v>754728.64</v>
      </c>
      <c r="AB191" s="787">
        <v>76704.399999999994</v>
      </c>
      <c r="AC191" s="787">
        <v>261975.44</v>
      </c>
      <c r="AD191" s="787">
        <v>0</v>
      </c>
      <c r="AE191" s="787">
        <v>125027.55</v>
      </c>
      <c r="AF191" s="787">
        <v>24467.97</v>
      </c>
      <c r="AG191" s="787">
        <v>23005.7</v>
      </c>
      <c r="AH191" s="787">
        <v>0</v>
      </c>
      <c r="AI191" s="787">
        <v>0</v>
      </c>
      <c r="AJ191" s="787">
        <v>25182.03</v>
      </c>
      <c r="AK191" s="787">
        <v>0</v>
      </c>
      <c r="AL191" s="787">
        <v>76390.92</v>
      </c>
      <c r="AM191" s="787">
        <v>15801.44</v>
      </c>
      <c r="AN191" s="787">
        <v>36193.279999999999</v>
      </c>
      <c r="AO191" s="787">
        <v>0</v>
      </c>
      <c r="AP191" s="787">
        <v>30252.920000000002</v>
      </c>
      <c r="AQ191" s="787">
        <v>63930.33</v>
      </c>
      <c r="AR191" s="787">
        <v>0</v>
      </c>
      <c r="AS191" s="787">
        <v>0</v>
      </c>
      <c r="AT191" s="787">
        <v>0</v>
      </c>
      <c r="AU191" s="787">
        <v>20508.04</v>
      </c>
      <c r="AV191" s="787">
        <v>887</v>
      </c>
      <c r="AW191" s="787">
        <v>4082.85</v>
      </c>
      <c r="AX191" s="787">
        <v>35486.5</v>
      </c>
      <c r="AY191" s="787">
        <v>0</v>
      </c>
      <c r="AZ191" s="787">
        <v>73096.309999995865</v>
      </c>
      <c r="BA191" s="787">
        <v>24604.009999999995</v>
      </c>
      <c r="BB191" s="787">
        <v>15781.29</v>
      </c>
      <c r="BC191" s="787">
        <v>233408.23</v>
      </c>
      <c r="BD191" s="787">
        <v>72767.81</v>
      </c>
      <c r="BE191" s="787">
        <v>117131.36000000002</v>
      </c>
      <c r="BF191" s="787">
        <v>87374.03</v>
      </c>
      <c r="BG191" s="787">
        <v>0</v>
      </c>
      <c r="BH191" s="787">
        <v>0</v>
      </c>
      <c r="BI191" s="787">
        <v>0</v>
      </c>
      <c r="BJ191" s="787">
        <f t="shared" si="16"/>
        <v>5507264.2099999962</v>
      </c>
      <c r="BK191" s="787"/>
      <c r="BL191" s="787"/>
      <c r="BM191" s="787"/>
      <c r="BN191" s="787">
        <v>0</v>
      </c>
      <c r="BO191" s="787">
        <v>0</v>
      </c>
      <c r="BP191" s="787">
        <v>0</v>
      </c>
      <c r="BQ191" s="787">
        <f t="shared" si="17"/>
        <v>0</v>
      </c>
      <c r="BR191" s="787">
        <v>0</v>
      </c>
      <c r="BS191" s="787">
        <v>12143.71</v>
      </c>
      <c r="BT191" s="787">
        <v>0</v>
      </c>
      <c r="BU191" s="787">
        <v>0</v>
      </c>
      <c r="BV191" s="787">
        <v>0</v>
      </c>
      <c r="BW191" s="787">
        <v>0</v>
      </c>
      <c r="BX191" s="787">
        <v>0</v>
      </c>
      <c r="BY191" s="787">
        <v>0</v>
      </c>
      <c r="BZ191" s="787">
        <f t="shared" si="18"/>
        <v>12143.71</v>
      </c>
      <c r="CA191" s="787"/>
      <c r="CB191" s="787"/>
      <c r="CC191" s="787"/>
      <c r="CD191" s="787">
        <v>0</v>
      </c>
      <c r="CE191" s="787">
        <v>0</v>
      </c>
      <c r="CF191" s="787">
        <f t="shared" si="19"/>
        <v>0</v>
      </c>
      <c r="CG191" s="787">
        <v>0</v>
      </c>
      <c r="CH191" s="787">
        <v>0</v>
      </c>
      <c r="CI191" s="787">
        <f t="shared" si="20"/>
        <v>0</v>
      </c>
      <c r="CJ191" s="787"/>
      <c r="CK191" s="787"/>
      <c r="CL191" s="787"/>
      <c r="CM191" s="787"/>
      <c r="CN191" s="787"/>
      <c r="CO191" s="787"/>
      <c r="CP191" s="787"/>
      <c r="CQ191" s="787"/>
      <c r="CR191" s="787"/>
      <c r="CS191" s="787"/>
      <c r="CT191" s="787"/>
      <c r="CU191" s="787"/>
      <c r="CV191" s="787"/>
      <c r="CW191" s="787"/>
      <c r="CX191" s="787"/>
      <c r="CY191" s="787"/>
      <c r="CZ191" s="787"/>
      <c r="DA191" s="787"/>
      <c r="DB191" s="787"/>
      <c r="DC191" s="787"/>
      <c r="DD191" s="787"/>
      <c r="DE191" s="787"/>
      <c r="DF191" s="787"/>
      <c r="DG191" s="787"/>
      <c r="DH191" s="787"/>
      <c r="DI191" s="787"/>
      <c r="DJ191" s="787"/>
      <c r="DK191" s="787"/>
      <c r="DL191" s="787"/>
      <c r="DM191" s="787"/>
      <c r="DN191" s="787"/>
      <c r="DO191" s="787"/>
      <c r="DP191" s="787"/>
      <c r="DQ191" s="787"/>
      <c r="DR191" s="787"/>
      <c r="DS191" s="787"/>
      <c r="DT191" s="787"/>
      <c r="DU191" s="787"/>
      <c r="DV191" s="787"/>
      <c r="DW191" s="787"/>
      <c r="DX191" s="787"/>
      <c r="DY191" s="787"/>
      <c r="DZ191" s="787"/>
      <c r="EA191" s="787"/>
    </row>
    <row r="192" spans="1:131" ht="15.6">
      <c r="A192" s="782" t="s">
        <v>1486</v>
      </c>
      <c r="B192" s="782" t="s">
        <v>858</v>
      </c>
      <c r="C192" s="783">
        <v>2227</v>
      </c>
      <c r="D192" s="784" t="s">
        <v>859</v>
      </c>
      <c r="E192" s="785" t="s">
        <v>521</v>
      </c>
      <c r="F192" s="786">
        <v>46094</v>
      </c>
      <c r="G192" s="785" t="s">
        <v>5</v>
      </c>
      <c r="H192" s="785" t="str">
        <f t="shared" si="14"/>
        <v>AX081</v>
      </c>
      <c r="I192" s="787">
        <v>0</v>
      </c>
      <c r="J192" s="787">
        <v>0</v>
      </c>
      <c r="K192" s="787">
        <v>2500</v>
      </c>
      <c r="L192" s="787">
        <v>0</v>
      </c>
      <c r="M192" s="787">
        <v>11500</v>
      </c>
      <c r="N192" s="787">
        <v>0</v>
      </c>
      <c r="O192" s="787">
        <v>0</v>
      </c>
      <c r="P192" s="787">
        <v>0</v>
      </c>
      <c r="Q192" s="787">
        <v>56127.05</v>
      </c>
      <c r="R192" s="787">
        <v>0</v>
      </c>
      <c r="S192" s="787">
        <v>0</v>
      </c>
      <c r="T192" s="787">
        <v>0</v>
      </c>
      <c r="U192" s="787">
        <v>14850.45</v>
      </c>
      <c r="V192" s="787">
        <v>41979.26</v>
      </c>
      <c r="W192" s="787">
        <v>0</v>
      </c>
      <c r="X192" s="787">
        <f t="shared" si="15"/>
        <v>126956.76000000001</v>
      </c>
      <c r="Y192" s="787">
        <v>1570174.56</v>
      </c>
      <c r="Z192" s="787">
        <v>0</v>
      </c>
      <c r="AA192" s="787">
        <v>736713.5</v>
      </c>
      <c r="AB192" s="787">
        <v>103885.77</v>
      </c>
      <c r="AC192" s="787">
        <v>234980.46</v>
      </c>
      <c r="AD192" s="787">
        <v>0</v>
      </c>
      <c r="AE192" s="787">
        <v>59599.29</v>
      </c>
      <c r="AF192" s="787">
        <v>10407.39</v>
      </c>
      <c r="AG192" s="787">
        <v>5004.88</v>
      </c>
      <c r="AH192" s="787">
        <v>0</v>
      </c>
      <c r="AI192" s="787">
        <v>0</v>
      </c>
      <c r="AJ192" s="787">
        <v>43835.56</v>
      </c>
      <c r="AK192" s="787">
        <v>2310</v>
      </c>
      <c r="AL192" s="787">
        <v>2447.6799999999998</v>
      </c>
      <c r="AM192" s="787">
        <v>14391.740000000002</v>
      </c>
      <c r="AN192" s="787">
        <v>48703.59</v>
      </c>
      <c r="AO192" s="787">
        <v>0</v>
      </c>
      <c r="AP192" s="787">
        <v>10343.16</v>
      </c>
      <c r="AQ192" s="787">
        <v>103895</v>
      </c>
      <c r="AR192" s="787">
        <v>7136.53</v>
      </c>
      <c r="AS192" s="787">
        <v>0</v>
      </c>
      <c r="AT192" s="787">
        <v>24677.64</v>
      </c>
      <c r="AU192" s="787">
        <v>10642.54</v>
      </c>
      <c r="AV192" s="787">
        <v>65700.37</v>
      </c>
      <c r="AW192" s="787">
        <v>0</v>
      </c>
      <c r="AX192" s="787">
        <v>10800</v>
      </c>
      <c r="AY192" s="787">
        <v>0</v>
      </c>
      <c r="AZ192" s="787">
        <v>19292.04</v>
      </c>
      <c r="BA192" s="787">
        <v>0</v>
      </c>
      <c r="BB192" s="787">
        <v>6440</v>
      </c>
      <c r="BC192" s="787">
        <v>200115.21000000002</v>
      </c>
      <c r="BD192" s="787">
        <v>234214.82</v>
      </c>
      <c r="BE192" s="787">
        <v>12347.47</v>
      </c>
      <c r="BF192" s="787">
        <v>108519.98</v>
      </c>
      <c r="BG192" s="787">
        <v>0</v>
      </c>
      <c r="BH192" s="787">
        <v>0</v>
      </c>
      <c r="BI192" s="787">
        <v>0</v>
      </c>
      <c r="BJ192" s="787">
        <f t="shared" si="16"/>
        <v>3646579.1800000006</v>
      </c>
      <c r="BK192" s="787"/>
      <c r="BL192" s="787"/>
      <c r="BM192" s="787"/>
      <c r="BN192" s="787">
        <v>0</v>
      </c>
      <c r="BO192" s="787">
        <v>0</v>
      </c>
      <c r="BP192" s="787">
        <v>0</v>
      </c>
      <c r="BQ192" s="787">
        <f t="shared" si="17"/>
        <v>0</v>
      </c>
      <c r="BR192" s="787">
        <v>0</v>
      </c>
      <c r="BS192" s="787">
        <v>0</v>
      </c>
      <c r="BT192" s="787">
        <v>0</v>
      </c>
      <c r="BU192" s="787">
        <v>0</v>
      </c>
      <c r="BV192" s="787">
        <v>0</v>
      </c>
      <c r="BW192" s="787">
        <v>0</v>
      </c>
      <c r="BX192" s="787">
        <v>0</v>
      </c>
      <c r="BY192" s="787">
        <v>0</v>
      </c>
      <c r="BZ192" s="787">
        <f t="shared" si="18"/>
        <v>0</v>
      </c>
      <c r="CA192" s="787"/>
      <c r="CB192" s="787"/>
      <c r="CC192" s="787"/>
      <c r="CD192" s="787">
        <v>0</v>
      </c>
      <c r="CE192" s="787">
        <v>0</v>
      </c>
      <c r="CF192" s="787">
        <f t="shared" si="19"/>
        <v>0</v>
      </c>
      <c r="CG192" s="787">
        <v>0</v>
      </c>
      <c r="CH192" s="787">
        <v>0</v>
      </c>
      <c r="CI192" s="787">
        <f t="shared" si="20"/>
        <v>0</v>
      </c>
      <c r="CJ192" s="787"/>
      <c r="CK192" s="787"/>
      <c r="CL192" s="787"/>
      <c r="CM192" s="787"/>
      <c r="CN192" s="787"/>
      <c r="CO192" s="787"/>
      <c r="CP192" s="787"/>
      <c r="CQ192" s="787"/>
      <c r="CR192" s="787"/>
      <c r="CS192" s="787"/>
      <c r="CT192" s="787"/>
      <c r="CU192" s="787"/>
      <c r="CV192" s="787"/>
      <c r="CW192" s="787"/>
      <c r="CX192" s="787"/>
      <c r="CY192" s="787"/>
      <c r="CZ192" s="787"/>
      <c r="DA192" s="787"/>
      <c r="DB192" s="787"/>
      <c r="DC192" s="787"/>
      <c r="DD192" s="787"/>
      <c r="DE192" s="787"/>
      <c r="DF192" s="787"/>
      <c r="DG192" s="787"/>
      <c r="DH192" s="787"/>
      <c r="DI192" s="787"/>
      <c r="DJ192" s="787"/>
      <c r="DK192" s="787"/>
      <c r="DL192" s="787"/>
      <c r="DM192" s="787"/>
      <c r="DN192" s="787"/>
      <c r="DO192" s="787"/>
      <c r="DP192" s="787"/>
      <c r="DQ192" s="787"/>
      <c r="DR192" s="787"/>
      <c r="DS192" s="787"/>
      <c r="DT192" s="787"/>
      <c r="DU192" s="787"/>
      <c r="DV192" s="787"/>
      <c r="DW192" s="787"/>
      <c r="DX192" s="787"/>
      <c r="DY192" s="787"/>
      <c r="DZ192" s="787"/>
      <c r="EA192" s="787"/>
    </row>
    <row r="193" spans="1:131" ht="15.6">
      <c r="A193" s="782" t="s">
        <v>1487</v>
      </c>
      <c r="B193" s="782" t="s">
        <v>860</v>
      </c>
      <c r="C193" s="783">
        <v>2231</v>
      </c>
      <c r="D193" s="784" t="s">
        <v>861</v>
      </c>
      <c r="E193" s="785" t="s">
        <v>521</v>
      </c>
      <c r="F193" s="786">
        <v>0</v>
      </c>
      <c r="G193" s="785" t="s">
        <v>5</v>
      </c>
      <c r="H193" s="785" t="str">
        <f t="shared" si="14"/>
        <v>AX083</v>
      </c>
      <c r="I193" s="787">
        <v>0</v>
      </c>
      <c r="J193" s="787">
        <v>0</v>
      </c>
      <c r="K193" s="787">
        <v>0</v>
      </c>
      <c r="L193" s="787">
        <v>0</v>
      </c>
      <c r="M193" s="787">
        <v>0</v>
      </c>
      <c r="N193" s="787">
        <v>0</v>
      </c>
      <c r="O193" s="787">
        <v>0</v>
      </c>
      <c r="P193" s="787">
        <v>0</v>
      </c>
      <c r="Q193" s="787">
        <v>0</v>
      </c>
      <c r="R193" s="787">
        <v>0</v>
      </c>
      <c r="S193" s="787">
        <v>0</v>
      </c>
      <c r="T193" s="787">
        <v>0</v>
      </c>
      <c r="U193" s="787">
        <v>23940.840152982259</v>
      </c>
      <c r="V193" s="787">
        <v>7311.2698470164933</v>
      </c>
      <c r="W193" s="787">
        <v>0</v>
      </c>
      <c r="X193" s="787">
        <f t="shared" si="15"/>
        <v>31252.109999998753</v>
      </c>
      <c r="Y193" s="787">
        <v>1705267.7601974402</v>
      </c>
      <c r="Z193" s="787">
        <v>0</v>
      </c>
      <c r="AA193" s="787">
        <v>0</v>
      </c>
      <c r="AB193" s="787">
        <v>118650.86086847156</v>
      </c>
      <c r="AC193" s="787">
        <v>214959.05602887343</v>
      </c>
      <c r="AD193" s="787">
        <v>0</v>
      </c>
      <c r="AE193" s="787">
        <v>806465.37804733473</v>
      </c>
      <c r="AF193" s="787">
        <v>2773.6080421129809</v>
      </c>
      <c r="AG193" s="787">
        <v>111.8812921003878</v>
      </c>
      <c r="AH193" s="787">
        <v>0</v>
      </c>
      <c r="AI193" s="787">
        <v>0</v>
      </c>
      <c r="AJ193" s="787">
        <v>11883.832576258963</v>
      </c>
      <c r="AK193" s="787">
        <v>0</v>
      </c>
      <c r="AL193" s="787">
        <v>2640.851683613103</v>
      </c>
      <c r="AM193" s="787">
        <v>0</v>
      </c>
      <c r="AN193" s="787">
        <v>17303.655289645332</v>
      </c>
      <c r="AO193" s="787">
        <v>10695.963020768522</v>
      </c>
      <c r="AP193" s="787">
        <v>3450.2200000000003</v>
      </c>
      <c r="AQ193" s="787">
        <v>7184.9740921202847</v>
      </c>
      <c r="AR193" s="787">
        <v>0</v>
      </c>
      <c r="AS193" s="787">
        <v>0</v>
      </c>
      <c r="AT193" s="787">
        <v>0</v>
      </c>
      <c r="AU193" s="787">
        <v>0</v>
      </c>
      <c r="AV193" s="787">
        <v>0</v>
      </c>
      <c r="AW193" s="787">
        <v>0</v>
      </c>
      <c r="AX193" s="787">
        <v>0</v>
      </c>
      <c r="AY193" s="787">
        <v>0</v>
      </c>
      <c r="AZ193" s="787">
        <v>19.836992170942821</v>
      </c>
      <c r="BA193" s="787">
        <v>3942.0090820604164</v>
      </c>
      <c r="BB193" s="787">
        <v>0</v>
      </c>
      <c r="BC193" s="787">
        <v>118647.58725324376</v>
      </c>
      <c r="BD193" s="787">
        <v>7209.05</v>
      </c>
      <c r="BE193" s="787">
        <v>4656.7901016786182</v>
      </c>
      <c r="BF193" s="787">
        <v>3166.6654321071787</v>
      </c>
      <c r="BG193" s="787">
        <v>0</v>
      </c>
      <c r="BH193" s="787">
        <v>0</v>
      </c>
      <c r="BI193" s="787">
        <v>0</v>
      </c>
      <c r="BJ193" s="787">
        <f t="shared" si="16"/>
        <v>3039029.9800000004</v>
      </c>
      <c r="BK193" s="787"/>
      <c r="BL193" s="787"/>
      <c r="BM193" s="787"/>
      <c r="BN193" s="787">
        <v>0</v>
      </c>
      <c r="BO193" s="787">
        <v>0</v>
      </c>
      <c r="BP193" s="787">
        <v>0</v>
      </c>
      <c r="BQ193" s="787">
        <f t="shared" si="17"/>
        <v>0</v>
      </c>
      <c r="BR193" s="787">
        <v>0</v>
      </c>
      <c r="BS193" s="787">
        <v>0</v>
      </c>
      <c r="BT193" s="787">
        <v>0</v>
      </c>
      <c r="BU193" s="787">
        <v>0</v>
      </c>
      <c r="BV193" s="787">
        <v>0</v>
      </c>
      <c r="BW193" s="787">
        <v>0</v>
      </c>
      <c r="BX193" s="787">
        <v>0</v>
      </c>
      <c r="BY193" s="787">
        <v>0</v>
      </c>
      <c r="BZ193" s="787">
        <f t="shared" si="18"/>
        <v>0</v>
      </c>
      <c r="CA193" s="787"/>
      <c r="CB193" s="787"/>
      <c r="CC193" s="787"/>
      <c r="CD193" s="787">
        <v>0</v>
      </c>
      <c r="CE193" s="787">
        <v>0</v>
      </c>
      <c r="CF193" s="787">
        <f t="shared" si="19"/>
        <v>0</v>
      </c>
      <c r="CG193" s="787">
        <v>0</v>
      </c>
      <c r="CH193" s="787">
        <v>0</v>
      </c>
      <c r="CI193" s="787">
        <f t="shared" si="20"/>
        <v>0</v>
      </c>
      <c r="CJ193" s="787"/>
      <c r="CK193" s="787"/>
      <c r="CL193" s="787"/>
      <c r="CM193" s="787"/>
      <c r="CN193" s="787"/>
      <c r="CO193" s="787"/>
      <c r="CP193" s="787"/>
      <c r="CQ193" s="787"/>
      <c r="CR193" s="787"/>
      <c r="CS193" s="787"/>
      <c r="CT193" s="787"/>
      <c r="CU193" s="787"/>
      <c r="CV193" s="787"/>
      <c r="CW193" s="787"/>
      <c r="CX193" s="787"/>
      <c r="CY193" s="787"/>
      <c r="CZ193" s="787"/>
      <c r="DA193" s="787"/>
      <c r="DB193" s="787"/>
      <c r="DC193" s="787"/>
      <c r="DD193" s="787"/>
      <c r="DE193" s="787"/>
      <c r="DF193" s="787"/>
      <c r="DG193" s="787"/>
      <c r="DH193" s="787"/>
      <c r="DI193" s="787"/>
      <c r="DJ193" s="787"/>
      <c r="DK193" s="787"/>
      <c r="DL193" s="787"/>
      <c r="DM193" s="787"/>
      <c r="DN193" s="787"/>
      <c r="DO193" s="787"/>
      <c r="DP193" s="787"/>
      <c r="DQ193" s="787"/>
      <c r="DR193" s="787"/>
      <c r="DS193" s="787"/>
      <c r="DT193" s="787"/>
      <c r="DU193" s="787"/>
      <c r="DV193" s="787"/>
      <c r="DW193" s="787"/>
      <c r="DX193" s="787"/>
      <c r="DY193" s="787"/>
      <c r="DZ193" s="787"/>
      <c r="EA193" s="787"/>
    </row>
    <row r="195" spans="1:131">
      <c r="BN195" s="788">
        <f t="shared" ref="BN195:BY195" si="21">SUM(BN8:BN194)</f>
        <v>358345.84000000008</v>
      </c>
      <c r="BO195" s="788">
        <f t="shared" si="21"/>
        <v>152033</v>
      </c>
      <c r="BP195" s="788">
        <f t="shared" si="21"/>
        <v>1197772.3500000001</v>
      </c>
      <c r="BQ195" s="788">
        <f t="shared" si="21"/>
        <v>1708151.19</v>
      </c>
      <c r="BR195" s="788">
        <f t="shared" si="21"/>
        <v>249100.18999999997</v>
      </c>
      <c r="BS195" s="788">
        <f t="shared" si="21"/>
        <v>1682138.2800000003</v>
      </c>
      <c r="BT195" s="788">
        <f t="shared" si="21"/>
        <v>437908.44999999995</v>
      </c>
      <c r="BU195" s="788">
        <f t="shared" si="21"/>
        <v>25467.72</v>
      </c>
      <c r="BV195" s="788">
        <f t="shared" si="21"/>
        <v>20636.61</v>
      </c>
      <c r="BW195" s="788">
        <f t="shared" si="21"/>
        <v>137018.88999999998</v>
      </c>
      <c r="BX195" s="788">
        <f t="shared" si="21"/>
        <v>696129.58</v>
      </c>
      <c r="BY195" s="788">
        <f t="shared" si="21"/>
        <v>242522.32</v>
      </c>
      <c r="BZ195" s="788">
        <f>SUM(BZ8:BZ194)</f>
        <v>3490922.0400000005</v>
      </c>
    </row>
  </sheetData>
  <autoFilter ref="A7:EA193" xr:uid="{16ED3D5E-19EB-4B62-885B-7C9E9E134D47}"/>
  <mergeCells count="10">
    <mergeCell ref="DC5:DK5"/>
    <mergeCell ref="DL5:DT5"/>
    <mergeCell ref="DU5:DV5"/>
    <mergeCell ref="DW5:DX5"/>
    <mergeCell ref="A2:D2"/>
    <mergeCell ref="I5:BM5"/>
    <mergeCell ref="BN5:CC5"/>
    <mergeCell ref="CD5:CL5"/>
    <mergeCell ref="CM5:CR5"/>
    <mergeCell ref="CS5:DB5"/>
  </mergeCells>
  <conditionalFormatting sqref="A7:D7">
    <cfRule type="cellIs" dxfId="84" priority="1" operator="lessThan">
      <formula>0</formula>
    </cfRule>
  </conditionalFormatting>
  <pageMargins left="0.7" right="0.7" top="0.75" bottom="0.75" header="0.3" footer="0.3"/>
  <headerFooter>
    <oddFooter>&amp;C_x000D_&amp;1#&amp;"Aptos"&amp;10&amp;K000000 OFFICIAL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46274-B25E-4698-9132-6E132464FC06}">
  <dimension ref="A3:EA192"/>
  <sheetViews>
    <sheetView topLeftCell="AF1" zoomScale="70" zoomScaleNormal="70" workbookViewId="0">
      <selection activeCell="BM198" sqref="BM198"/>
    </sheetView>
  </sheetViews>
  <sheetFormatPr defaultRowHeight="14.4"/>
  <cols>
    <col min="4" max="4" width="80.5546875" customWidth="1"/>
    <col min="5" max="5" width="15.44140625" bestFit="1" customWidth="1"/>
    <col min="6" max="6" width="15.33203125" bestFit="1" customWidth="1"/>
    <col min="7" max="7" width="13.88671875" bestFit="1" customWidth="1"/>
    <col min="8" max="8" width="11.109375" customWidth="1"/>
    <col min="9" max="9" width="12" bestFit="1" customWidth="1"/>
    <col min="10" max="10" width="11.109375" bestFit="1" customWidth="1"/>
    <col min="11" max="11" width="11.5546875" bestFit="1" customWidth="1"/>
    <col min="12" max="12" width="8.88671875" bestFit="1" customWidth="1"/>
    <col min="13" max="13" width="9.6640625" bestFit="1" customWidth="1"/>
    <col min="14" max="14" width="9.33203125" bestFit="1" customWidth="1"/>
    <col min="15" max="15" width="8.88671875" bestFit="1" customWidth="1"/>
    <col min="16" max="16" width="8.6640625" bestFit="1" customWidth="1"/>
    <col min="17" max="17" width="9.109375" bestFit="1" customWidth="1"/>
    <col min="18" max="18" width="9" bestFit="1" customWidth="1"/>
    <col min="21" max="21" width="8.5546875" bestFit="1" customWidth="1"/>
    <col min="22" max="22" width="9" bestFit="1" customWidth="1"/>
    <col min="24" max="24" width="11.44140625" bestFit="1" customWidth="1"/>
    <col min="25" max="25" width="9.5546875" bestFit="1" customWidth="1"/>
    <col min="26" max="26" width="7.6640625" bestFit="1" customWidth="1"/>
    <col min="27" max="27" width="9.5546875" bestFit="1" customWidth="1"/>
    <col min="28" max="28" width="8.6640625" bestFit="1" customWidth="1"/>
    <col min="29" max="29" width="9.109375" bestFit="1" customWidth="1"/>
    <col min="31" max="31" width="8" bestFit="1" customWidth="1"/>
    <col min="32" max="32" width="8.88671875" bestFit="1" customWidth="1"/>
    <col min="33" max="33" width="9" bestFit="1" customWidth="1"/>
    <col min="34" max="34" width="8.44140625" bestFit="1" customWidth="1"/>
    <col min="35" max="35" width="8.33203125" bestFit="1" customWidth="1"/>
    <col min="38" max="38" width="8.88671875" bestFit="1" customWidth="1"/>
    <col min="39" max="39" width="9" bestFit="1" customWidth="1"/>
    <col min="40" max="40" width="7.88671875" bestFit="1" customWidth="1"/>
    <col min="41" max="41" width="8.6640625" bestFit="1" customWidth="1"/>
    <col min="42" max="42" width="8.88671875" bestFit="1" customWidth="1"/>
    <col min="43" max="43" width="9.5546875" bestFit="1" customWidth="1"/>
    <col min="44" max="44" width="9" bestFit="1" customWidth="1"/>
    <col min="45" max="45" width="7.88671875" bestFit="1" customWidth="1"/>
    <col min="46" max="46" width="9" bestFit="1" customWidth="1"/>
    <col min="47" max="48" width="8.88671875" bestFit="1" customWidth="1"/>
    <col min="49" max="49" width="8.44140625" bestFit="1" customWidth="1"/>
    <col min="50" max="50" width="8.6640625" bestFit="1" customWidth="1"/>
    <col min="51" max="51" width="6.44140625" bestFit="1" customWidth="1"/>
    <col min="52" max="52" width="8.88671875" bestFit="1" customWidth="1"/>
    <col min="53" max="53" width="8.33203125" bestFit="1" customWidth="1"/>
    <col min="54" max="54" width="9" bestFit="1" customWidth="1"/>
    <col min="56" max="56" width="9.44140625" bestFit="1" customWidth="1"/>
    <col min="58" max="58" width="9.44140625" bestFit="1" customWidth="1"/>
    <col min="60" max="60" width="8.5546875" bestFit="1" customWidth="1"/>
    <col min="61" max="61" width="9.44140625" bestFit="1" customWidth="1"/>
    <col min="62" max="62" width="10.5546875" bestFit="1" customWidth="1"/>
    <col min="63" max="63" width="9.88671875" bestFit="1" customWidth="1"/>
    <col min="64" max="64" width="9.33203125" bestFit="1" customWidth="1"/>
    <col min="65" max="65" width="9.88671875" bestFit="1" customWidth="1"/>
    <col min="66" max="66" width="8.109375" bestFit="1" customWidth="1"/>
    <col min="67" max="67" width="8.6640625" bestFit="1" customWidth="1"/>
    <col min="68" max="70" width="9" bestFit="1" customWidth="1"/>
    <col min="72" max="72" width="8.88671875" bestFit="1" customWidth="1"/>
    <col min="73" max="73" width="9" bestFit="1" customWidth="1"/>
    <col min="74" max="74" width="7.88671875" bestFit="1" customWidth="1"/>
    <col min="75" max="76" width="8.88671875" bestFit="1" customWidth="1"/>
    <col min="77" max="77" width="8.44140625" bestFit="1" customWidth="1"/>
    <col min="78" max="78" width="9" bestFit="1" customWidth="1"/>
    <col min="79" max="79" width="8.5546875" bestFit="1" customWidth="1"/>
    <col min="80" max="80" width="9" bestFit="1" customWidth="1"/>
    <col min="81" max="82" width="8.5546875" bestFit="1" customWidth="1"/>
    <col min="83" max="83" width="9" bestFit="1" customWidth="1"/>
    <col min="85" max="86" width="8.5546875" bestFit="1" customWidth="1"/>
    <col min="88" max="89" width="8.5546875" bestFit="1" customWidth="1"/>
    <col min="90" max="90" width="8.88671875" bestFit="1" customWidth="1"/>
    <col min="91" max="91" width="9.44140625" bestFit="1" customWidth="1"/>
    <col min="92" max="92" width="10.5546875" bestFit="1" customWidth="1"/>
    <col min="93" max="93" width="8.88671875" bestFit="1" customWidth="1"/>
    <col min="94" max="94" width="8.5546875" bestFit="1" customWidth="1"/>
    <col min="95" max="95" width="9" bestFit="1" customWidth="1"/>
    <col min="96" max="96" width="10.33203125" bestFit="1" customWidth="1"/>
    <col min="97" max="97" width="8.5546875" bestFit="1" customWidth="1"/>
    <col min="100" max="100" width="9.109375" bestFit="1" customWidth="1"/>
    <col min="101" max="101" width="8.5546875" bestFit="1" customWidth="1"/>
    <col min="102" max="104" width="9" bestFit="1" customWidth="1"/>
    <col min="105" max="105" width="8.88671875" bestFit="1" customWidth="1"/>
    <col min="106" max="106" width="9.109375" bestFit="1" customWidth="1"/>
    <col min="107" max="107" width="8.5546875" bestFit="1" customWidth="1"/>
    <col min="110" max="110" width="9.109375" bestFit="1" customWidth="1"/>
    <col min="111" max="111" width="8.5546875" bestFit="1" customWidth="1"/>
    <col min="112" max="113" width="9" bestFit="1" customWidth="1"/>
    <col min="114" max="114" width="10.33203125" bestFit="1" customWidth="1"/>
    <col min="115" max="115" width="9.109375" bestFit="1" customWidth="1"/>
    <col min="116" max="117" width="8.6640625" bestFit="1" customWidth="1"/>
    <col min="120" max="120" width="10.33203125" bestFit="1" customWidth="1"/>
    <col min="121" max="121" width="9.44140625" bestFit="1" customWidth="1"/>
    <col min="122" max="122" width="9.33203125" bestFit="1" customWidth="1"/>
    <col min="124" max="124" width="9.109375" bestFit="1" customWidth="1"/>
    <col min="125" max="126" width="8.6640625" bestFit="1" customWidth="1"/>
    <col min="127" max="128" width="9.44140625" bestFit="1" customWidth="1"/>
    <col min="129" max="129" width="8.5546875" bestFit="1" customWidth="1"/>
    <col min="130" max="130" width="10.33203125" bestFit="1" customWidth="1"/>
    <col min="131" max="131" width="9" bestFit="1" customWidth="1"/>
  </cols>
  <sheetData>
    <row r="3" spans="1:131">
      <c r="A3" s="76" t="s">
        <v>1292</v>
      </c>
    </row>
    <row r="4" spans="1:131" ht="15.6">
      <c r="E4" s="864"/>
      <c r="F4" s="864"/>
      <c r="G4" s="864"/>
      <c r="H4" s="864"/>
      <c r="I4" s="845" t="s">
        <v>461</v>
      </c>
      <c r="J4" s="846"/>
      <c r="K4" s="846"/>
      <c r="L4" s="846"/>
      <c r="M4" s="846"/>
      <c r="N4" s="846"/>
      <c r="O4" s="846"/>
      <c r="P4" s="846"/>
      <c r="Q4" s="846"/>
      <c r="R4" s="846"/>
      <c r="S4" s="846"/>
      <c r="T4" s="846"/>
      <c r="U4" s="846"/>
      <c r="V4" s="846"/>
      <c r="W4" s="846"/>
      <c r="X4" s="846"/>
      <c r="Y4" s="846"/>
      <c r="Z4" s="846"/>
      <c r="AA4" s="846"/>
      <c r="AB4" s="846"/>
      <c r="AC4" s="846"/>
      <c r="AD4" s="846"/>
      <c r="AE4" s="846"/>
      <c r="AF4" s="846"/>
      <c r="AG4" s="846"/>
      <c r="AH4" s="846"/>
      <c r="AI4" s="846"/>
      <c r="AJ4" s="846"/>
      <c r="AK4" s="846"/>
      <c r="AL4" s="846"/>
      <c r="AM4" s="846"/>
      <c r="AN4" s="846"/>
      <c r="AO4" s="846"/>
      <c r="AP4" s="846"/>
      <c r="AQ4" s="846"/>
      <c r="AR4" s="846"/>
      <c r="AS4" s="846"/>
      <c r="AT4" s="846"/>
      <c r="AU4" s="846"/>
      <c r="AV4" s="846"/>
      <c r="AW4" s="846"/>
      <c r="AX4" s="846"/>
      <c r="AY4" s="846"/>
      <c r="AZ4" s="846"/>
      <c r="BA4" s="846"/>
      <c r="BB4" s="846"/>
      <c r="BC4" s="846"/>
      <c r="BD4" s="846"/>
      <c r="BE4" s="846"/>
      <c r="BF4" s="846"/>
      <c r="BG4" s="846"/>
      <c r="BH4" s="846"/>
      <c r="BI4" s="846"/>
      <c r="BJ4" s="846"/>
      <c r="BK4" s="846"/>
      <c r="BL4" s="846"/>
      <c r="BM4" s="847"/>
      <c r="BN4" s="848" t="s">
        <v>462</v>
      </c>
      <c r="BO4" s="849"/>
      <c r="BP4" s="849"/>
      <c r="BQ4" s="849"/>
      <c r="BR4" s="849"/>
      <c r="BS4" s="849"/>
      <c r="BT4" s="849"/>
      <c r="BU4" s="849"/>
      <c r="BV4" s="849"/>
      <c r="BW4" s="849"/>
      <c r="BX4" s="849"/>
      <c r="BY4" s="849"/>
      <c r="BZ4" s="849"/>
      <c r="CA4" s="849"/>
      <c r="CB4" s="849"/>
      <c r="CC4" s="850"/>
      <c r="CD4" s="851" t="s">
        <v>463</v>
      </c>
      <c r="CE4" s="852"/>
      <c r="CF4" s="852"/>
      <c r="CG4" s="852"/>
      <c r="CH4" s="852"/>
      <c r="CI4" s="852"/>
      <c r="CJ4" s="852"/>
      <c r="CK4" s="852"/>
      <c r="CL4" s="853"/>
      <c r="CM4" s="854" t="s">
        <v>464</v>
      </c>
      <c r="CN4" s="854"/>
      <c r="CO4" s="854"/>
      <c r="CP4" s="854"/>
      <c r="CQ4" s="854"/>
      <c r="CR4" s="854"/>
      <c r="CS4" s="855" t="s">
        <v>465</v>
      </c>
      <c r="CT4" s="856"/>
      <c r="CU4" s="856"/>
      <c r="CV4" s="856"/>
      <c r="CW4" s="856"/>
      <c r="CX4" s="856"/>
      <c r="CY4" s="856"/>
      <c r="CZ4" s="856"/>
      <c r="DA4" s="856"/>
      <c r="DB4" s="857"/>
      <c r="DC4" s="836" t="s">
        <v>466</v>
      </c>
      <c r="DD4" s="837"/>
      <c r="DE4" s="837"/>
      <c r="DF4" s="837"/>
      <c r="DG4" s="837"/>
      <c r="DH4" s="837"/>
      <c r="DI4" s="837"/>
      <c r="DJ4" s="837"/>
      <c r="DK4" s="838"/>
      <c r="DL4" s="839" t="s">
        <v>467</v>
      </c>
      <c r="DM4" s="839"/>
      <c r="DN4" s="839"/>
      <c r="DO4" s="839"/>
      <c r="DP4" s="839"/>
      <c r="DQ4" s="839"/>
      <c r="DR4" s="839"/>
      <c r="DS4" s="839"/>
      <c r="DT4" s="839"/>
      <c r="DU4" s="840" t="s">
        <v>468</v>
      </c>
      <c r="DV4" s="840"/>
      <c r="DW4" s="841" t="s">
        <v>469</v>
      </c>
      <c r="DX4" s="841"/>
      <c r="DY4" s="102"/>
      <c r="DZ4" s="102"/>
      <c r="EA4" s="103"/>
    </row>
    <row r="5" spans="1:131" ht="124.8">
      <c r="E5" s="104" t="s">
        <v>471</v>
      </c>
      <c r="F5" s="104" t="s">
        <v>472</v>
      </c>
      <c r="G5" s="104" t="s">
        <v>473</v>
      </c>
      <c r="H5" s="104" t="s">
        <v>474</v>
      </c>
      <c r="I5" s="105" t="s">
        <v>475</v>
      </c>
      <c r="J5" s="105" t="s">
        <v>80</v>
      </c>
      <c r="K5" s="105" t="s">
        <v>476</v>
      </c>
      <c r="L5" s="105" t="s">
        <v>84</v>
      </c>
      <c r="M5" s="105" t="s">
        <v>86</v>
      </c>
      <c r="N5" s="105" t="s">
        <v>88</v>
      </c>
      <c r="O5" s="105" t="s">
        <v>477</v>
      </c>
      <c r="P5" s="105" t="s">
        <v>93</v>
      </c>
      <c r="Q5" s="105" t="s">
        <v>95</v>
      </c>
      <c r="R5" s="105" t="s">
        <v>97</v>
      </c>
      <c r="S5" s="105" t="s">
        <v>99</v>
      </c>
      <c r="T5" s="105" t="s">
        <v>101</v>
      </c>
      <c r="U5" s="105" t="s">
        <v>478</v>
      </c>
      <c r="V5" s="105" t="s">
        <v>105</v>
      </c>
      <c r="W5" s="105" t="s">
        <v>479</v>
      </c>
      <c r="X5" s="105" t="s">
        <v>480</v>
      </c>
      <c r="Y5" s="105" t="s">
        <v>111</v>
      </c>
      <c r="Z5" s="105" t="s">
        <v>481</v>
      </c>
      <c r="AA5" s="105" t="s">
        <v>115</v>
      </c>
      <c r="AB5" s="105" t="s">
        <v>117</v>
      </c>
      <c r="AC5" s="105" t="s">
        <v>119</v>
      </c>
      <c r="AD5" s="105" t="s">
        <v>121</v>
      </c>
      <c r="AE5" s="105" t="s">
        <v>123</v>
      </c>
      <c r="AF5" s="105" t="s">
        <v>125</v>
      </c>
      <c r="AG5" s="105" t="s">
        <v>482</v>
      </c>
      <c r="AH5" s="105" t="s">
        <v>129</v>
      </c>
      <c r="AI5" s="105" t="s">
        <v>131</v>
      </c>
      <c r="AJ5" s="105" t="s">
        <v>133</v>
      </c>
      <c r="AK5" s="105" t="s">
        <v>135</v>
      </c>
      <c r="AL5" s="105" t="s">
        <v>137</v>
      </c>
      <c r="AM5" s="105" t="s">
        <v>139</v>
      </c>
      <c r="AN5" s="105" t="s">
        <v>141</v>
      </c>
      <c r="AO5" s="105" t="s">
        <v>143</v>
      </c>
      <c r="AP5" s="105" t="s">
        <v>145</v>
      </c>
      <c r="AQ5" s="105" t="s">
        <v>483</v>
      </c>
      <c r="AR5" s="105" t="s">
        <v>150</v>
      </c>
      <c r="AS5" s="105" t="s">
        <v>152</v>
      </c>
      <c r="AT5" s="105" t="s">
        <v>154</v>
      </c>
      <c r="AU5" s="105" t="s">
        <v>156</v>
      </c>
      <c r="AV5" s="105" t="s">
        <v>158</v>
      </c>
      <c r="AW5" s="105" t="s">
        <v>160</v>
      </c>
      <c r="AX5" s="105" t="s">
        <v>162</v>
      </c>
      <c r="AY5" s="105" t="s">
        <v>484</v>
      </c>
      <c r="AZ5" s="105" t="s">
        <v>166</v>
      </c>
      <c r="BA5" s="105" t="s">
        <v>168</v>
      </c>
      <c r="BB5" s="105" t="s">
        <v>170</v>
      </c>
      <c r="BC5" s="105" t="s">
        <v>172</v>
      </c>
      <c r="BD5" s="105" t="s">
        <v>174</v>
      </c>
      <c r="BE5" s="105" t="s">
        <v>176</v>
      </c>
      <c r="BF5" s="105" t="s">
        <v>179</v>
      </c>
      <c r="BG5" s="105" t="s">
        <v>181</v>
      </c>
      <c r="BH5" s="105" t="s">
        <v>183</v>
      </c>
      <c r="BI5" s="105" t="s">
        <v>185</v>
      </c>
      <c r="BJ5" s="105" t="s">
        <v>485</v>
      </c>
      <c r="BK5" s="105" t="s">
        <v>486</v>
      </c>
      <c r="BL5" s="105" t="s">
        <v>487</v>
      </c>
      <c r="BM5" s="105" t="s">
        <v>488</v>
      </c>
      <c r="BN5" s="106" t="s">
        <v>489</v>
      </c>
      <c r="BO5" s="106" t="s">
        <v>195</v>
      </c>
      <c r="BP5" s="106" t="s">
        <v>197</v>
      </c>
      <c r="BQ5" s="106" t="s">
        <v>490</v>
      </c>
      <c r="BR5" s="106" t="s">
        <v>201</v>
      </c>
      <c r="BS5" s="106" t="s">
        <v>491</v>
      </c>
      <c r="BT5" s="106" t="s">
        <v>205</v>
      </c>
      <c r="BU5" s="106" t="s">
        <v>150</v>
      </c>
      <c r="BV5" s="106" t="s">
        <v>152</v>
      </c>
      <c r="BW5" s="106" t="s">
        <v>156</v>
      </c>
      <c r="BX5" s="106" t="s">
        <v>210</v>
      </c>
      <c r="BY5" s="106" t="s">
        <v>160</v>
      </c>
      <c r="BZ5" s="106" t="s">
        <v>492</v>
      </c>
      <c r="CA5" s="106" t="s">
        <v>493</v>
      </c>
      <c r="CB5" s="106" t="s">
        <v>494</v>
      </c>
      <c r="CC5" s="106" t="s">
        <v>495</v>
      </c>
      <c r="CD5" s="107" t="s">
        <v>496</v>
      </c>
      <c r="CE5" s="107" t="s">
        <v>222</v>
      </c>
      <c r="CF5" s="107" t="s">
        <v>497</v>
      </c>
      <c r="CG5" s="107" t="s">
        <v>226</v>
      </c>
      <c r="CH5" s="107" t="s">
        <v>228</v>
      </c>
      <c r="CI5" s="107" t="s">
        <v>498</v>
      </c>
      <c r="CJ5" s="107" t="s">
        <v>499</v>
      </c>
      <c r="CK5" s="107" t="s">
        <v>500</v>
      </c>
      <c r="CL5" s="107" t="s">
        <v>501</v>
      </c>
      <c r="CM5" s="98" t="s">
        <v>235</v>
      </c>
      <c r="CN5" s="98" t="s">
        <v>237</v>
      </c>
      <c r="CO5" s="98" t="s">
        <v>502</v>
      </c>
      <c r="CP5" s="98" t="s">
        <v>241</v>
      </c>
      <c r="CQ5" s="98" t="s">
        <v>243</v>
      </c>
      <c r="CR5" s="98" t="s">
        <v>503</v>
      </c>
      <c r="CS5" s="108" t="s">
        <v>504</v>
      </c>
      <c r="CT5" s="108" t="s">
        <v>505</v>
      </c>
      <c r="CU5" s="108" t="s">
        <v>506</v>
      </c>
      <c r="CV5" s="108" t="s">
        <v>257</v>
      </c>
      <c r="CW5" s="108" t="s">
        <v>258</v>
      </c>
      <c r="CX5" s="108" t="s">
        <v>507</v>
      </c>
      <c r="CY5" s="108" t="s">
        <v>508</v>
      </c>
      <c r="CZ5" s="108" t="s">
        <v>509</v>
      </c>
      <c r="DA5" s="108" t="s">
        <v>510</v>
      </c>
      <c r="DB5" s="108" t="s">
        <v>511</v>
      </c>
      <c r="DC5" s="109" t="s">
        <v>504</v>
      </c>
      <c r="DD5" s="109" t="s">
        <v>505</v>
      </c>
      <c r="DE5" s="109" t="s">
        <v>506</v>
      </c>
      <c r="DF5" s="109" t="s">
        <v>257</v>
      </c>
      <c r="DG5" s="109" t="s">
        <v>258</v>
      </c>
      <c r="DH5" s="109" t="s">
        <v>512</v>
      </c>
      <c r="DI5" s="109" t="s">
        <v>509</v>
      </c>
      <c r="DJ5" s="109" t="s">
        <v>510</v>
      </c>
      <c r="DK5" s="109" t="s">
        <v>511</v>
      </c>
      <c r="DL5" s="99" t="s">
        <v>265</v>
      </c>
      <c r="DM5" s="99" t="s">
        <v>267</v>
      </c>
      <c r="DN5" s="99" t="s">
        <v>513</v>
      </c>
      <c r="DO5" s="99" t="s">
        <v>514</v>
      </c>
      <c r="DP5" s="99" t="s">
        <v>270</v>
      </c>
      <c r="DQ5" s="99" t="s">
        <v>272</v>
      </c>
      <c r="DR5" s="99" t="s">
        <v>515</v>
      </c>
      <c r="DS5" s="99" t="s">
        <v>516</v>
      </c>
      <c r="DT5" s="99" t="s">
        <v>517</v>
      </c>
      <c r="DU5" s="110" t="s">
        <v>265</v>
      </c>
      <c r="DV5" s="110" t="s">
        <v>267</v>
      </c>
      <c r="DW5" s="111" t="s">
        <v>270</v>
      </c>
      <c r="DX5" s="111" t="s">
        <v>272</v>
      </c>
      <c r="DY5" s="112" t="s">
        <v>518</v>
      </c>
      <c r="DZ5" s="112" t="s">
        <v>519</v>
      </c>
      <c r="EA5" s="113" t="s">
        <v>520</v>
      </c>
    </row>
    <row r="6" spans="1:131" ht="15.6">
      <c r="A6" s="781" t="s">
        <v>1293</v>
      </c>
      <c r="B6" s="781" t="s">
        <v>1162</v>
      </c>
      <c r="C6" s="781" t="s">
        <v>315</v>
      </c>
      <c r="D6" s="781" t="s">
        <v>526</v>
      </c>
      <c r="E6" s="119"/>
      <c r="F6" s="119"/>
      <c r="G6" s="119"/>
      <c r="H6" s="119"/>
      <c r="I6" s="120" t="s">
        <v>77</v>
      </c>
      <c r="J6" s="120" t="s">
        <v>79</v>
      </c>
      <c r="K6" s="120" t="s">
        <v>81</v>
      </c>
      <c r="L6" s="120" t="s">
        <v>83</v>
      </c>
      <c r="M6" s="120" t="s">
        <v>85</v>
      </c>
      <c r="N6" s="120" t="s">
        <v>87</v>
      </c>
      <c r="O6" s="120" t="s">
        <v>89</v>
      </c>
      <c r="P6" s="120" t="s">
        <v>92</v>
      </c>
      <c r="Q6" s="120" t="s">
        <v>94</v>
      </c>
      <c r="R6" s="120" t="s">
        <v>96</v>
      </c>
      <c r="S6" s="120" t="s">
        <v>98</v>
      </c>
      <c r="T6" s="120" t="s">
        <v>100</v>
      </c>
      <c r="U6" s="120" t="s">
        <v>102</v>
      </c>
      <c r="V6" s="120" t="s">
        <v>104</v>
      </c>
      <c r="W6" s="120" t="s">
        <v>106</v>
      </c>
      <c r="X6" s="121"/>
      <c r="Y6" s="120" t="s">
        <v>110</v>
      </c>
      <c r="Z6" s="120" t="s">
        <v>112</v>
      </c>
      <c r="AA6" s="120" t="s">
        <v>114</v>
      </c>
      <c r="AB6" s="120" t="s">
        <v>116</v>
      </c>
      <c r="AC6" s="120" t="s">
        <v>118</v>
      </c>
      <c r="AD6" s="120" t="s">
        <v>120</v>
      </c>
      <c r="AE6" s="120" t="s">
        <v>122</v>
      </c>
      <c r="AF6" s="120" t="s">
        <v>124</v>
      </c>
      <c r="AG6" s="120" t="s">
        <v>126</v>
      </c>
      <c r="AH6" s="120" t="s">
        <v>128</v>
      </c>
      <c r="AI6" s="120" t="s">
        <v>130</v>
      </c>
      <c r="AJ6" s="120" t="s">
        <v>132</v>
      </c>
      <c r="AK6" s="120" t="s">
        <v>134</v>
      </c>
      <c r="AL6" s="120" t="s">
        <v>136</v>
      </c>
      <c r="AM6" s="120" t="s">
        <v>138</v>
      </c>
      <c r="AN6" s="120" t="s">
        <v>140</v>
      </c>
      <c r="AO6" s="120" t="s">
        <v>142</v>
      </c>
      <c r="AP6" s="120" t="s">
        <v>144</v>
      </c>
      <c r="AQ6" s="120" t="s">
        <v>146</v>
      </c>
      <c r="AR6" s="120" t="s">
        <v>149</v>
      </c>
      <c r="AS6" s="120" t="s">
        <v>151</v>
      </c>
      <c r="AT6" s="120" t="s">
        <v>153</v>
      </c>
      <c r="AU6" s="120" t="s">
        <v>155</v>
      </c>
      <c r="AV6" s="120" t="s">
        <v>157</v>
      </c>
      <c r="AW6" s="120" t="s">
        <v>159</v>
      </c>
      <c r="AX6" s="120" t="s">
        <v>161</v>
      </c>
      <c r="AY6" s="120" t="s">
        <v>163</v>
      </c>
      <c r="AZ6" s="120" t="s">
        <v>165</v>
      </c>
      <c r="BA6" s="120" t="s">
        <v>167</v>
      </c>
      <c r="BB6" s="120" t="s">
        <v>169</v>
      </c>
      <c r="BC6" s="120" t="s">
        <v>171</v>
      </c>
      <c r="BD6" s="120" t="s">
        <v>173</v>
      </c>
      <c r="BE6" s="120" t="s">
        <v>175</v>
      </c>
      <c r="BF6" s="120" t="s">
        <v>178</v>
      </c>
      <c r="BG6" s="120" t="s">
        <v>180</v>
      </c>
      <c r="BH6" s="120" t="s">
        <v>182</v>
      </c>
      <c r="BI6" s="120" t="s">
        <v>184</v>
      </c>
      <c r="BJ6" s="120"/>
      <c r="BK6" s="120"/>
      <c r="BL6" s="120"/>
      <c r="BM6" s="120"/>
      <c r="BN6" s="122" t="s">
        <v>192</v>
      </c>
      <c r="BO6" s="122" t="s">
        <v>194</v>
      </c>
      <c r="BP6" s="122" t="s">
        <v>196</v>
      </c>
      <c r="BQ6" s="122"/>
      <c r="BR6" s="122" t="s">
        <v>200</v>
      </c>
      <c r="BS6" s="122" t="s">
        <v>202</v>
      </c>
      <c r="BT6" s="122" t="s">
        <v>204</v>
      </c>
      <c r="BU6" s="122" t="s">
        <v>206</v>
      </c>
      <c r="BV6" s="122" t="s">
        <v>207</v>
      </c>
      <c r="BW6" s="122" t="s">
        <v>208</v>
      </c>
      <c r="BX6" s="122" t="s">
        <v>209</v>
      </c>
      <c r="BY6" s="122" t="s">
        <v>212</v>
      </c>
      <c r="BZ6" s="122"/>
      <c r="CA6" s="122"/>
      <c r="CB6" s="122"/>
      <c r="CC6" s="122"/>
      <c r="CD6" s="123" t="s">
        <v>219</v>
      </c>
      <c r="CE6" s="123" t="s">
        <v>221</v>
      </c>
      <c r="CF6" s="123"/>
      <c r="CG6" s="123" t="s">
        <v>225</v>
      </c>
      <c r="CH6" s="123" t="s">
        <v>227</v>
      </c>
      <c r="CI6" s="123"/>
      <c r="CJ6" s="123"/>
      <c r="CK6" s="123"/>
      <c r="CL6" s="123"/>
      <c r="CM6" s="124" t="s">
        <v>234</v>
      </c>
      <c r="CN6" s="124" t="s">
        <v>236</v>
      </c>
      <c r="CO6" s="124" t="s">
        <v>238</v>
      </c>
      <c r="CP6" s="124" t="s">
        <v>240</v>
      </c>
      <c r="CQ6" s="124" t="s">
        <v>242</v>
      </c>
      <c r="CR6" s="124"/>
      <c r="CS6" s="125"/>
      <c r="CT6" s="125"/>
      <c r="CU6" s="125"/>
      <c r="CV6" s="125"/>
      <c r="CW6" s="125"/>
      <c r="CX6" s="125"/>
      <c r="CY6" s="125"/>
      <c r="CZ6" s="125"/>
      <c r="DA6" s="125"/>
      <c r="DB6" s="125"/>
      <c r="DC6" s="126"/>
      <c r="DD6" s="126"/>
      <c r="DE6" s="126"/>
      <c r="DF6" s="126"/>
      <c r="DG6" s="126"/>
      <c r="DH6" s="126"/>
      <c r="DI6" s="126"/>
      <c r="DJ6" s="126"/>
      <c r="DK6" s="126"/>
      <c r="DL6" s="127"/>
      <c r="DM6" s="127"/>
      <c r="DN6" s="127"/>
      <c r="DO6" s="127"/>
      <c r="DP6" s="127"/>
      <c r="DQ6" s="127"/>
      <c r="DR6" s="127"/>
      <c r="DS6" s="127"/>
      <c r="DT6" s="127"/>
      <c r="DU6" s="100"/>
      <c r="DV6" s="100"/>
      <c r="DW6" s="101"/>
      <c r="DX6" s="101"/>
      <c r="DY6" s="128"/>
      <c r="DZ6" s="128"/>
      <c r="EA6" s="129"/>
    </row>
    <row r="7" spans="1:131" ht="15.6">
      <c r="A7" s="782" t="s">
        <v>1294</v>
      </c>
      <c r="B7" s="782" t="s">
        <v>532</v>
      </c>
      <c r="C7" s="783">
        <v>1027</v>
      </c>
      <c r="D7" s="784" t="s">
        <v>533</v>
      </c>
      <c r="E7" s="785" t="s">
        <v>521</v>
      </c>
      <c r="F7" s="786">
        <v>46094</v>
      </c>
      <c r="G7" s="785" t="s">
        <v>5</v>
      </c>
      <c r="H7" s="785" t="s">
        <v>547</v>
      </c>
      <c r="I7" s="787">
        <v>671352.63125012931</v>
      </c>
      <c r="J7" s="787">
        <v>0</v>
      </c>
      <c r="K7" s="787">
        <v>73130.844063342593</v>
      </c>
      <c r="L7" s="787"/>
      <c r="M7" s="787">
        <v>0</v>
      </c>
      <c r="N7" s="787">
        <v>0</v>
      </c>
      <c r="O7" s="787"/>
      <c r="P7" s="787"/>
      <c r="Q7" s="787">
        <v>0</v>
      </c>
      <c r="R7" s="787"/>
      <c r="S7" s="787"/>
      <c r="T7" s="787"/>
      <c r="U7" s="787"/>
      <c r="V7" s="787"/>
      <c r="W7" s="787"/>
      <c r="X7" s="787">
        <f>SUM(I7:W7)</f>
        <v>744483.47531347186</v>
      </c>
      <c r="Y7" s="787"/>
      <c r="Z7" s="787"/>
      <c r="AA7" s="787"/>
      <c r="AB7" s="787"/>
      <c r="AC7" s="787"/>
      <c r="AD7" s="787"/>
      <c r="AE7" s="787"/>
      <c r="AF7" s="787"/>
      <c r="AG7" s="787"/>
      <c r="AH7" s="787"/>
      <c r="AI7" s="787"/>
      <c r="AJ7" s="787"/>
      <c r="AK7" s="787"/>
      <c r="AL7" s="787"/>
      <c r="AM7" s="787"/>
      <c r="AN7" s="787"/>
      <c r="AO7" s="787">
        <v>0</v>
      </c>
      <c r="AP7" s="787"/>
      <c r="AQ7" s="787"/>
      <c r="AR7" s="787"/>
      <c r="AS7" s="787"/>
      <c r="AT7" s="787"/>
      <c r="AU7" s="787"/>
      <c r="AV7" s="787"/>
      <c r="AW7" s="787"/>
      <c r="AX7" s="787"/>
      <c r="AY7" s="787"/>
      <c r="AZ7" s="787">
        <v>0</v>
      </c>
      <c r="BA7" s="787">
        <v>3291.75</v>
      </c>
      <c r="BB7" s="787"/>
      <c r="BC7" s="787"/>
      <c r="BD7" s="787"/>
      <c r="BE7" s="787">
        <v>0</v>
      </c>
      <c r="BF7" s="787"/>
      <c r="BG7" s="787"/>
      <c r="BH7" s="787"/>
      <c r="BI7" s="787"/>
      <c r="BJ7" s="787">
        <f>SUM(Y7:BI7)</f>
        <v>3291.75</v>
      </c>
      <c r="BK7" s="787"/>
      <c r="BL7" s="787"/>
      <c r="BM7" s="787"/>
      <c r="BN7" s="787">
        <v>4897.75</v>
      </c>
      <c r="BO7" s="787"/>
      <c r="BP7" s="787"/>
      <c r="BQ7" s="787">
        <f>SUM(BN7:BP7)</f>
        <v>4897.75</v>
      </c>
      <c r="BR7" s="787"/>
      <c r="BS7" s="787"/>
      <c r="BT7" s="787"/>
      <c r="BU7" s="787"/>
      <c r="BV7" s="787"/>
      <c r="BW7" s="787"/>
      <c r="BX7" s="787"/>
      <c r="BY7" s="787"/>
      <c r="BZ7" s="787"/>
      <c r="CA7" s="787"/>
      <c r="CB7" s="787"/>
      <c r="CC7" s="787"/>
      <c r="CD7" s="787"/>
      <c r="CE7" s="787"/>
      <c r="CF7" s="787"/>
      <c r="CG7" s="787"/>
      <c r="CH7" s="787"/>
      <c r="CI7" s="787"/>
      <c r="CJ7" s="787"/>
      <c r="CK7" s="787"/>
      <c r="CL7" s="787"/>
      <c r="CM7" s="787"/>
      <c r="CN7" s="787"/>
      <c r="CO7" s="787"/>
      <c r="CP7" s="787"/>
      <c r="CQ7" s="787"/>
      <c r="CR7" s="787"/>
      <c r="CS7" s="787"/>
      <c r="CT7" s="787"/>
      <c r="CU7" s="787"/>
      <c r="CV7" s="787"/>
      <c r="CW7" s="787"/>
      <c r="CX7" s="787"/>
      <c r="CY7" s="787"/>
      <c r="CZ7" s="787"/>
      <c r="DA7" s="787"/>
      <c r="DB7" s="787"/>
      <c r="DC7" s="787"/>
      <c r="DD7" s="787"/>
      <c r="DE7" s="787"/>
      <c r="DF7" s="787"/>
      <c r="DG7" s="787"/>
      <c r="DH7" s="787"/>
      <c r="DI7" s="787"/>
      <c r="DJ7" s="787"/>
      <c r="DK7" s="787"/>
      <c r="DL7" s="787"/>
      <c r="DM7" s="787"/>
      <c r="DN7" s="787"/>
      <c r="DO7" s="787"/>
      <c r="DP7" s="787"/>
      <c r="DQ7" s="787"/>
      <c r="DR7" s="787"/>
      <c r="DS7" s="787"/>
      <c r="DT7" s="787"/>
      <c r="DU7" s="787"/>
      <c r="DV7" s="787"/>
      <c r="DW7" s="787"/>
      <c r="DX7" s="787"/>
      <c r="DY7" s="787"/>
      <c r="DZ7" s="787"/>
      <c r="EA7" s="787"/>
    </row>
    <row r="8" spans="1:131" ht="15.6">
      <c r="A8" s="782" t="s">
        <v>1295</v>
      </c>
      <c r="B8" s="782" t="s">
        <v>536</v>
      </c>
      <c r="C8" s="783">
        <v>2010</v>
      </c>
      <c r="D8" s="784" t="s">
        <v>537</v>
      </c>
      <c r="E8" s="785" t="s">
        <v>521</v>
      </c>
      <c r="F8" s="786">
        <v>46094</v>
      </c>
      <c r="G8" s="785" t="s">
        <v>5</v>
      </c>
      <c r="H8" s="785" t="s">
        <v>549</v>
      </c>
      <c r="I8" s="787">
        <v>2714185.2728075944</v>
      </c>
      <c r="J8" s="787">
        <v>0</v>
      </c>
      <c r="K8" s="787">
        <v>18596.333333333332</v>
      </c>
      <c r="L8" s="787"/>
      <c r="M8" s="787">
        <v>371175</v>
      </c>
      <c r="N8" s="787">
        <v>59494.86</v>
      </c>
      <c r="O8" s="787"/>
      <c r="P8" s="787"/>
      <c r="Q8" s="787">
        <v>0</v>
      </c>
      <c r="R8" s="787"/>
      <c r="S8" s="787"/>
      <c r="T8" s="787"/>
      <c r="U8" s="787"/>
      <c r="V8" s="787"/>
      <c r="W8" s="787"/>
      <c r="X8" s="787">
        <f t="shared" ref="X8:X71" si="0">SUM(I8:W8)</f>
        <v>3163451.4661409277</v>
      </c>
      <c r="Y8" s="787"/>
      <c r="Z8" s="787"/>
      <c r="AA8" s="787"/>
      <c r="AB8" s="787"/>
      <c r="AC8" s="787"/>
      <c r="AD8" s="787"/>
      <c r="AE8" s="787"/>
      <c r="AF8" s="787"/>
      <c r="AG8" s="787"/>
      <c r="AH8" s="787"/>
      <c r="AI8" s="787"/>
      <c r="AJ8" s="787"/>
      <c r="AK8" s="787"/>
      <c r="AL8" s="787"/>
      <c r="AM8" s="787"/>
      <c r="AN8" s="787"/>
      <c r="AO8" s="787">
        <v>47169.719999999994</v>
      </c>
      <c r="AP8" s="787"/>
      <c r="AQ8" s="787"/>
      <c r="AR8" s="787"/>
      <c r="AS8" s="787"/>
      <c r="AT8" s="787"/>
      <c r="AU8" s="787"/>
      <c r="AV8" s="787"/>
      <c r="AW8" s="787"/>
      <c r="AX8" s="787"/>
      <c r="AY8" s="787"/>
      <c r="AZ8" s="787">
        <v>0</v>
      </c>
      <c r="BA8" s="787">
        <v>11313</v>
      </c>
      <c r="BB8" s="787"/>
      <c r="BC8" s="787"/>
      <c r="BD8" s="787"/>
      <c r="BE8" s="787">
        <v>10927.520000000002</v>
      </c>
      <c r="BF8" s="787"/>
      <c r="BG8" s="787"/>
      <c r="BH8" s="787"/>
      <c r="BI8" s="787"/>
      <c r="BJ8" s="787">
        <f t="shared" ref="BJ8:BJ71" si="1">SUM(Y8:BI8)</f>
        <v>69410.239999999991</v>
      </c>
      <c r="BK8" s="787"/>
      <c r="BL8" s="787"/>
      <c r="BM8" s="787"/>
      <c r="BN8" s="787">
        <v>8736.25</v>
      </c>
      <c r="BO8" s="787"/>
      <c r="BP8" s="787"/>
      <c r="BQ8" s="787">
        <f t="shared" ref="BQ8:BQ71" si="2">SUM(BN8:BP8)</f>
        <v>8736.25</v>
      </c>
      <c r="BR8" s="787"/>
      <c r="BS8" s="787"/>
      <c r="BT8" s="787"/>
      <c r="BU8" s="787"/>
      <c r="BV8" s="787"/>
      <c r="BW8" s="787"/>
      <c r="BX8" s="787"/>
      <c r="BY8" s="787"/>
      <c r="BZ8" s="787"/>
      <c r="CA8" s="787"/>
      <c r="CB8" s="787"/>
      <c r="CC8" s="787"/>
      <c r="CD8" s="787"/>
      <c r="CE8" s="787"/>
      <c r="CF8" s="787"/>
      <c r="CG8" s="787"/>
      <c r="CH8" s="787"/>
      <c r="CI8" s="787"/>
      <c r="CJ8" s="787"/>
      <c r="CK8" s="787"/>
      <c r="CL8" s="787"/>
      <c r="CM8" s="787"/>
      <c r="CN8" s="787"/>
      <c r="CO8" s="787"/>
      <c r="CP8" s="787"/>
      <c r="CQ8" s="787"/>
      <c r="CR8" s="787"/>
      <c r="CS8" s="787"/>
      <c r="CT8" s="787"/>
      <c r="CU8" s="787"/>
      <c r="CV8" s="787"/>
      <c r="CW8" s="787"/>
      <c r="CX8" s="787"/>
      <c r="CY8" s="787"/>
      <c r="CZ8" s="787"/>
      <c r="DA8" s="787"/>
      <c r="DB8" s="787"/>
      <c r="DC8" s="787"/>
      <c r="DD8" s="787"/>
      <c r="DE8" s="787"/>
      <c r="DF8" s="787"/>
      <c r="DG8" s="787"/>
      <c r="DH8" s="787"/>
      <c r="DI8" s="787"/>
      <c r="DJ8" s="787"/>
      <c r="DK8" s="787"/>
      <c r="DL8" s="787"/>
      <c r="DM8" s="787"/>
      <c r="DN8" s="787"/>
      <c r="DO8" s="787"/>
      <c r="DP8" s="787"/>
      <c r="DQ8" s="787"/>
      <c r="DR8" s="787"/>
      <c r="DS8" s="787"/>
      <c r="DT8" s="787"/>
      <c r="DU8" s="787"/>
      <c r="DV8" s="787"/>
      <c r="DW8" s="787"/>
      <c r="DX8" s="787"/>
      <c r="DY8" s="787"/>
      <c r="DZ8" s="787"/>
      <c r="EA8" s="787"/>
    </row>
    <row r="9" spans="1:131" ht="15.6">
      <c r="A9" s="782" t="s">
        <v>1296</v>
      </c>
      <c r="B9" s="782" t="s">
        <v>539</v>
      </c>
      <c r="C9" s="783">
        <v>5949</v>
      </c>
      <c r="D9" s="784" t="s">
        <v>540</v>
      </c>
      <c r="E9" s="785" t="s">
        <v>521</v>
      </c>
      <c r="F9" s="786">
        <v>46093</v>
      </c>
      <c r="G9" s="785" t="s">
        <v>5</v>
      </c>
      <c r="H9" s="785" t="s">
        <v>551</v>
      </c>
      <c r="I9" s="787">
        <v>3745275.2292505442</v>
      </c>
      <c r="J9" s="787">
        <v>0</v>
      </c>
      <c r="K9" s="787">
        <v>94084.33666666667</v>
      </c>
      <c r="L9" s="787"/>
      <c r="M9" s="787">
        <v>446525</v>
      </c>
      <c r="N9" s="787">
        <v>105796.64</v>
      </c>
      <c r="O9" s="787"/>
      <c r="P9" s="787"/>
      <c r="Q9" s="787">
        <v>45092.075990000129</v>
      </c>
      <c r="R9" s="787"/>
      <c r="S9" s="787"/>
      <c r="T9" s="787"/>
      <c r="U9" s="787"/>
      <c r="V9" s="787"/>
      <c r="W9" s="787"/>
      <c r="X9" s="787">
        <f t="shared" si="0"/>
        <v>4436773.2819072101</v>
      </c>
      <c r="Y9" s="787"/>
      <c r="Z9" s="787"/>
      <c r="AA9" s="787"/>
      <c r="AB9" s="787"/>
      <c r="AC9" s="787"/>
      <c r="AD9" s="787"/>
      <c r="AE9" s="787"/>
      <c r="AF9" s="787"/>
      <c r="AG9" s="787"/>
      <c r="AH9" s="787"/>
      <c r="AI9" s="787"/>
      <c r="AJ9" s="787"/>
      <c r="AK9" s="787"/>
      <c r="AL9" s="787"/>
      <c r="AM9" s="787"/>
      <c r="AN9" s="787"/>
      <c r="AO9" s="787">
        <v>73840.41</v>
      </c>
      <c r="AP9" s="787"/>
      <c r="AQ9" s="787"/>
      <c r="AR9" s="787"/>
      <c r="AS9" s="787"/>
      <c r="AT9" s="787"/>
      <c r="AU9" s="787"/>
      <c r="AV9" s="787"/>
      <c r="AW9" s="787"/>
      <c r="AX9" s="787"/>
      <c r="AY9" s="787"/>
      <c r="AZ9" s="787">
        <v>22.740000000000002</v>
      </c>
      <c r="BA9" s="787">
        <v>18745.650000000001</v>
      </c>
      <c r="BB9" s="787"/>
      <c r="BC9" s="787"/>
      <c r="BD9" s="787"/>
      <c r="BE9" s="787">
        <v>16456.48</v>
      </c>
      <c r="BF9" s="787"/>
      <c r="BG9" s="787"/>
      <c r="BH9" s="787"/>
      <c r="BI9" s="787"/>
      <c r="BJ9" s="787">
        <f t="shared" si="1"/>
        <v>109065.28000000001</v>
      </c>
      <c r="BK9" s="787"/>
      <c r="BL9" s="787"/>
      <c r="BM9" s="787"/>
      <c r="BN9" s="787">
        <v>11065</v>
      </c>
      <c r="BO9" s="787"/>
      <c r="BP9" s="787"/>
      <c r="BQ9" s="787">
        <f t="shared" si="2"/>
        <v>11065</v>
      </c>
      <c r="BR9" s="787"/>
      <c r="BS9" s="787"/>
      <c r="BT9" s="787"/>
      <c r="BU9" s="787"/>
      <c r="BV9" s="787"/>
      <c r="BW9" s="787"/>
      <c r="BX9" s="787"/>
      <c r="BY9" s="787"/>
      <c r="BZ9" s="787"/>
      <c r="CA9" s="787"/>
      <c r="CB9" s="787"/>
      <c r="CC9" s="787"/>
      <c r="CD9" s="787"/>
      <c r="CE9" s="787"/>
      <c r="CF9" s="787"/>
      <c r="CG9" s="787"/>
      <c r="CH9" s="787"/>
      <c r="CI9" s="787"/>
      <c r="CJ9" s="787"/>
      <c r="CK9" s="787"/>
      <c r="CL9" s="787"/>
      <c r="CM9" s="787"/>
      <c r="CN9" s="787"/>
      <c r="CO9" s="787"/>
      <c r="CP9" s="787"/>
      <c r="CQ9" s="787"/>
      <c r="CR9" s="787"/>
      <c r="CS9" s="787"/>
      <c r="CT9" s="787"/>
      <c r="CU9" s="787"/>
      <c r="CV9" s="787"/>
      <c r="CW9" s="787"/>
      <c r="CX9" s="787"/>
      <c r="CY9" s="787"/>
      <c r="CZ9" s="787"/>
      <c r="DA9" s="787"/>
      <c r="DB9" s="787"/>
      <c r="DC9" s="787"/>
      <c r="DD9" s="787"/>
      <c r="DE9" s="787"/>
      <c r="DF9" s="787"/>
      <c r="DG9" s="787"/>
      <c r="DH9" s="787"/>
      <c r="DI9" s="787"/>
      <c r="DJ9" s="787"/>
      <c r="DK9" s="787"/>
      <c r="DL9" s="787"/>
      <c r="DM9" s="787"/>
      <c r="DN9" s="787"/>
      <c r="DO9" s="787"/>
      <c r="DP9" s="787"/>
      <c r="DQ9" s="787"/>
      <c r="DR9" s="787"/>
      <c r="DS9" s="787"/>
      <c r="DT9" s="787"/>
      <c r="DU9" s="787"/>
      <c r="DV9" s="787"/>
      <c r="DW9" s="787"/>
      <c r="DX9" s="787"/>
      <c r="DY9" s="787"/>
      <c r="DZ9" s="787"/>
      <c r="EA9" s="787"/>
    </row>
    <row r="10" spans="1:131" ht="15.6">
      <c r="A10" s="782" t="s">
        <v>1297</v>
      </c>
      <c r="B10" s="782" t="s">
        <v>541</v>
      </c>
      <c r="C10" s="783">
        <v>1017</v>
      </c>
      <c r="D10" s="784" t="s">
        <v>542</v>
      </c>
      <c r="E10" s="785" t="s">
        <v>521</v>
      </c>
      <c r="F10" s="786">
        <v>46094</v>
      </c>
      <c r="G10" s="785" t="s">
        <v>5</v>
      </c>
      <c r="H10" s="785" t="s">
        <v>554</v>
      </c>
      <c r="I10" s="787">
        <v>1038359.061152229</v>
      </c>
      <c r="J10" s="787">
        <v>0</v>
      </c>
      <c r="K10" s="787">
        <v>82733.382459279776</v>
      </c>
      <c r="L10" s="787"/>
      <c r="M10" s="787">
        <v>0</v>
      </c>
      <c r="N10" s="787">
        <v>0</v>
      </c>
      <c r="O10" s="787"/>
      <c r="P10" s="787"/>
      <c r="Q10" s="787">
        <v>0</v>
      </c>
      <c r="R10" s="787"/>
      <c r="S10" s="787"/>
      <c r="T10" s="787"/>
      <c r="U10" s="787"/>
      <c r="V10" s="787"/>
      <c r="W10" s="787"/>
      <c r="X10" s="787">
        <f t="shared" si="0"/>
        <v>1121092.4436115087</v>
      </c>
      <c r="Y10" s="787"/>
      <c r="Z10" s="787"/>
      <c r="AA10" s="787"/>
      <c r="AB10" s="787"/>
      <c r="AC10" s="787"/>
      <c r="AD10" s="787"/>
      <c r="AE10" s="787"/>
      <c r="AF10" s="787"/>
      <c r="AG10" s="787"/>
      <c r="AH10" s="787"/>
      <c r="AI10" s="787"/>
      <c r="AJ10" s="787"/>
      <c r="AK10" s="787"/>
      <c r="AL10" s="787"/>
      <c r="AM10" s="787"/>
      <c r="AN10" s="787"/>
      <c r="AO10" s="787">
        <v>0</v>
      </c>
      <c r="AP10" s="787"/>
      <c r="AQ10" s="787"/>
      <c r="AR10" s="787"/>
      <c r="AS10" s="787"/>
      <c r="AT10" s="787"/>
      <c r="AU10" s="787"/>
      <c r="AV10" s="787"/>
      <c r="AW10" s="787"/>
      <c r="AX10" s="787"/>
      <c r="AY10" s="787"/>
      <c r="AZ10" s="787">
        <v>0</v>
      </c>
      <c r="BA10" s="787">
        <v>3291.75</v>
      </c>
      <c r="BB10" s="787"/>
      <c r="BC10" s="787"/>
      <c r="BD10" s="787"/>
      <c r="BE10" s="787">
        <v>0</v>
      </c>
      <c r="BF10" s="787"/>
      <c r="BG10" s="787"/>
      <c r="BH10" s="787"/>
      <c r="BI10" s="787"/>
      <c r="BJ10" s="787">
        <f t="shared" si="1"/>
        <v>3291.75</v>
      </c>
      <c r="BK10" s="787"/>
      <c r="BL10" s="787"/>
      <c r="BM10" s="787"/>
      <c r="BN10" s="787">
        <v>5174.5</v>
      </c>
      <c r="BO10" s="787"/>
      <c r="BP10" s="787"/>
      <c r="BQ10" s="787">
        <f t="shared" si="2"/>
        <v>5174.5</v>
      </c>
      <c r="BR10" s="787"/>
      <c r="BS10" s="787"/>
      <c r="BT10" s="787"/>
      <c r="BU10" s="787"/>
      <c r="BV10" s="787"/>
      <c r="BW10" s="787"/>
      <c r="BX10" s="787"/>
      <c r="BY10" s="787"/>
      <c r="BZ10" s="787"/>
      <c r="CA10" s="787"/>
      <c r="CB10" s="787"/>
      <c r="CC10" s="787"/>
      <c r="CD10" s="787"/>
      <c r="CE10" s="787"/>
      <c r="CF10" s="787"/>
      <c r="CG10" s="787"/>
      <c r="CH10" s="787"/>
      <c r="CI10" s="787"/>
      <c r="CJ10" s="787"/>
      <c r="CK10" s="787"/>
      <c r="CL10" s="787"/>
      <c r="CM10" s="787"/>
      <c r="CN10" s="787"/>
      <c r="CO10" s="787"/>
      <c r="CP10" s="787"/>
      <c r="CQ10" s="787"/>
      <c r="CR10" s="787"/>
      <c r="CS10" s="787"/>
      <c r="CT10" s="787"/>
      <c r="CU10" s="787"/>
      <c r="CV10" s="787"/>
      <c r="CW10" s="787"/>
      <c r="CX10" s="787"/>
      <c r="CY10" s="787"/>
      <c r="CZ10" s="787"/>
      <c r="DA10" s="787"/>
      <c r="DB10" s="787"/>
      <c r="DC10" s="787"/>
      <c r="DD10" s="787"/>
      <c r="DE10" s="787"/>
      <c r="DF10" s="787"/>
      <c r="DG10" s="787"/>
      <c r="DH10" s="787"/>
      <c r="DI10" s="787"/>
      <c r="DJ10" s="787"/>
      <c r="DK10" s="787"/>
      <c r="DL10" s="787"/>
      <c r="DM10" s="787"/>
      <c r="DN10" s="787"/>
      <c r="DO10" s="787"/>
      <c r="DP10" s="787"/>
      <c r="DQ10" s="787"/>
      <c r="DR10" s="787"/>
      <c r="DS10" s="787"/>
      <c r="DT10" s="787"/>
      <c r="DU10" s="787"/>
      <c r="DV10" s="787"/>
      <c r="DW10" s="787"/>
      <c r="DX10" s="787"/>
      <c r="DY10" s="787"/>
      <c r="DZ10" s="787"/>
      <c r="EA10" s="787"/>
    </row>
    <row r="11" spans="1:131" ht="15.6">
      <c r="A11" s="782" t="s">
        <v>1298</v>
      </c>
      <c r="B11" s="782" t="s">
        <v>543</v>
      </c>
      <c r="C11" s="783">
        <v>2153</v>
      </c>
      <c r="D11" s="784" t="s">
        <v>544</v>
      </c>
      <c r="E11" s="785" t="s">
        <v>521</v>
      </c>
      <c r="F11" s="786">
        <v>46094</v>
      </c>
      <c r="G11" s="785" t="s">
        <v>5</v>
      </c>
      <c r="H11" s="785" t="s">
        <v>556</v>
      </c>
      <c r="I11" s="787">
        <v>2833309.7609724859</v>
      </c>
      <c r="J11" s="787">
        <v>0</v>
      </c>
      <c r="K11" s="787">
        <v>597518.82133333338</v>
      </c>
      <c r="L11" s="787"/>
      <c r="M11" s="787">
        <v>373320</v>
      </c>
      <c r="N11" s="787">
        <v>48289</v>
      </c>
      <c r="O11" s="787"/>
      <c r="P11" s="787"/>
      <c r="Q11" s="787">
        <v>26979.793029999968</v>
      </c>
      <c r="R11" s="787"/>
      <c r="S11" s="787"/>
      <c r="T11" s="787"/>
      <c r="U11" s="787"/>
      <c r="V11" s="787"/>
      <c r="W11" s="787"/>
      <c r="X11" s="787">
        <f t="shared" si="0"/>
        <v>3879417.3753358191</v>
      </c>
      <c r="Y11" s="787"/>
      <c r="Z11" s="787"/>
      <c r="AA11" s="787"/>
      <c r="AB11" s="787"/>
      <c r="AC11" s="787"/>
      <c r="AD11" s="787"/>
      <c r="AE11" s="787"/>
      <c r="AF11" s="787"/>
      <c r="AG11" s="787"/>
      <c r="AH11" s="787"/>
      <c r="AI11" s="787"/>
      <c r="AJ11" s="787"/>
      <c r="AK11" s="787"/>
      <c r="AL11" s="787"/>
      <c r="AM11" s="787"/>
      <c r="AN11" s="787"/>
      <c r="AO11" s="787">
        <v>24708.449999999993</v>
      </c>
      <c r="AP11" s="787"/>
      <c r="AQ11" s="787"/>
      <c r="AR11" s="787"/>
      <c r="AS11" s="787"/>
      <c r="AT11" s="787"/>
      <c r="AU11" s="787"/>
      <c r="AV11" s="787"/>
      <c r="AW11" s="787"/>
      <c r="AX11" s="787"/>
      <c r="AY11" s="787"/>
      <c r="AZ11" s="787">
        <v>64.490000000000009</v>
      </c>
      <c r="BA11" s="787">
        <v>9471</v>
      </c>
      <c r="BB11" s="787"/>
      <c r="BC11" s="787"/>
      <c r="BD11" s="787"/>
      <c r="BE11" s="787">
        <v>10405.92</v>
      </c>
      <c r="BF11" s="787"/>
      <c r="BG11" s="787"/>
      <c r="BH11" s="787"/>
      <c r="BI11" s="787"/>
      <c r="BJ11" s="787">
        <f t="shared" si="1"/>
        <v>44649.859999999993</v>
      </c>
      <c r="BK11" s="787"/>
      <c r="BL11" s="787"/>
      <c r="BM11" s="787"/>
      <c r="BN11" s="787">
        <v>8668.75</v>
      </c>
      <c r="BO11" s="787"/>
      <c r="BP11" s="787"/>
      <c r="BQ11" s="787">
        <f t="shared" si="2"/>
        <v>8668.75</v>
      </c>
      <c r="BR11" s="787"/>
      <c r="BS11" s="787"/>
      <c r="BT11" s="787"/>
      <c r="BU11" s="787"/>
      <c r="BV11" s="787"/>
      <c r="BW11" s="787"/>
      <c r="BX11" s="787"/>
      <c r="BY11" s="787"/>
      <c r="BZ11" s="787"/>
      <c r="CA11" s="787"/>
      <c r="CB11" s="787"/>
      <c r="CC11" s="787"/>
      <c r="CD11" s="787"/>
      <c r="CE11" s="787"/>
      <c r="CF11" s="787"/>
      <c r="CG11" s="787"/>
      <c r="CH11" s="787"/>
      <c r="CI11" s="787"/>
      <c r="CJ11" s="787"/>
      <c r="CK11" s="787"/>
      <c r="CL11" s="787"/>
      <c r="CM11" s="787"/>
      <c r="CN11" s="787"/>
      <c r="CO11" s="787"/>
      <c r="CP11" s="787"/>
      <c r="CQ11" s="787"/>
      <c r="CR11" s="787"/>
      <c r="CS11" s="787"/>
      <c r="CT11" s="787"/>
      <c r="CU11" s="787"/>
      <c r="CV11" s="787"/>
      <c r="CW11" s="787"/>
      <c r="CX11" s="787"/>
      <c r="CY11" s="787"/>
      <c r="CZ11" s="787"/>
      <c r="DA11" s="787"/>
      <c r="DB11" s="787"/>
      <c r="DC11" s="787"/>
      <c r="DD11" s="787"/>
      <c r="DE11" s="787"/>
      <c r="DF11" s="787"/>
      <c r="DG11" s="787"/>
      <c r="DH11" s="787"/>
      <c r="DI11" s="787"/>
      <c r="DJ11" s="787"/>
      <c r="DK11" s="787"/>
      <c r="DL11" s="787"/>
      <c r="DM11" s="787"/>
      <c r="DN11" s="787"/>
      <c r="DO11" s="787"/>
      <c r="DP11" s="787"/>
      <c r="DQ11" s="787"/>
      <c r="DR11" s="787"/>
      <c r="DS11" s="787"/>
      <c r="DT11" s="787"/>
      <c r="DU11" s="787"/>
      <c r="DV11" s="787"/>
      <c r="DW11" s="787"/>
      <c r="DX11" s="787"/>
      <c r="DY11" s="787"/>
      <c r="DZ11" s="787"/>
      <c r="EA11" s="787"/>
    </row>
    <row r="12" spans="1:131" ht="15.6">
      <c r="A12" s="782" t="s">
        <v>1299</v>
      </c>
      <c r="B12" s="782" t="s">
        <v>545</v>
      </c>
      <c r="C12" s="783">
        <v>2062</v>
      </c>
      <c r="D12" s="784" t="s">
        <v>546</v>
      </c>
      <c r="E12" s="785" t="s">
        <v>521</v>
      </c>
      <c r="F12" s="786">
        <v>46094</v>
      </c>
      <c r="G12" s="785" t="s">
        <v>5</v>
      </c>
      <c r="H12" s="785" t="s">
        <v>558</v>
      </c>
      <c r="I12" s="787">
        <v>2727379.1206994471</v>
      </c>
      <c r="J12" s="787">
        <v>0</v>
      </c>
      <c r="K12" s="787">
        <v>266163.52</v>
      </c>
      <c r="L12" s="787"/>
      <c r="M12" s="787">
        <v>319980</v>
      </c>
      <c r="N12" s="787">
        <v>65329.86</v>
      </c>
      <c r="O12" s="787"/>
      <c r="P12" s="787"/>
      <c r="Q12" s="787">
        <v>24736.613090000024</v>
      </c>
      <c r="R12" s="787"/>
      <c r="S12" s="787"/>
      <c r="T12" s="787"/>
      <c r="U12" s="787"/>
      <c r="V12" s="787"/>
      <c r="W12" s="787"/>
      <c r="X12" s="787">
        <f t="shared" si="0"/>
        <v>3403589.1137894471</v>
      </c>
      <c r="Y12" s="787"/>
      <c r="Z12" s="787"/>
      <c r="AA12" s="787"/>
      <c r="AB12" s="787"/>
      <c r="AC12" s="787"/>
      <c r="AD12" s="787"/>
      <c r="AE12" s="787"/>
      <c r="AF12" s="787"/>
      <c r="AG12" s="787"/>
      <c r="AH12" s="787"/>
      <c r="AI12" s="787"/>
      <c r="AJ12" s="787"/>
      <c r="AK12" s="787"/>
      <c r="AL12" s="787"/>
      <c r="AM12" s="787"/>
      <c r="AN12" s="787"/>
      <c r="AO12" s="787">
        <v>48655.930000000015</v>
      </c>
      <c r="AP12" s="787"/>
      <c r="AQ12" s="787"/>
      <c r="AR12" s="787"/>
      <c r="AS12" s="787"/>
      <c r="AT12" s="787"/>
      <c r="AU12" s="787"/>
      <c r="AV12" s="787"/>
      <c r="AW12" s="787"/>
      <c r="AX12" s="787"/>
      <c r="AY12" s="787"/>
      <c r="AZ12" s="787">
        <v>99.51</v>
      </c>
      <c r="BA12" s="787">
        <v>9471</v>
      </c>
      <c r="BB12" s="787"/>
      <c r="BC12" s="787"/>
      <c r="BD12" s="787"/>
      <c r="BE12" s="787">
        <v>10249.439999999999</v>
      </c>
      <c r="BF12" s="787"/>
      <c r="BG12" s="787"/>
      <c r="BH12" s="787"/>
      <c r="BI12" s="787"/>
      <c r="BJ12" s="787">
        <f t="shared" si="1"/>
        <v>68475.880000000019</v>
      </c>
      <c r="BK12" s="787"/>
      <c r="BL12" s="787"/>
      <c r="BM12" s="787"/>
      <c r="BN12" s="787">
        <v>8835.25</v>
      </c>
      <c r="BO12" s="787"/>
      <c r="BP12" s="787"/>
      <c r="BQ12" s="787">
        <f t="shared" si="2"/>
        <v>8835.25</v>
      </c>
      <c r="BR12" s="787"/>
      <c r="BS12" s="787"/>
      <c r="BT12" s="787"/>
      <c r="BU12" s="787"/>
      <c r="BV12" s="787"/>
      <c r="BW12" s="787"/>
      <c r="BX12" s="787"/>
      <c r="BY12" s="787"/>
      <c r="BZ12" s="787"/>
      <c r="CA12" s="787"/>
      <c r="CB12" s="787"/>
      <c r="CC12" s="787"/>
      <c r="CD12" s="787"/>
      <c r="CE12" s="787"/>
      <c r="CF12" s="787"/>
      <c r="CG12" s="787"/>
      <c r="CH12" s="787"/>
      <c r="CI12" s="787"/>
      <c r="CJ12" s="787"/>
      <c r="CK12" s="787"/>
      <c r="CL12" s="787"/>
      <c r="CM12" s="787"/>
      <c r="CN12" s="787"/>
      <c r="CO12" s="787"/>
      <c r="CP12" s="787"/>
      <c r="CQ12" s="787"/>
      <c r="CR12" s="787"/>
      <c r="CS12" s="787"/>
      <c r="CT12" s="787"/>
      <c r="CU12" s="787"/>
      <c r="CV12" s="787"/>
      <c r="CW12" s="787"/>
      <c r="CX12" s="787"/>
      <c r="CY12" s="787"/>
      <c r="CZ12" s="787"/>
      <c r="DA12" s="787"/>
      <c r="DB12" s="787"/>
      <c r="DC12" s="787"/>
      <c r="DD12" s="787"/>
      <c r="DE12" s="787"/>
      <c r="DF12" s="787"/>
      <c r="DG12" s="787"/>
      <c r="DH12" s="787"/>
      <c r="DI12" s="787"/>
      <c r="DJ12" s="787"/>
      <c r="DK12" s="787"/>
      <c r="DL12" s="787"/>
      <c r="DM12" s="787"/>
      <c r="DN12" s="787"/>
      <c r="DO12" s="787"/>
      <c r="DP12" s="787"/>
      <c r="DQ12" s="787"/>
      <c r="DR12" s="787"/>
      <c r="DS12" s="787"/>
      <c r="DT12" s="787"/>
      <c r="DU12" s="787"/>
      <c r="DV12" s="787"/>
      <c r="DW12" s="787"/>
      <c r="DX12" s="787"/>
      <c r="DY12" s="787"/>
      <c r="DZ12" s="787"/>
      <c r="EA12" s="787"/>
    </row>
    <row r="13" spans="1:131" ht="15.6">
      <c r="A13" s="782" t="s">
        <v>1300</v>
      </c>
      <c r="B13" s="782" t="s">
        <v>547</v>
      </c>
      <c r="C13" s="783">
        <v>2479</v>
      </c>
      <c r="D13" s="784" t="s">
        <v>548</v>
      </c>
      <c r="E13" s="785" t="s">
        <v>521</v>
      </c>
      <c r="F13" s="786">
        <v>46094</v>
      </c>
      <c r="G13" s="785" t="s">
        <v>5</v>
      </c>
      <c r="H13" s="785" t="s">
        <v>560</v>
      </c>
      <c r="I13" s="787">
        <v>4277352.2448207978</v>
      </c>
      <c r="J13" s="787">
        <v>0</v>
      </c>
      <c r="K13" s="787">
        <v>327062.47000000003</v>
      </c>
      <c r="L13" s="787"/>
      <c r="M13" s="787">
        <v>545400</v>
      </c>
      <c r="N13" s="787">
        <v>100029.21999999999</v>
      </c>
      <c r="O13" s="787"/>
      <c r="P13" s="787"/>
      <c r="Q13" s="787">
        <v>17185.875474999844</v>
      </c>
      <c r="R13" s="787"/>
      <c r="S13" s="787"/>
      <c r="T13" s="787"/>
      <c r="U13" s="787"/>
      <c r="V13" s="787"/>
      <c r="W13" s="787"/>
      <c r="X13" s="787">
        <f t="shared" si="0"/>
        <v>5267029.810295797</v>
      </c>
      <c r="Y13" s="787"/>
      <c r="Z13" s="787"/>
      <c r="AA13" s="787"/>
      <c r="AB13" s="787"/>
      <c r="AC13" s="787"/>
      <c r="AD13" s="787"/>
      <c r="AE13" s="787"/>
      <c r="AF13" s="787"/>
      <c r="AG13" s="787"/>
      <c r="AH13" s="787"/>
      <c r="AI13" s="787"/>
      <c r="AJ13" s="787"/>
      <c r="AK13" s="787"/>
      <c r="AL13" s="787"/>
      <c r="AM13" s="787"/>
      <c r="AN13" s="787"/>
      <c r="AO13" s="787">
        <v>31269.810000000009</v>
      </c>
      <c r="AP13" s="787"/>
      <c r="AQ13" s="787"/>
      <c r="AR13" s="787"/>
      <c r="AS13" s="787"/>
      <c r="AT13" s="787"/>
      <c r="AU13" s="787"/>
      <c r="AV13" s="787"/>
      <c r="AW13" s="787"/>
      <c r="AX13" s="787"/>
      <c r="AY13" s="787"/>
      <c r="AZ13" s="787">
        <v>91.38</v>
      </c>
      <c r="BA13" s="787">
        <v>18745.650000000001</v>
      </c>
      <c r="BB13" s="787"/>
      <c r="BC13" s="787"/>
      <c r="BD13" s="787"/>
      <c r="BE13" s="787">
        <v>16326.079999999996</v>
      </c>
      <c r="BF13" s="787"/>
      <c r="BG13" s="787"/>
      <c r="BH13" s="787"/>
      <c r="BI13" s="787"/>
      <c r="BJ13" s="787">
        <f t="shared" si="1"/>
        <v>66432.920000000013</v>
      </c>
      <c r="BK13" s="787"/>
      <c r="BL13" s="787"/>
      <c r="BM13" s="787"/>
      <c r="BN13" s="787">
        <v>11998.75</v>
      </c>
      <c r="BO13" s="787"/>
      <c r="BP13" s="787"/>
      <c r="BQ13" s="787">
        <f t="shared" si="2"/>
        <v>11998.75</v>
      </c>
      <c r="BR13" s="787"/>
      <c r="BS13" s="787"/>
      <c r="BT13" s="787"/>
      <c r="BU13" s="787"/>
      <c r="BV13" s="787"/>
      <c r="BW13" s="787"/>
      <c r="BX13" s="787"/>
      <c r="BY13" s="787"/>
      <c r="BZ13" s="787"/>
      <c r="CA13" s="787"/>
      <c r="CB13" s="787"/>
      <c r="CC13" s="787"/>
      <c r="CD13" s="787"/>
      <c r="CE13" s="787"/>
      <c r="CF13" s="787"/>
      <c r="CG13" s="787"/>
      <c r="CH13" s="787"/>
      <c r="CI13" s="787"/>
      <c r="CJ13" s="787"/>
      <c r="CK13" s="787"/>
      <c r="CL13" s="787"/>
      <c r="CM13" s="787"/>
      <c r="CN13" s="787"/>
      <c r="CO13" s="787"/>
      <c r="CP13" s="787"/>
      <c r="CQ13" s="787"/>
      <c r="CR13" s="787"/>
      <c r="CS13" s="787"/>
      <c r="CT13" s="787"/>
      <c r="CU13" s="787"/>
      <c r="CV13" s="787"/>
      <c r="CW13" s="787"/>
      <c r="CX13" s="787"/>
      <c r="CY13" s="787"/>
      <c r="CZ13" s="787"/>
      <c r="DA13" s="787"/>
      <c r="DB13" s="787"/>
      <c r="DC13" s="787"/>
      <c r="DD13" s="787"/>
      <c r="DE13" s="787"/>
      <c r="DF13" s="787"/>
      <c r="DG13" s="787"/>
      <c r="DH13" s="787"/>
      <c r="DI13" s="787"/>
      <c r="DJ13" s="787"/>
      <c r="DK13" s="787"/>
      <c r="DL13" s="787"/>
      <c r="DM13" s="787"/>
      <c r="DN13" s="787"/>
      <c r="DO13" s="787"/>
      <c r="DP13" s="787"/>
      <c r="DQ13" s="787"/>
      <c r="DR13" s="787"/>
      <c r="DS13" s="787"/>
      <c r="DT13" s="787"/>
      <c r="DU13" s="787"/>
      <c r="DV13" s="787"/>
      <c r="DW13" s="787"/>
      <c r="DX13" s="787"/>
      <c r="DY13" s="787"/>
      <c r="DZ13" s="787"/>
      <c r="EA13" s="787"/>
    </row>
    <row r="14" spans="1:131" ht="15.6">
      <c r="A14" s="782" t="s">
        <v>1301</v>
      </c>
      <c r="B14" s="782" t="s">
        <v>549</v>
      </c>
      <c r="C14" s="783">
        <v>2300</v>
      </c>
      <c r="D14" s="784" t="s">
        <v>550</v>
      </c>
      <c r="E14" s="785" t="s">
        <v>521</v>
      </c>
      <c r="F14" s="786">
        <v>46094</v>
      </c>
      <c r="G14" s="785" t="s">
        <v>5</v>
      </c>
      <c r="H14" s="785" t="s">
        <v>562</v>
      </c>
      <c r="I14" s="787">
        <v>4171934.7496375525</v>
      </c>
      <c r="J14" s="787">
        <v>0</v>
      </c>
      <c r="K14" s="787">
        <v>303010.18000000005</v>
      </c>
      <c r="L14" s="787"/>
      <c r="M14" s="787">
        <v>527220</v>
      </c>
      <c r="N14" s="787">
        <v>95288.29</v>
      </c>
      <c r="O14" s="787"/>
      <c r="P14" s="787"/>
      <c r="Q14" s="787">
        <v>0</v>
      </c>
      <c r="R14" s="787"/>
      <c r="S14" s="787"/>
      <c r="T14" s="787"/>
      <c r="U14" s="787"/>
      <c r="V14" s="787"/>
      <c r="W14" s="787"/>
      <c r="X14" s="787">
        <f t="shared" si="0"/>
        <v>5097453.2196375523</v>
      </c>
      <c r="Y14" s="787"/>
      <c r="Z14" s="787"/>
      <c r="AA14" s="787"/>
      <c r="AB14" s="787"/>
      <c r="AC14" s="787"/>
      <c r="AD14" s="787"/>
      <c r="AE14" s="787"/>
      <c r="AF14" s="787"/>
      <c r="AG14" s="787"/>
      <c r="AH14" s="787"/>
      <c r="AI14" s="787"/>
      <c r="AJ14" s="787"/>
      <c r="AK14" s="787"/>
      <c r="AL14" s="787"/>
      <c r="AM14" s="787"/>
      <c r="AN14" s="787"/>
      <c r="AO14" s="787">
        <v>80893.090000000011</v>
      </c>
      <c r="AP14" s="787"/>
      <c r="AQ14" s="787"/>
      <c r="AR14" s="787"/>
      <c r="AS14" s="787"/>
      <c r="AT14" s="787"/>
      <c r="AU14" s="787"/>
      <c r="AV14" s="787"/>
      <c r="AW14" s="787"/>
      <c r="AX14" s="787"/>
      <c r="AY14" s="787"/>
      <c r="AZ14" s="787">
        <v>0</v>
      </c>
      <c r="BA14" s="787">
        <v>18745.650000000001</v>
      </c>
      <c r="BB14" s="787"/>
      <c r="BC14" s="787"/>
      <c r="BD14" s="787"/>
      <c r="BE14" s="787">
        <v>16665.12</v>
      </c>
      <c r="BF14" s="787"/>
      <c r="BG14" s="787"/>
      <c r="BH14" s="787"/>
      <c r="BI14" s="787"/>
      <c r="BJ14" s="787">
        <f t="shared" si="1"/>
        <v>116303.86000000002</v>
      </c>
      <c r="BK14" s="787"/>
      <c r="BL14" s="787"/>
      <c r="BM14" s="787"/>
      <c r="BN14" s="787">
        <v>11686</v>
      </c>
      <c r="BO14" s="787"/>
      <c r="BP14" s="787"/>
      <c r="BQ14" s="787">
        <f t="shared" si="2"/>
        <v>11686</v>
      </c>
      <c r="BR14" s="787"/>
      <c r="BS14" s="787"/>
      <c r="BT14" s="787"/>
      <c r="BU14" s="787"/>
      <c r="BV14" s="787"/>
      <c r="BW14" s="787"/>
      <c r="BX14" s="787"/>
      <c r="BY14" s="787"/>
      <c r="BZ14" s="787"/>
      <c r="CA14" s="787"/>
      <c r="CB14" s="787"/>
      <c r="CC14" s="787"/>
      <c r="CD14" s="787"/>
      <c r="CE14" s="787"/>
      <c r="CF14" s="787"/>
      <c r="CG14" s="787"/>
      <c r="CH14" s="787"/>
      <c r="CI14" s="787"/>
      <c r="CJ14" s="787"/>
      <c r="CK14" s="787"/>
      <c r="CL14" s="787"/>
      <c r="CM14" s="787"/>
      <c r="CN14" s="787"/>
      <c r="CO14" s="787"/>
      <c r="CP14" s="787"/>
      <c r="CQ14" s="787"/>
      <c r="CR14" s="787"/>
      <c r="CS14" s="787"/>
      <c r="CT14" s="787"/>
      <c r="CU14" s="787"/>
      <c r="CV14" s="787"/>
      <c r="CW14" s="787"/>
      <c r="CX14" s="787"/>
      <c r="CY14" s="787"/>
      <c r="CZ14" s="787"/>
      <c r="DA14" s="787"/>
      <c r="DB14" s="787"/>
      <c r="DC14" s="787"/>
      <c r="DD14" s="787"/>
      <c r="DE14" s="787"/>
      <c r="DF14" s="787"/>
      <c r="DG14" s="787"/>
      <c r="DH14" s="787"/>
      <c r="DI14" s="787"/>
      <c r="DJ14" s="787"/>
      <c r="DK14" s="787"/>
      <c r="DL14" s="787"/>
      <c r="DM14" s="787"/>
      <c r="DN14" s="787"/>
      <c r="DO14" s="787"/>
      <c r="DP14" s="787"/>
      <c r="DQ14" s="787"/>
      <c r="DR14" s="787"/>
      <c r="DS14" s="787"/>
      <c r="DT14" s="787"/>
      <c r="DU14" s="787"/>
      <c r="DV14" s="787"/>
      <c r="DW14" s="787"/>
      <c r="DX14" s="787"/>
      <c r="DY14" s="787"/>
      <c r="DZ14" s="787"/>
      <c r="EA14" s="787"/>
    </row>
    <row r="15" spans="1:131" ht="15.6">
      <c r="A15" s="782" t="s">
        <v>1302</v>
      </c>
      <c r="B15" s="782" t="s">
        <v>876</v>
      </c>
      <c r="C15" s="783">
        <v>2014</v>
      </c>
      <c r="D15" s="784" t="s">
        <v>877</v>
      </c>
      <c r="E15" s="785" t="s">
        <v>521</v>
      </c>
      <c r="F15" s="786">
        <v>46094</v>
      </c>
      <c r="G15" s="785" t="s">
        <v>5</v>
      </c>
      <c r="H15" s="785" t="s">
        <v>888</v>
      </c>
      <c r="I15" s="787">
        <v>2533578.0856182668</v>
      </c>
      <c r="J15" s="787">
        <v>0</v>
      </c>
      <c r="K15" s="787">
        <v>61531.33666666667</v>
      </c>
      <c r="L15" s="787"/>
      <c r="M15" s="787">
        <v>254520</v>
      </c>
      <c r="N15" s="787">
        <v>63567.86</v>
      </c>
      <c r="O15" s="787"/>
      <c r="P15" s="787"/>
      <c r="Q15" s="787">
        <v>3754.7700000000004</v>
      </c>
      <c r="R15" s="787"/>
      <c r="S15" s="787"/>
      <c r="T15" s="787"/>
      <c r="U15" s="787"/>
      <c r="V15" s="787"/>
      <c r="W15" s="787"/>
      <c r="X15" s="787">
        <f t="shared" si="0"/>
        <v>2916952.0522849336</v>
      </c>
      <c r="Y15" s="787"/>
      <c r="Z15" s="787"/>
      <c r="AA15" s="787"/>
      <c r="AB15" s="787"/>
      <c r="AC15" s="787"/>
      <c r="AD15" s="787"/>
      <c r="AE15" s="787"/>
      <c r="AF15" s="787"/>
      <c r="AG15" s="787"/>
      <c r="AH15" s="787"/>
      <c r="AI15" s="787"/>
      <c r="AJ15" s="787"/>
      <c r="AK15" s="787"/>
      <c r="AL15" s="787"/>
      <c r="AM15" s="787"/>
      <c r="AN15" s="787"/>
      <c r="AO15" s="787">
        <v>34184.789999999994</v>
      </c>
      <c r="AP15" s="787"/>
      <c r="AQ15" s="787"/>
      <c r="AR15" s="787"/>
      <c r="AS15" s="787"/>
      <c r="AT15" s="787"/>
      <c r="AU15" s="787"/>
      <c r="AV15" s="787"/>
      <c r="AW15" s="787"/>
      <c r="AX15" s="787"/>
      <c r="AY15" s="787"/>
      <c r="AZ15" s="787">
        <v>10.4</v>
      </c>
      <c r="BA15" s="787">
        <v>11070</v>
      </c>
      <c r="BB15" s="787"/>
      <c r="BC15" s="787"/>
      <c r="BD15" s="787"/>
      <c r="BE15" s="787">
        <v>10223.359999999999</v>
      </c>
      <c r="BF15" s="787"/>
      <c r="BG15" s="787"/>
      <c r="BH15" s="787"/>
      <c r="BI15" s="787"/>
      <c r="BJ15" s="787">
        <f t="shared" si="1"/>
        <v>55488.549999999996</v>
      </c>
      <c r="BK15" s="787"/>
      <c r="BL15" s="787"/>
      <c r="BM15" s="787"/>
      <c r="BN15" s="787">
        <v>8682.25</v>
      </c>
      <c r="BO15" s="787"/>
      <c r="BP15" s="787"/>
      <c r="BQ15" s="787">
        <f t="shared" si="2"/>
        <v>8682.25</v>
      </c>
      <c r="BR15" s="787"/>
      <c r="BS15" s="787"/>
      <c r="BT15" s="787"/>
      <c r="BU15" s="787"/>
      <c r="BV15" s="787"/>
      <c r="BW15" s="787"/>
      <c r="BX15" s="787"/>
      <c r="BY15" s="787"/>
      <c r="BZ15" s="787"/>
      <c r="CA15" s="787"/>
      <c r="CB15" s="787"/>
      <c r="CC15" s="787"/>
      <c r="CD15" s="787"/>
      <c r="CE15" s="787"/>
      <c r="CF15" s="787"/>
      <c r="CG15" s="787"/>
      <c r="CH15" s="787"/>
      <c r="CI15" s="787"/>
      <c r="CJ15" s="787"/>
      <c r="CK15" s="787"/>
      <c r="CL15" s="787"/>
      <c r="CM15" s="787"/>
      <c r="CN15" s="787"/>
      <c r="CO15" s="787"/>
      <c r="CP15" s="787"/>
      <c r="CQ15" s="787"/>
      <c r="CR15" s="787"/>
      <c r="CS15" s="787"/>
      <c r="CT15" s="787"/>
      <c r="CU15" s="787"/>
      <c r="CV15" s="787"/>
      <c r="CW15" s="787"/>
      <c r="CX15" s="787"/>
      <c r="CY15" s="787"/>
      <c r="CZ15" s="787"/>
      <c r="DA15" s="787"/>
      <c r="DB15" s="787"/>
      <c r="DC15" s="787"/>
      <c r="DD15" s="787"/>
      <c r="DE15" s="787"/>
      <c r="DF15" s="787"/>
      <c r="DG15" s="787"/>
      <c r="DH15" s="787"/>
      <c r="DI15" s="787"/>
      <c r="DJ15" s="787"/>
      <c r="DK15" s="787"/>
      <c r="DL15" s="787"/>
      <c r="DM15" s="787"/>
      <c r="DN15" s="787"/>
      <c r="DO15" s="787"/>
      <c r="DP15" s="787"/>
      <c r="DQ15" s="787"/>
      <c r="DR15" s="787"/>
      <c r="DS15" s="787"/>
      <c r="DT15" s="787"/>
      <c r="DU15" s="787"/>
      <c r="DV15" s="787"/>
      <c r="DW15" s="787"/>
      <c r="DX15" s="787"/>
      <c r="DY15" s="787"/>
      <c r="DZ15" s="787"/>
      <c r="EA15" s="787"/>
    </row>
    <row r="16" spans="1:131" ht="15.6">
      <c r="A16" s="782" t="s">
        <v>1303</v>
      </c>
      <c r="B16" s="782" t="s">
        <v>551</v>
      </c>
      <c r="C16" s="783">
        <v>7016</v>
      </c>
      <c r="D16" s="784" t="s">
        <v>552</v>
      </c>
      <c r="E16" s="785" t="s">
        <v>521</v>
      </c>
      <c r="F16" s="786">
        <v>46094</v>
      </c>
      <c r="G16" s="785" t="s">
        <v>5</v>
      </c>
      <c r="H16" s="785" t="s">
        <v>565</v>
      </c>
      <c r="I16" s="787">
        <v>2070454.9573913044</v>
      </c>
      <c r="J16" s="787">
        <v>60048.577419554851</v>
      </c>
      <c r="K16" s="787">
        <v>4205874.2440381898</v>
      </c>
      <c r="L16" s="787"/>
      <c r="M16" s="787">
        <v>73450</v>
      </c>
      <c r="N16" s="787">
        <v>0</v>
      </c>
      <c r="O16" s="787"/>
      <c r="P16" s="787"/>
      <c r="Q16" s="787">
        <v>0</v>
      </c>
      <c r="R16" s="787"/>
      <c r="S16" s="787"/>
      <c r="T16" s="787"/>
      <c r="U16" s="787"/>
      <c r="V16" s="787"/>
      <c r="W16" s="787"/>
      <c r="X16" s="787">
        <f t="shared" si="0"/>
        <v>6409827.7788490485</v>
      </c>
      <c r="Y16" s="787"/>
      <c r="Z16" s="787"/>
      <c r="AA16" s="787"/>
      <c r="AB16" s="787"/>
      <c r="AC16" s="787"/>
      <c r="AD16" s="787"/>
      <c r="AE16" s="787"/>
      <c r="AF16" s="787"/>
      <c r="AG16" s="787"/>
      <c r="AH16" s="787"/>
      <c r="AI16" s="787"/>
      <c r="AJ16" s="787"/>
      <c r="AK16" s="787"/>
      <c r="AL16" s="787"/>
      <c r="AM16" s="787"/>
      <c r="AN16" s="787"/>
      <c r="AO16" s="787">
        <v>0</v>
      </c>
      <c r="AP16" s="787"/>
      <c r="AQ16" s="787"/>
      <c r="AR16" s="787"/>
      <c r="AS16" s="787"/>
      <c r="AT16" s="787"/>
      <c r="AU16" s="787"/>
      <c r="AV16" s="787"/>
      <c r="AW16" s="787"/>
      <c r="AX16" s="787"/>
      <c r="AY16" s="787"/>
      <c r="AZ16" s="787">
        <v>0</v>
      </c>
      <c r="BA16" s="787">
        <v>5076</v>
      </c>
      <c r="BB16" s="787"/>
      <c r="BC16" s="787"/>
      <c r="BD16" s="787"/>
      <c r="BE16" s="787">
        <v>0</v>
      </c>
      <c r="BF16" s="787"/>
      <c r="BG16" s="787"/>
      <c r="BH16" s="787"/>
      <c r="BI16" s="787"/>
      <c r="BJ16" s="787">
        <f t="shared" si="1"/>
        <v>5076</v>
      </c>
      <c r="BK16" s="787"/>
      <c r="BL16" s="787"/>
      <c r="BM16" s="787"/>
      <c r="BN16" s="787">
        <v>13365.63</v>
      </c>
      <c r="BO16" s="787"/>
      <c r="BP16" s="787"/>
      <c r="BQ16" s="787">
        <f t="shared" si="2"/>
        <v>13365.63</v>
      </c>
      <c r="BR16" s="787"/>
      <c r="BS16" s="787"/>
      <c r="BT16" s="787"/>
      <c r="BU16" s="787"/>
      <c r="BV16" s="787"/>
      <c r="BW16" s="787"/>
      <c r="BX16" s="787"/>
      <c r="BY16" s="787"/>
      <c r="BZ16" s="787"/>
      <c r="CA16" s="787"/>
      <c r="CB16" s="787"/>
      <c r="CC16" s="787"/>
      <c r="CD16" s="787"/>
      <c r="CE16" s="787"/>
      <c r="CF16" s="787"/>
      <c r="CG16" s="787"/>
      <c r="CH16" s="787"/>
      <c r="CI16" s="787"/>
      <c r="CJ16" s="787"/>
      <c r="CK16" s="787"/>
      <c r="CL16" s="787"/>
      <c r="CM16" s="787"/>
      <c r="CN16" s="787"/>
      <c r="CO16" s="787"/>
      <c r="CP16" s="787"/>
      <c r="CQ16" s="787"/>
      <c r="CR16" s="787"/>
      <c r="CS16" s="787"/>
      <c r="CT16" s="787"/>
      <c r="CU16" s="787"/>
      <c r="CV16" s="787"/>
      <c r="CW16" s="787"/>
      <c r="CX16" s="787"/>
      <c r="CY16" s="787"/>
      <c r="CZ16" s="787"/>
      <c r="DA16" s="787"/>
      <c r="DB16" s="787"/>
      <c r="DC16" s="787"/>
      <c r="DD16" s="787"/>
      <c r="DE16" s="787"/>
      <c r="DF16" s="787"/>
      <c r="DG16" s="787"/>
      <c r="DH16" s="787"/>
      <c r="DI16" s="787"/>
      <c r="DJ16" s="787"/>
      <c r="DK16" s="787"/>
      <c r="DL16" s="787"/>
      <c r="DM16" s="787"/>
      <c r="DN16" s="787"/>
      <c r="DO16" s="787"/>
      <c r="DP16" s="787"/>
      <c r="DQ16" s="787"/>
      <c r="DR16" s="787"/>
      <c r="DS16" s="787"/>
      <c r="DT16" s="787"/>
      <c r="DU16" s="787"/>
      <c r="DV16" s="787"/>
      <c r="DW16" s="787"/>
      <c r="DX16" s="787"/>
      <c r="DY16" s="787"/>
      <c r="DZ16" s="787"/>
      <c r="EA16" s="787"/>
    </row>
    <row r="17" spans="1:131" ht="15.6">
      <c r="A17" s="782" t="s">
        <v>1304</v>
      </c>
      <c r="B17" s="782" t="s">
        <v>878</v>
      </c>
      <c r="C17" s="783">
        <v>7052</v>
      </c>
      <c r="D17" s="784" t="s">
        <v>879</v>
      </c>
      <c r="E17" s="785" t="s">
        <v>521</v>
      </c>
      <c r="F17" s="786" t="s">
        <v>1305</v>
      </c>
      <c r="G17" s="785" t="s">
        <v>5</v>
      </c>
      <c r="H17" s="785" t="s">
        <v>820</v>
      </c>
      <c r="I17" s="787">
        <v>1035227.4886956522</v>
      </c>
      <c r="J17" s="787">
        <v>0</v>
      </c>
      <c r="K17" s="787">
        <v>1759124.8585535192</v>
      </c>
      <c r="L17" s="787"/>
      <c r="M17" s="787">
        <v>75350</v>
      </c>
      <c r="N17" s="787">
        <v>20511.29</v>
      </c>
      <c r="O17" s="787"/>
      <c r="P17" s="787"/>
      <c r="Q17" s="787">
        <v>9372.93</v>
      </c>
      <c r="R17" s="787"/>
      <c r="S17" s="787"/>
      <c r="T17" s="787"/>
      <c r="U17" s="787"/>
      <c r="V17" s="787"/>
      <c r="W17" s="787"/>
      <c r="X17" s="787">
        <f t="shared" si="0"/>
        <v>2899586.5672491719</v>
      </c>
      <c r="Y17" s="787"/>
      <c r="Z17" s="787"/>
      <c r="AA17" s="787"/>
      <c r="AB17" s="787"/>
      <c r="AC17" s="787"/>
      <c r="AD17" s="787"/>
      <c r="AE17" s="787"/>
      <c r="AF17" s="787"/>
      <c r="AG17" s="787"/>
      <c r="AH17" s="787"/>
      <c r="AI17" s="787"/>
      <c r="AJ17" s="787"/>
      <c r="AK17" s="787"/>
      <c r="AL17" s="787"/>
      <c r="AM17" s="787"/>
      <c r="AN17" s="787"/>
      <c r="AO17" s="787">
        <v>0</v>
      </c>
      <c r="AP17" s="787"/>
      <c r="AQ17" s="787"/>
      <c r="AR17" s="787"/>
      <c r="AS17" s="787"/>
      <c r="AT17" s="787"/>
      <c r="AU17" s="787"/>
      <c r="AV17" s="787"/>
      <c r="AW17" s="787"/>
      <c r="AX17" s="787"/>
      <c r="AY17" s="787"/>
      <c r="AZ17" s="787">
        <v>21.309999999999988</v>
      </c>
      <c r="BA17" s="787">
        <v>3291.75</v>
      </c>
      <c r="BB17" s="787"/>
      <c r="BC17" s="787"/>
      <c r="BD17" s="787"/>
      <c r="BE17" s="787">
        <v>0</v>
      </c>
      <c r="BF17" s="787"/>
      <c r="BG17" s="787"/>
      <c r="BH17" s="787"/>
      <c r="BI17" s="787"/>
      <c r="BJ17" s="787">
        <f t="shared" si="1"/>
        <v>3313.06</v>
      </c>
      <c r="BK17" s="787"/>
      <c r="BL17" s="787"/>
      <c r="BM17" s="787"/>
      <c r="BN17" s="787">
        <v>8784.06</v>
      </c>
      <c r="BO17" s="787"/>
      <c r="BP17" s="787"/>
      <c r="BQ17" s="787">
        <f t="shared" si="2"/>
        <v>8784.06</v>
      </c>
      <c r="BR17" s="787"/>
      <c r="BS17" s="787"/>
      <c r="BT17" s="787"/>
      <c r="BU17" s="787"/>
      <c r="BV17" s="787"/>
      <c r="BW17" s="787"/>
      <c r="BX17" s="787"/>
      <c r="BY17" s="787"/>
      <c r="BZ17" s="787"/>
      <c r="CA17" s="787"/>
      <c r="CB17" s="787"/>
      <c r="CC17" s="787"/>
      <c r="CD17" s="787"/>
      <c r="CE17" s="787"/>
      <c r="CF17" s="787"/>
      <c r="CG17" s="787"/>
      <c r="CH17" s="787"/>
      <c r="CI17" s="787"/>
      <c r="CJ17" s="787"/>
      <c r="CK17" s="787"/>
      <c r="CL17" s="787"/>
      <c r="CM17" s="787"/>
      <c r="CN17" s="787"/>
      <c r="CO17" s="787"/>
      <c r="CP17" s="787"/>
      <c r="CQ17" s="787"/>
      <c r="CR17" s="787"/>
      <c r="CS17" s="787"/>
      <c r="CT17" s="787"/>
      <c r="CU17" s="787"/>
      <c r="CV17" s="787"/>
      <c r="CW17" s="787"/>
      <c r="CX17" s="787"/>
      <c r="CY17" s="787"/>
      <c r="CZ17" s="787"/>
      <c r="DA17" s="787"/>
      <c r="DB17" s="787"/>
      <c r="DC17" s="787"/>
      <c r="DD17" s="787"/>
      <c r="DE17" s="787"/>
      <c r="DF17" s="787"/>
      <c r="DG17" s="787"/>
      <c r="DH17" s="787"/>
      <c r="DI17" s="787"/>
      <c r="DJ17" s="787"/>
      <c r="DK17" s="787"/>
      <c r="DL17" s="787"/>
      <c r="DM17" s="787"/>
      <c r="DN17" s="787"/>
      <c r="DO17" s="787"/>
      <c r="DP17" s="787"/>
      <c r="DQ17" s="787"/>
      <c r="DR17" s="787"/>
      <c r="DS17" s="787"/>
      <c r="DT17" s="787"/>
      <c r="DU17" s="787"/>
      <c r="DV17" s="787"/>
      <c r="DW17" s="787"/>
      <c r="DX17" s="787"/>
      <c r="DY17" s="787"/>
      <c r="DZ17" s="787"/>
      <c r="EA17" s="787"/>
    </row>
    <row r="18" spans="1:131" ht="15.6">
      <c r="A18" s="782" t="s">
        <v>1306</v>
      </c>
      <c r="B18" s="782" t="s">
        <v>554</v>
      </c>
      <c r="C18" s="783">
        <v>2017</v>
      </c>
      <c r="D18" s="784" t="s">
        <v>555</v>
      </c>
      <c r="E18" s="785" t="s">
        <v>521</v>
      </c>
      <c r="F18" s="786" t="s">
        <v>1307</v>
      </c>
      <c r="G18" s="785" t="s">
        <v>5</v>
      </c>
      <c r="H18" s="785" t="s">
        <v>567</v>
      </c>
      <c r="I18" s="787">
        <v>1829264.3645051515</v>
      </c>
      <c r="J18" s="787">
        <v>0</v>
      </c>
      <c r="K18" s="787">
        <v>219412.995</v>
      </c>
      <c r="L18" s="787"/>
      <c r="M18" s="787">
        <v>142410</v>
      </c>
      <c r="N18" s="787">
        <v>76573.600000000006</v>
      </c>
      <c r="O18" s="787"/>
      <c r="P18" s="787"/>
      <c r="Q18" s="787">
        <v>2715.6799999999994</v>
      </c>
      <c r="R18" s="787"/>
      <c r="S18" s="787"/>
      <c r="T18" s="787"/>
      <c r="U18" s="787"/>
      <c r="V18" s="787"/>
      <c r="W18" s="787"/>
      <c r="X18" s="787">
        <f t="shared" si="0"/>
        <v>2270376.6395051517</v>
      </c>
      <c r="Y18" s="787"/>
      <c r="Z18" s="787"/>
      <c r="AA18" s="787"/>
      <c r="AB18" s="787"/>
      <c r="AC18" s="787"/>
      <c r="AD18" s="787"/>
      <c r="AE18" s="787"/>
      <c r="AF18" s="787"/>
      <c r="AG18" s="787"/>
      <c r="AH18" s="787"/>
      <c r="AI18" s="787"/>
      <c r="AJ18" s="787"/>
      <c r="AK18" s="787"/>
      <c r="AL18" s="787"/>
      <c r="AM18" s="787"/>
      <c r="AN18" s="787"/>
      <c r="AO18" s="787">
        <v>28407.830000000005</v>
      </c>
      <c r="AP18" s="787"/>
      <c r="AQ18" s="787"/>
      <c r="AR18" s="787"/>
      <c r="AS18" s="787"/>
      <c r="AT18" s="787"/>
      <c r="AU18" s="787"/>
      <c r="AV18" s="787"/>
      <c r="AW18" s="787"/>
      <c r="AX18" s="787"/>
      <c r="AY18" s="787"/>
      <c r="AZ18" s="787">
        <v>35.700000000000003</v>
      </c>
      <c r="BA18" s="787">
        <v>5139.75</v>
      </c>
      <c r="BB18" s="787"/>
      <c r="BC18" s="787"/>
      <c r="BD18" s="787"/>
      <c r="BE18" s="787">
        <v>6911.2</v>
      </c>
      <c r="BF18" s="787"/>
      <c r="BG18" s="787"/>
      <c r="BH18" s="787"/>
      <c r="BI18" s="787"/>
      <c r="BJ18" s="787">
        <f t="shared" si="1"/>
        <v>40494.480000000003</v>
      </c>
      <c r="BK18" s="787"/>
      <c r="BL18" s="787"/>
      <c r="BM18" s="787"/>
      <c r="BN18" s="787">
        <v>7026.25</v>
      </c>
      <c r="BO18" s="787"/>
      <c r="BP18" s="787"/>
      <c r="BQ18" s="787">
        <f t="shared" si="2"/>
        <v>7026.25</v>
      </c>
      <c r="BR18" s="787"/>
      <c r="BS18" s="787"/>
      <c r="BT18" s="787"/>
      <c r="BU18" s="787"/>
      <c r="BV18" s="787"/>
      <c r="BW18" s="787"/>
      <c r="BX18" s="787"/>
      <c r="BY18" s="787"/>
      <c r="BZ18" s="787"/>
      <c r="CA18" s="787"/>
      <c r="CB18" s="787"/>
      <c r="CC18" s="787"/>
      <c r="CD18" s="787"/>
      <c r="CE18" s="787"/>
      <c r="CF18" s="787"/>
      <c r="CG18" s="787"/>
      <c r="CH18" s="787"/>
      <c r="CI18" s="787"/>
      <c r="CJ18" s="787"/>
      <c r="CK18" s="787"/>
      <c r="CL18" s="787"/>
      <c r="CM18" s="787"/>
      <c r="CN18" s="787"/>
      <c r="CO18" s="787"/>
      <c r="CP18" s="787"/>
      <c r="CQ18" s="787"/>
      <c r="CR18" s="787"/>
      <c r="CS18" s="787"/>
      <c r="CT18" s="787"/>
      <c r="CU18" s="787"/>
      <c r="CV18" s="787"/>
      <c r="CW18" s="787"/>
      <c r="CX18" s="787"/>
      <c r="CY18" s="787"/>
      <c r="CZ18" s="787"/>
      <c r="DA18" s="787"/>
      <c r="DB18" s="787"/>
      <c r="DC18" s="787"/>
      <c r="DD18" s="787"/>
      <c r="DE18" s="787"/>
      <c r="DF18" s="787"/>
      <c r="DG18" s="787"/>
      <c r="DH18" s="787"/>
      <c r="DI18" s="787"/>
      <c r="DJ18" s="787"/>
      <c r="DK18" s="787"/>
      <c r="DL18" s="787"/>
      <c r="DM18" s="787"/>
      <c r="DN18" s="787"/>
      <c r="DO18" s="787"/>
      <c r="DP18" s="787"/>
      <c r="DQ18" s="787"/>
      <c r="DR18" s="787"/>
      <c r="DS18" s="787"/>
      <c r="DT18" s="787"/>
      <c r="DU18" s="787"/>
      <c r="DV18" s="787"/>
      <c r="DW18" s="787"/>
      <c r="DX18" s="787"/>
      <c r="DY18" s="787"/>
      <c r="DZ18" s="787"/>
      <c r="EA18" s="787"/>
    </row>
    <row r="19" spans="1:131" ht="15.6">
      <c r="A19" s="782" t="s">
        <v>1308</v>
      </c>
      <c r="B19" s="782" t="s">
        <v>556</v>
      </c>
      <c r="C19" s="783">
        <v>2016</v>
      </c>
      <c r="D19" s="784" t="s">
        <v>557</v>
      </c>
      <c r="E19" s="785" t="s">
        <v>521</v>
      </c>
      <c r="F19" s="786">
        <v>0</v>
      </c>
      <c r="G19" s="785" t="s">
        <v>5</v>
      </c>
      <c r="H19" s="785" t="s">
        <v>569</v>
      </c>
      <c r="I19" s="787">
        <v>2349642.6641679588</v>
      </c>
      <c r="J19" s="787">
        <v>0</v>
      </c>
      <c r="K19" s="787">
        <v>144585.34</v>
      </c>
      <c r="L19" s="787"/>
      <c r="M19" s="787">
        <v>247660</v>
      </c>
      <c r="N19" s="787">
        <v>26232.86</v>
      </c>
      <c r="O19" s="787"/>
      <c r="P19" s="787"/>
      <c r="Q19" s="787">
        <v>9906.8040000000001</v>
      </c>
      <c r="R19" s="787"/>
      <c r="S19" s="787"/>
      <c r="T19" s="787"/>
      <c r="U19" s="787"/>
      <c r="V19" s="787"/>
      <c r="W19" s="787"/>
      <c r="X19" s="787">
        <f t="shared" si="0"/>
        <v>2778027.6681679585</v>
      </c>
      <c r="Y19" s="787"/>
      <c r="Z19" s="787"/>
      <c r="AA19" s="787"/>
      <c r="AB19" s="787"/>
      <c r="AC19" s="787"/>
      <c r="AD19" s="787"/>
      <c r="AE19" s="787"/>
      <c r="AF19" s="787"/>
      <c r="AG19" s="787"/>
      <c r="AH19" s="787"/>
      <c r="AI19" s="787"/>
      <c r="AJ19" s="787"/>
      <c r="AK19" s="787"/>
      <c r="AL19" s="787"/>
      <c r="AM19" s="787"/>
      <c r="AN19" s="787"/>
      <c r="AO19" s="787">
        <v>42611.74</v>
      </c>
      <c r="AP19" s="787"/>
      <c r="AQ19" s="787"/>
      <c r="AR19" s="787"/>
      <c r="AS19" s="787"/>
      <c r="AT19" s="787"/>
      <c r="AU19" s="787"/>
      <c r="AV19" s="787"/>
      <c r="AW19" s="787"/>
      <c r="AX19" s="787"/>
      <c r="AY19" s="787"/>
      <c r="AZ19" s="787">
        <v>14.01</v>
      </c>
      <c r="BA19" s="787">
        <v>9471</v>
      </c>
      <c r="BB19" s="787"/>
      <c r="BC19" s="787"/>
      <c r="BD19" s="787"/>
      <c r="BE19" s="787">
        <v>9362.7199999999993</v>
      </c>
      <c r="BF19" s="787"/>
      <c r="BG19" s="787"/>
      <c r="BH19" s="787"/>
      <c r="BI19" s="787"/>
      <c r="BJ19" s="787">
        <f t="shared" si="1"/>
        <v>61459.47</v>
      </c>
      <c r="BK19" s="787"/>
      <c r="BL19" s="787"/>
      <c r="BM19" s="787"/>
      <c r="BN19" s="787">
        <v>8044.38</v>
      </c>
      <c r="BO19" s="787"/>
      <c r="BP19" s="787"/>
      <c r="BQ19" s="787">
        <f t="shared" si="2"/>
        <v>8044.38</v>
      </c>
      <c r="BR19" s="787"/>
      <c r="BS19" s="787"/>
      <c r="BT19" s="787"/>
      <c r="BU19" s="787"/>
      <c r="BV19" s="787"/>
      <c r="BW19" s="787"/>
      <c r="BX19" s="787"/>
      <c r="BY19" s="787"/>
      <c r="BZ19" s="787"/>
      <c r="CA19" s="787"/>
      <c r="CB19" s="787"/>
      <c r="CC19" s="787"/>
      <c r="CD19" s="787"/>
      <c r="CE19" s="787"/>
      <c r="CF19" s="787"/>
      <c r="CG19" s="787"/>
      <c r="CH19" s="787"/>
      <c r="CI19" s="787"/>
      <c r="CJ19" s="787"/>
      <c r="CK19" s="787"/>
      <c r="CL19" s="787"/>
      <c r="CM19" s="787"/>
      <c r="CN19" s="787"/>
      <c r="CO19" s="787"/>
      <c r="CP19" s="787"/>
      <c r="CQ19" s="787"/>
      <c r="CR19" s="787"/>
      <c r="CS19" s="787"/>
      <c r="CT19" s="787"/>
      <c r="CU19" s="787"/>
      <c r="CV19" s="787"/>
      <c r="CW19" s="787"/>
      <c r="CX19" s="787"/>
      <c r="CY19" s="787"/>
      <c r="CZ19" s="787"/>
      <c r="DA19" s="787"/>
      <c r="DB19" s="787"/>
      <c r="DC19" s="787"/>
      <c r="DD19" s="787"/>
      <c r="DE19" s="787"/>
      <c r="DF19" s="787"/>
      <c r="DG19" s="787"/>
      <c r="DH19" s="787"/>
      <c r="DI19" s="787"/>
      <c r="DJ19" s="787"/>
      <c r="DK19" s="787"/>
      <c r="DL19" s="787"/>
      <c r="DM19" s="787"/>
      <c r="DN19" s="787"/>
      <c r="DO19" s="787"/>
      <c r="DP19" s="787"/>
      <c r="DQ19" s="787"/>
      <c r="DR19" s="787"/>
      <c r="DS19" s="787"/>
      <c r="DT19" s="787"/>
      <c r="DU19" s="787"/>
      <c r="DV19" s="787"/>
      <c r="DW19" s="787"/>
      <c r="DX19" s="787"/>
      <c r="DY19" s="787"/>
      <c r="DZ19" s="787"/>
      <c r="EA19" s="787"/>
    </row>
    <row r="20" spans="1:131" ht="15.6">
      <c r="A20" s="782" t="s">
        <v>1309</v>
      </c>
      <c r="B20" s="782" t="s">
        <v>558</v>
      </c>
      <c r="C20" s="783">
        <v>2239</v>
      </c>
      <c r="D20" s="784" t="s">
        <v>559</v>
      </c>
      <c r="E20" s="785" t="s">
        <v>521</v>
      </c>
      <c r="F20" s="786" t="s">
        <v>1310</v>
      </c>
      <c r="G20" s="785" t="s">
        <v>5</v>
      </c>
      <c r="H20" s="785" t="s">
        <v>571</v>
      </c>
      <c r="I20" s="787">
        <v>1215961.9894904436</v>
      </c>
      <c r="J20" s="787">
        <v>0</v>
      </c>
      <c r="K20" s="787">
        <v>123705.01973222529</v>
      </c>
      <c r="L20" s="787"/>
      <c r="M20" s="787">
        <v>110945</v>
      </c>
      <c r="N20" s="787">
        <v>44967.57</v>
      </c>
      <c r="O20" s="787"/>
      <c r="P20" s="787"/>
      <c r="Q20" s="787">
        <v>1771.0242600000015</v>
      </c>
      <c r="R20" s="787"/>
      <c r="S20" s="787"/>
      <c r="T20" s="787"/>
      <c r="U20" s="787"/>
      <c r="V20" s="787"/>
      <c r="W20" s="787"/>
      <c r="X20" s="787">
        <f t="shared" si="0"/>
        <v>1497350.603482669</v>
      </c>
      <c r="Y20" s="787"/>
      <c r="Z20" s="787"/>
      <c r="AA20" s="787"/>
      <c r="AB20" s="787"/>
      <c r="AC20" s="787"/>
      <c r="AD20" s="787"/>
      <c r="AE20" s="787"/>
      <c r="AF20" s="787"/>
      <c r="AG20" s="787"/>
      <c r="AH20" s="787"/>
      <c r="AI20" s="787"/>
      <c r="AJ20" s="787"/>
      <c r="AK20" s="787"/>
      <c r="AL20" s="787"/>
      <c r="AM20" s="787"/>
      <c r="AN20" s="787"/>
      <c r="AO20" s="787">
        <v>11105.600000000004</v>
      </c>
      <c r="AP20" s="787"/>
      <c r="AQ20" s="787"/>
      <c r="AR20" s="787"/>
      <c r="AS20" s="787"/>
      <c r="AT20" s="787"/>
      <c r="AU20" s="787"/>
      <c r="AV20" s="787"/>
      <c r="AW20" s="787"/>
      <c r="AX20" s="787"/>
      <c r="AY20" s="787"/>
      <c r="AZ20" s="787">
        <v>54.83</v>
      </c>
      <c r="BA20" s="787">
        <v>3291.75</v>
      </c>
      <c r="BB20" s="787"/>
      <c r="BC20" s="787"/>
      <c r="BD20" s="787"/>
      <c r="BE20" s="787">
        <v>3833.7599999999998</v>
      </c>
      <c r="BF20" s="787"/>
      <c r="BG20" s="787"/>
      <c r="BH20" s="787"/>
      <c r="BI20" s="787"/>
      <c r="BJ20" s="787">
        <f t="shared" si="1"/>
        <v>18285.940000000002</v>
      </c>
      <c r="BK20" s="787"/>
      <c r="BL20" s="787"/>
      <c r="BM20" s="787"/>
      <c r="BN20" s="787">
        <v>6191.5</v>
      </c>
      <c r="BO20" s="787"/>
      <c r="BP20" s="787"/>
      <c r="BQ20" s="787">
        <f t="shared" si="2"/>
        <v>6191.5</v>
      </c>
      <c r="BR20" s="787"/>
      <c r="BS20" s="787"/>
      <c r="BT20" s="787"/>
      <c r="BU20" s="787"/>
      <c r="BV20" s="787"/>
      <c r="BW20" s="787"/>
      <c r="BX20" s="787"/>
      <c r="BY20" s="787"/>
      <c r="BZ20" s="787"/>
      <c r="CA20" s="787"/>
      <c r="CB20" s="787"/>
      <c r="CC20" s="787"/>
      <c r="CD20" s="787"/>
      <c r="CE20" s="787"/>
      <c r="CF20" s="787"/>
      <c r="CG20" s="787"/>
      <c r="CH20" s="787"/>
      <c r="CI20" s="787"/>
      <c r="CJ20" s="787"/>
      <c r="CK20" s="787"/>
      <c r="CL20" s="787"/>
      <c r="CM20" s="787"/>
      <c r="CN20" s="787"/>
      <c r="CO20" s="787"/>
      <c r="CP20" s="787"/>
      <c r="CQ20" s="787"/>
      <c r="CR20" s="787"/>
      <c r="CS20" s="787"/>
      <c r="CT20" s="787"/>
      <c r="CU20" s="787"/>
      <c r="CV20" s="787"/>
      <c r="CW20" s="787"/>
      <c r="CX20" s="787"/>
      <c r="CY20" s="787"/>
      <c r="CZ20" s="787"/>
      <c r="DA20" s="787"/>
      <c r="DB20" s="787"/>
      <c r="DC20" s="787"/>
      <c r="DD20" s="787"/>
      <c r="DE20" s="787"/>
      <c r="DF20" s="787"/>
      <c r="DG20" s="787"/>
      <c r="DH20" s="787"/>
      <c r="DI20" s="787"/>
      <c r="DJ20" s="787"/>
      <c r="DK20" s="787"/>
      <c r="DL20" s="787"/>
      <c r="DM20" s="787"/>
      <c r="DN20" s="787"/>
      <c r="DO20" s="787"/>
      <c r="DP20" s="787"/>
      <c r="DQ20" s="787"/>
      <c r="DR20" s="787"/>
      <c r="DS20" s="787"/>
      <c r="DT20" s="787"/>
      <c r="DU20" s="787"/>
      <c r="DV20" s="787"/>
      <c r="DW20" s="787"/>
      <c r="DX20" s="787"/>
      <c r="DY20" s="787"/>
      <c r="DZ20" s="787"/>
      <c r="EA20" s="787"/>
    </row>
    <row r="21" spans="1:131" ht="15.6">
      <c r="A21" s="782" t="s">
        <v>1311</v>
      </c>
      <c r="B21" s="782" t="s">
        <v>560</v>
      </c>
      <c r="C21" s="783">
        <v>2241</v>
      </c>
      <c r="D21" s="784" t="s">
        <v>561</v>
      </c>
      <c r="E21" s="785" t="s">
        <v>521</v>
      </c>
      <c r="F21" s="786">
        <v>46094</v>
      </c>
      <c r="G21" s="785" t="s">
        <v>5</v>
      </c>
      <c r="H21" s="785" t="s">
        <v>573</v>
      </c>
      <c r="I21" s="787">
        <v>1602553.6578248756</v>
      </c>
      <c r="J21" s="787">
        <v>0</v>
      </c>
      <c r="K21" s="787">
        <v>109328.55666666667</v>
      </c>
      <c r="L21" s="787"/>
      <c r="M21" s="787">
        <v>220675</v>
      </c>
      <c r="N21" s="787">
        <v>33446.259999999995</v>
      </c>
      <c r="O21" s="787"/>
      <c r="P21" s="787"/>
      <c r="Q21" s="787">
        <v>0</v>
      </c>
      <c r="R21" s="787"/>
      <c r="S21" s="787"/>
      <c r="T21" s="787"/>
      <c r="U21" s="787"/>
      <c r="V21" s="787"/>
      <c r="W21" s="787"/>
      <c r="X21" s="787">
        <f t="shared" si="0"/>
        <v>1966003.4744915422</v>
      </c>
      <c r="Y21" s="787"/>
      <c r="Z21" s="787"/>
      <c r="AA21" s="787"/>
      <c r="AB21" s="787"/>
      <c r="AC21" s="787"/>
      <c r="AD21" s="787"/>
      <c r="AE21" s="787"/>
      <c r="AF21" s="787"/>
      <c r="AG21" s="787"/>
      <c r="AH21" s="787"/>
      <c r="AI21" s="787"/>
      <c r="AJ21" s="787"/>
      <c r="AK21" s="787"/>
      <c r="AL21" s="787"/>
      <c r="AM21" s="787"/>
      <c r="AN21" s="787"/>
      <c r="AO21" s="787">
        <v>14721.389999999998</v>
      </c>
      <c r="AP21" s="787"/>
      <c r="AQ21" s="787"/>
      <c r="AR21" s="787"/>
      <c r="AS21" s="787"/>
      <c r="AT21" s="787"/>
      <c r="AU21" s="787"/>
      <c r="AV21" s="787"/>
      <c r="AW21" s="787"/>
      <c r="AX21" s="787"/>
      <c r="AY21" s="787"/>
      <c r="AZ21" s="787">
        <v>0</v>
      </c>
      <c r="BA21" s="787">
        <v>5139.75</v>
      </c>
      <c r="BB21" s="787"/>
      <c r="BC21" s="787"/>
      <c r="BD21" s="787"/>
      <c r="BE21" s="787">
        <v>6363.5199999999977</v>
      </c>
      <c r="BF21" s="787"/>
      <c r="BG21" s="787"/>
      <c r="BH21" s="787"/>
      <c r="BI21" s="787"/>
      <c r="BJ21" s="787">
        <f t="shared" si="1"/>
        <v>26224.659999999996</v>
      </c>
      <c r="BK21" s="787"/>
      <c r="BL21" s="787"/>
      <c r="BM21" s="787"/>
      <c r="BN21" s="787">
        <v>6756.25</v>
      </c>
      <c r="BO21" s="787"/>
      <c r="BP21" s="787"/>
      <c r="BQ21" s="787">
        <f t="shared" si="2"/>
        <v>6756.25</v>
      </c>
      <c r="BR21" s="787"/>
      <c r="BS21" s="787"/>
      <c r="BT21" s="787"/>
      <c r="BU21" s="787"/>
      <c r="BV21" s="787"/>
      <c r="BW21" s="787"/>
      <c r="BX21" s="787"/>
      <c r="BY21" s="787"/>
      <c r="BZ21" s="787"/>
      <c r="CA21" s="787"/>
      <c r="CB21" s="787"/>
      <c r="CC21" s="787"/>
      <c r="CD21" s="787"/>
      <c r="CE21" s="787"/>
      <c r="CF21" s="787"/>
      <c r="CG21" s="787"/>
      <c r="CH21" s="787"/>
      <c r="CI21" s="787"/>
      <c r="CJ21" s="787"/>
      <c r="CK21" s="787"/>
      <c r="CL21" s="787"/>
      <c r="CM21" s="787"/>
      <c r="CN21" s="787"/>
      <c r="CO21" s="787"/>
      <c r="CP21" s="787"/>
      <c r="CQ21" s="787"/>
      <c r="CR21" s="787"/>
      <c r="CS21" s="787"/>
      <c r="CT21" s="787"/>
      <c r="CU21" s="787"/>
      <c r="CV21" s="787"/>
      <c r="CW21" s="787"/>
      <c r="CX21" s="787"/>
      <c r="CY21" s="787"/>
      <c r="CZ21" s="787"/>
      <c r="DA21" s="787"/>
      <c r="DB21" s="787"/>
      <c r="DC21" s="787"/>
      <c r="DD21" s="787"/>
      <c r="DE21" s="787"/>
      <c r="DF21" s="787"/>
      <c r="DG21" s="787"/>
      <c r="DH21" s="787"/>
      <c r="DI21" s="787"/>
      <c r="DJ21" s="787"/>
      <c r="DK21" s="787"/>
      <c r="DL21" s="787"/>
      <c r="DM21" s="787"/>
      <c r="DN21" s="787"/>
      <c r="DO21" s="787"/>
      <c r="DP21" s="787"/>
      <c r="DQ21" s="787"/>
      <c r="DR21" s="787"/>
      <c r="DS21" s="787"/>
      <c r="DT21" s="787"/>
      <c r="DU21" s="787"/>
      <c r="DV21" s="787"/>
      <c r="DW21" s="787"/>
      <c r="DX21" s="787"/>
      <c r="DY21" s="787"/>
      <c r="DZ21" s="787"/>
      <c r="EA21" s="787"/>
    </row>
    <row r="22" spans="1:131" ht="15.6">
      <c r="A22" s="782" t="s">
        <v>1312</v>
      </c>
      <c r="B22" s="782" t="s">
        <v>880</v>
      </c>
      <c r="C22" s="783">
        <v>2456</v>
      </c>
      <c r="D22" s="784" t="s">
        <v>881</v>
      </c>
      <c r="E22" s="785" t="s">
        <v>521</v>
      </c>
      <c r="F22" s="786">
        <v>46091</v>
      </c>
      <c r="G22" s="785" t="s">
        <v>5</v>
      </c>
      <c r="H22" s="785" t="s">
        <v>890</v>
      </c>
      <c r="I22" s="787">
        <v>1371481.1628200002</v>
      </c>
      <c r="J22" s="787">
        <v>0</v>
      </c>
      <c r="K22" s="787">
        <v>117973.5</v>
      </c>
      <c r="L22" s="787"/>
      <c r="M22" s="787">
        <v>124545</v>
      </c>
      <c r="N22" s="787">
        <v>43280</v>
      </c>
      <c r="O22" s="787"/>
      <c r="P22" s="787"/>
      <c r="Q22" s="787">
        <v>1694.0600000000002</v>
      </c>
      <c r="R22" s="787"/>
      <c r="S22" s="787"/>
      <c r="T22" s="787"/>
      <c r="U22" s="787"/>
      <c r="V22" s="787"/>
      <c r="W22" s="787"/>
      <c r="X22" s="787">
        <f t="shared" si="0"/>
        <v>1658973.7228200003</v>
      </c>
      <c r="Y22" s="787"/>
      <c r="Z22" s="787"/>
      <c r="AA22" s="787"/>
      <c r="AB22" s="787"/>
      <c r="AC22" s="787"/>
      <c r="AD22" s="787"/>
      <c r="AE22" s="787"/>
      <c r="AF22" s="787"/>
      <c r="AG22" s="787"/>
      <c r="AH22" s="787"/>
      <c r="AI22" s="787"/>
      <c r="AJ22" s="787"/>
      <c r="AK22" s="787"/>
      <c r="AL22" s="787"/>
      <c r="AM22" s="787"/>
      <c r="AN22" s="787"/>
      <c r="AO22" s="787">
        <v>43724.74</v>
      </c>
      <c r="AP22" s="787"/>
      <c r="AQ22" s="787"/>
      <c r="AR22" s="787"/>
      <c r="AS22" s="787"/>
      <c r="AT22" s="787"/>
      <c r="AU22" s="787"/>
      <c r="AV22" s="787"/>
      <c r="AW22" s="787"/>
      <c r="AX22" s="787"/>
      <c r="AY22" s="787"/>
      <c r="AZ22" s="787">
        <v>71.650000000000006</v>
      </c>
      <c r="BA22" s="787">
        <v>5427</v>
      </c>
      <c r="BB22" s="787"/>
      <c r="BC22" s="787"/>
      <c r="BD22" s="787"/>
      <c r="BE22" s="787">
        <v>5242.0800000000008</v>
      </c>
      <c r="BF22" s="787"/>
      <c r="BG22" s="787"/>
      <c r="BH22" s="787"/>
      <c r="BI22" s="787"/>
      <c r="BJ22" s="787">
        <f t="shared" si="1"/>
        <v>54465.47</v>
      </c>
      <c r="BK22" s="787"/>
      <c r="BL22" s="787"/>
      <c r="BM22" s="787"/>
      <c r="BN22" s="787">
        <v>6283.75</v>
      </c>
      <c r="BO22" s="787"/>
      <c r="BP22" s="787"/>
      <c r="BQ22" s="787">
        <f t="shared" si="2"/>
        <v>6283.75</v>
      </c>
      <c r="BR22" s="787"/>
      <c r="BS22" s="787"/>
      <c r="BT22" s="787"/>
      <c r="BU22" s="787"/>
      <c r="BV22" s="787"/>
      <c r="BW22" s="787"/>
      <c r="BX22" s="787"/>
      <c r="BY22" s="787"/>
      <c r="BZ22" s="787"/>
      <c r="CA22" s="787"/>
      <c r="CB22" s="787"/>
      <c r="CC22" s="787"/>
      <c r="CD22" s="787"/>
      <c r="CE22" s="787"/>
      <c r="CF22" s="787"/>
      <c r="CG22" s="787"/>
      <c r="CH22" s="787"/>
      <c r="CI22" s="787"/>
      <c r="CJ22" s="787"/>
      <c r="CK22" s="787"/>
      <c r="CL22" s="787"/>
      <c r="CM22" s="787"/>
      <c r="CN22" s="787"/>
      <c r="CO22" s="787"/>
      <c r="CP22" s="787"/>
      <c r="CQ22" s="787"/>
      <c r="CR22" s="787"/>
      <c r="CS22" s="787"/>
      <c r="CT22" s="787"/>
      <c r="CU22" s="787"/>
      <c r="CV22" s="787"/>
      <c r="CW22" s="787"/>
      <c r="CX22" s="787"/>
      <c r="CY22" s="787"/>
      <c r="CZ22" s="787"/>
      <c r="DA22" s="787"/>
      <c r="DB22" s="787"/>
      <c r="DC22" s="787"/>
      <c r="DD22" s="787"/>
      <c r="DE22" s="787"/>
      <c r="DF22" s="787"/>
      <c r="DG22" s="787"/>
      <c r="DH22" s="787"/>
      <c r="DI22" s="787"/>
      <c r="DJ22" s="787"/>
      <c r="DK22" s="787"/>
      <c r="DL22" s="787"/>
      <c r="DM22" s="787"/>
      <c r="DN22" s="787"/>
      <c r="DO22" s="787"/>
      <c r="DP22" s="787"/>
      <c r="DQ22" s="787"/>
      <c r="DR22" s="787"/>
      <c r="DS22" s="787"/>
      <c r="DT22" s="787"/>
      <c r="DU22" s="787"/>
      <c r="DV22" s="787"/>
      <c r="DW22" s="787"/>
      <c r="DX22" s="787"/>
      <c r="DY22" s="787"/>
      <c r="DZ22" s="787"/>
      <c r="EA22" s="787"/>
    </row>
    <row r="23" spans="1:131" ht="15.6">
      <c r="A23" s="782" t="s">
        <v>1313</v>
      </c>
      <c r="B23" s="782" t="s">
        <v>562</v>
      </c>
      <c r="C23" s="783">
        <v>5413</v>
      </c>
      <c r="D23" s="784" t="s">
        <v>563</v>
      </c>
      <c r="E23" s="785" t="s">
        <v>521</v>
      </c>
      <c r="F23" s="786">
        <v>46092</v>
      </c>
      <c r="G23" s="785" t="s">
        <v>5</v>
      </c>
      <c r="H23" s="785" t="s">
        <v>575</v>
      </c>
      <c r="I23" s="787">
        <v>7581383.8208234208</v>
      </c>
      <c r="J23" s="787">
        <v>1640937.4366666661</v>
      </c>
      <c r="K23" s="787">
        <v>130252.50333333331</v>
      </c>
      <c r="L23" s="787"/>
      <c r="M23" s="787">
        <v>420215</v>
      </c>
      <c r="N23" s="787">
        <v>25785.48</v>
      </c>
      <c r="O23" s="787"/>
      <c r="P23" s="787"/>
      <c r="Q23" s="787">
        <v>0</v>
      </c>
      <c r="R23" s="787"/>
      <c r="S23" s="787"/>
      <c r="T23" s="787"/>
      <c r="U23" s="787"/>
      <c r="V23" s="787"/>
      <c r="W23" s="787"/>
      <c r="X23" s="787">
        <f t="shared" si="0"/>
        <v>9798574.2408234216</v>
      </c>
      <c r="Y23" s="787"/>
      <c r="Z23" s="787"/>
      <c r="AA23" s="787"/>
      <c r="AB23" s="787"/>
      <c r="AC23" s="787"/>
      <c r="AD23" s="787"/>
      <c r="AE23" s="787"/>
      <c r="AF23" s="787"/>
      <c r="AG23" s="787"/>
      <c r="AH23" s="787"/>
      <c r="AI23" s="787"/>
      <c r="AJ23" s="787"/>
      <c r="AK23" s="787"/>
      <c r="AL23" s="787"/>
      <c r="AM23" s="787"/>
      <c r="AN23" s="787"/>
      <c r="AO23" s="787">
        <v>87604.229999999981</v>
      </c>
      <c r="AP23" s="787"/>
      <c r="AQ23" s="787"/>
      <c r="AR23" s="787"/>
      <c r="AS23" s="787"/>
      <c r="AT23" s="787"/>
      <c r="AU23" s="787"/>
      <c r="AV23" s="787"/>
      <c r="AW23" s="787"/>
      <c r="AX23" s="787"/>
      <c r="AY23" s="787"/>
      <c r="AZ23" s="787">
        <v>0</v>
      </c>
      <c r="BA23" s="787">
        <v>0</v>
      </c>
      <c r="BB23" s="787"/>
      <c r="BC23" s="787"/>
      <c r="BD23" s="787"/>
      <c r="BE23" s="787">
        <v>19989.09</v>
      </c>
      <c r="BF23" s="787"/>
      <c r="BG23" s="787"/>
      <c r="BH23" s="787"/>
      <c r="BI23" s="787"/>
      <c r="BJ23" s="787">
        <f t="shared" si="1"/>
        <v>107593.31999999998</v>
      </c>
      <c r="BK23" s="787"/>
      <c r="BL23" s="787"/>
      <c r="BM23" s="787"/>
      <c r="BN23" s="787">
        <v>0</v>
      </c>
      <c r="BO23" s="787"/>
      <c r="BP23" s="787"/>
      <c r="BQ23" s="787">
        <f t="shared" si="2"/>
        <v>0</v>
      </c>
      <c r="BR23" s="787"/>
      <c r="BS23" s="787"/>
      <c r="BT23" s="787"/>
      <c r="BU23" s="787"/>
      <c r="BV23" s="787"/>
      <c r="BW23" s="787"/>
      <c r="BX23" s="787"/>
      <c r="BY23" s="787"/>
      <c r="BZ23" s="787"/>
      <c r="CA23" s="787"/>
      <c r="CB23" s="787"/>
      <c r="CC23" s="787"/>
      <c r="CD23" s="787"/>
      <c r="CE23" s="787"/>
      <c r="CF23" s="787"/>
      <c r="CG23" s="787"/>
      <c r="CH23" s="787"/>
      <c r="CI23" s="787"/>
      <c r="CJ23" s="787"/>
      <c r="CK23" s="787"/>
      <c r="CL23" s="787"/>
      <c r="CM23" s="787"/>
      <c r="CN23" s="787"/>
      <c r="CO23" s="787"/>
      <c r="CP23" s="787"/>
      <c r="CQ23" s="787"/>
      <c r="CR23" s="787"/>
      <c r="CS23" s="787"/>
      <c r="CT23" s="787"/>
      <c r="CU23" s="787"/>
      <c r="CV23" s="787"/>
      <c r="CW23" s="787"/>
      <c r="CX23" s="787"/>
      <c r="CY23" s="787"/>
      <c r="CZ23" s="787"/>
      <c r="DA23" s="787"/>
      <c r="DB23" s="787"/>
      <c r="DC23" s="787"/>
      <c r="DD23" s="787"/>
      <c r="DE23" s="787"/>
      <c r="DF23" s="787"/>
      <c r="DG23" s="787"/>
      <c r="DH23" s="787"/>
      <c r="DI23" s="787"/>
      <c r="DJ23" s="787"/>
      <c r="DK23" s="787"/>
      <c r="DL23" s="787"/>
      <c r="DM23" s="787"/>
      <c r="DN23" s="787"/>
      <c r="DO23" s="787"/>
      <c r="DP23" s="787"/>
      <c r="DQ23" s="787"/>
      <c r="DR23" s="787"/>
      <c r="DS23" s="787"/>
      <c r="DT23" s="787"/>
      <c r="DU23" s="787"/>
      <c r="DV23" s="787"/>
      <c r="DW23" s="787"/>
      <c r="DX23" s="787"/>
      <c r="DY23" s="787"/>
      <c r="DZ23" s="787"/>
      <c r="EA23" s="787"/>
    </row>
    <row r="24" spans="1:131" ht="15.6">
      <c r="A24" s="782" t="s">
        <v>1314</v>
      </c>
      <c r="B24" s="782" t="s">
        <v>882</v>
      </c>
      <c r="C24" s="783">
        <v>2254</v>
      </c>
      <c r="D24" s="784" t="s">
        <v>883</v>
      </c>
      <c r="E24" s="785" t="s">
        <v>521</v>
      </c>
      <c r="F24" s="786" t="s">
        <v>1315</v>
      </c>
      <c r="G24" s="785" t="s">
        <v>5</v>
      </c>
      <c r="H24" s="785" t="s">
        <v>892</v>
      </c>
      <c r="I24" s="787">
        <v>3421343.5844809846</v>
      </c>
      <c r="J24" s="787">
        <v>0</v>
      </c>
      <c r="K24" s="787">
        <v>248180</v>
      </c>
      <c r="L24" s="787"/>
      <c r="M24" s="787">
        <v>384410</v>
      </c>
      <c r="N24" s="787">
        <v>62644</v>
      </c>
      <c r="O24" s="787"/>
      <c r="P24" s="787"/>
      <c r="Q24" s="787">
        <v>7062.05</v>
      </c>
      <c r="R24" s="787"/>
      <c r="S24" s="787"/>
      <c r="T24" s="787"/>
      <c r="U24" s="787"/>
      <c r="V24" s="787"/>
      <c r="W24" s="787"/>
      <c r="X24" s="787">
        <f t="shared" si="0"/>
        <v>4123639.6344809844</v>
      </c>
      <c r="Y24" s="787"/>
      <c r="Z24" s="787"/>
      <c r="AA24" s="787"/>
      <c r="AB24" s="787"/>
      <c r="AC24" s="787"/>
      <c r="AD24" s="787"/>
      <c r="AE24" s="787"/>
      <c r="AF24" s="787"/>
      <c r="AG24" s="787"/>
      <c r="AH24" s="787"/>
      <c r="AI24" s="787"/>
      <c r="AJ24" s="787"/>
      <c r="AK24" s="787"/>
      <c r="AL24" s="787"/>
      <c r="AM24" s="787"/>
      <c r="AN24" s="787"/>
      <c r="AO24" s="787">
        <v>77430.84</v>
      </c>
      <c r="AP24" s="787"/>
      <c r="AQ24" s="787"/>
      <c r="AR24" s="787"/>
      <c r="AS24" s="787"/>
      <c r="AT24" s="787"/>
      <c r="AU24" s="787"/>
      <c r="AV24" s="787"/>
      <c r="AW24" s="787"/>
      <c r="AX24" s="787"/>
      <c r="AY24" s="787"/>
      <c r="AZ24" s="787">
        <v>45.330000000000005</v>
      </c>
      <c r="BA24" s="787">
        <v>12566.4</v>
      </c>
      <c r="BB24" s="787"/>
      <c r="BC24" s="787"/>
      <c r="BD24" s="787"/>
      <c r="BE24" s="787">
        <v>13613.759999999997</v>
      </c>
      <c r="BF24" s="787"/>
      <c r="BG24" s="787"/>
      <c r="BH24" s="787"/>
      <c r="BI24" s="787"/>
      <c r="BJ24" s="787">
        <f t="shared" si="1"/>
        <v>103656.32999999999</v>
      </c>
      <c r="BK24" s="787"/>
      <c r="BL24" s="787"/>
      <c r="BM24" s="787"/>
      <c r="BN24" s="787">
        <v>10052.5</v>
      </c>
      <c r="BO24" s="787"/>
      <c r="BP24" s="787"/>
      <c r="BQ24" s="787">
        <f t="shared" si="2"/>
        <v>10052.5</v>
      </c>
      <c r="BR24" s="787"/>
      <c r="BS24" s="787"/>
      <c r="BT24" s="787"/>
      <c r="BU24" s="787"/>
      <c r="BV24" s="787"/>
      <c r="BW24" s="787"/>
      <c r="BX24" s="787"/>
      <c r="BY24" s="787"/>
      <c r="BZ24" s="787"/>
      <c r="CA24" s="787"/>
      <c r="CB24" s="787"/>
      <c r="CC24" s="787"/>
      <c r="CD24" s="787"/>
      <c r="CE24" s="787"/>
      <c r="CF24" s="787"/>
      <c r="CG24" s="787"/>
      <c r="CH24" s="787"/>
      <c r="CI24" s="787"/>
      <c r="CJ24" s="787"/>
      <c r="CK24" s="787"/>
      <c r="CL24" s="787"/>
      <c r="CM24" s="787"/>
      <c r="CN24" s="787"/>
      <c r="CO24" s="787"/>
      <c r="CP24" s="787"/>
      <c r="CQ24" s="787"/>
      <c r="CR24" s="787"/>
      <c r="CS24" s="787"/>
      <c r="CT24" s="787"/>
      <c r="CU24" s="787"/>
      <c r="CV24" s="787"/>
      <c r="CW24" s="787"/>
      <c r="CX24" s="787"/>
      <c r="CY24" s="787"/>
      <c r="CZ24" s="787"/>
      <c r="DA24" s="787"/>
      <c r="DB24" s="787"/>
      <c r="DC24" s="787"/>
      <c r="DD24" s="787"/>
      <c r="DE24" s="787"/>
      <c r="DF24" s="787"/>
      <c r="DG24" s="787"/>
      <c r="DH24" s="787"/>
      <c r="DI24" s="787"/>
      <c r="DJ24" s="787"/>
      <c r="DK24" s="787"/>
      <c r="DL24" s="787"/>
      <c r="DM24" s="787"/>
      <c r="DN24" s="787"/>
      <c r="DO24" s="787"/>
      <c r="DP24" s="787"/>
      <c r="DQ24" s="787"/>
      <c r="DR24" s="787"/>
      <c r="DS24" s="787"/>
      <c r="DT24" s="787"/>
      <c r="DU24" s="787"/>
      <c r="DV24" s="787"/>
      <c r="DW24" s="787"/>
      <c r="DX24" s="787"/>
      <c r="DY24" s="787"/>
      <c r="DZ24" s="787"/>
      <c r="EA24" s="787"/>
    </row>
    <row r="25" spans="1:131" ht="15.6">
      <c r="A25" s="782" t="s">
        <v>1316</v>
      </c>
      <c r="B25" s="782" t="s">
        <v>565</v>
      </c>
      <c r="C25" s="783">
        <v>1025</v>
      </c>
      <c r="D25" s="784" t="s">
        <v>566</v>
      </c>
      <c r="E25" s="785" t="s">
        <v>521</v>
      </c>
      <c r="F25" s="786">
        <v>46094</v>
      </c>
      <c r="G25" s="785" t="s">
        <v>5</v>
      </c>
      <c r="H25" s="785" t="s">
        <v>577</v>
      </c>
      <c r="I25" s="787">
        <v>873006.20387678547</v>
      </c>
      <c r="J25" s="787">
        <v>0</v>
      </c>
      <c r="K25" s="787">
        <v>52628.741129639886</v>
      </c>
      <c r="L25" s="787"/>
      <c r="M25" s="787">
        <v>0</v>
      </c>
      <c r="N25" s="787">
        <v>0</v>
      </c>
      <c r="O25" s="787"/>
      <c r="P25" s="787"/>
      <c r="Q25" s="787">
        <v>27582.810720000009</v>
      </c>
      <c r="R25" s="787"/>
      <c r="S25" s="787"/>
      <c r="T25" s="787"/>
      <c r="U25" s="787"/>
      <c r="V25" s="787"/>
      <c r="W25" s="787"/>
      <c r="X25" s="787">
        <f t="shared" si="0"/>
        <v>953217.75572642544</v>
      </c>
      <c r="Y25" s="787"/>
      <c r="Z25" s="787"/>
      <c r="AA25" s="787"/>
      <c r="AB25" s="787"/>
      <c r="AC25" s="787"/>
      <c r="AD25" s="787"/>
      <c r="AE25" s="787"/>
      <c r="AF25" s="787"/>
      <c r="AG25" s="787"/>
      <c r="AH25" s="787"/>
      <c r="AI25" s="787"/>
      <c r="AJ25" s="787"/>
      <c r="AK25" s="787"/>
      <c r="AL25" s="787"/>
      <c r="AM25" s="787"/>
      <c r="AN25" s="787"/>
      <c r="AO25" s="787">
        <v>0</v>
      </c>
      <c r="AP25" s="787"/>
      <c r="AQ25" s="787"/>
      <c r="AR25" s="787"/>
      <c r="AS25" s="787"/>
      <c r="AT25" s="787"/>
      <c r="AU25" s="787"/>
      <c r="AV25" s="787"/>
      <c r="AW25" s="787"/>
      <c r="AX25" s="787"/>
      <c r="AY25" s="787"/>
      <c r="AZ25" s="787">
        <v>92.97</v>
      </c>
      <c r="BA25" s="787">
        <v>3291.75</v>
      </c>
      <c r="BB25" s="787"/>
      <c r="BC25" s="787"/>
      <c r="BD25" s="787"/>
      <c r="BE25" s="787">
        <v>0</v>
      </c>
      <c r="BF25" s="787"/>
      <c r="BG25" s="787"/>
      <c r="BH25" s="787"/>
      <c r="BI25" s="787"/>
      <c r="BJ25" s="787">
        <f t="shared" si="1"/>
        <v>3384.72</v>
      </c>
      <c r="BK25" s="787"/>
      <c r="BL25" s="787"/>
      <c r="BM25" s="787"/>
      <c r="BN25" s="787">
        <v>4924.75</v>
      </c>
      <c r="BO25" s="787"/>
      <c r="BP25" s="787"/>
      <c r="BQ25" s="787">
        <f t="shared" si="2"/>
        <v>4924.75</v>
      </c>
      <c r="BR25" s="787"/>
      <c r="BS25" s="787"/>
      <c r="BT25" s="787"/>
      <c r="BU25" s="787"/>
      <c r="BV25" s="787"/>
      <c r="BW25" s="787"/>
      <c r="BX25" s="787"/>
      <c r="BY25" s="787"/>
      <c r="BZ25" s="787"/>
      <c r="CA25" s="787"/>
      <c r="CB25" s="787"/>
      <c r="CC25" s="787"/>
      <c r="CD25" s="787"/>
      <c r="CE25" s="787"/>
      <c r="CF25" s="787"/>
      <c r="CG25" s="787"/>
      <c r="CH25" s="787"/>
      <c r="CI25" s="787"/>
      <c r="CJ25" s="787"/>
      <c r="CK25" s="787"/>
      <c r="CL25" s="787"/>
      <c r="CM25" s="787"/>
      <c r="CN25" s="787"/>
      <c r="CO25" s="787"/>
      <c r="CP25" s="787"/>
      <c r="CQ25" s="787"/>
      <c r="CR25" s="787"/>
      <c r="CS25" s="787"/>
      <c r="CT25" s="787"/>
      <c r="CU25" s="787"/>
      <c r="CV25" s="787"/>
      <c r="CW25" s="787"/>
      <c r="CX25" s="787"/>
      <c r="CY25" s="787"/>
      <c r="CZ25" s="787"/>
      <c r="DA25" s="787"/>
      <c r="DB25" s="787"/>
      <c r="DC25" s="787"/>
      <c r="DD25" s="787"/>
      <c r="DE25" s="787"/>
      <c r="DF25" s="787"/>
      <c r="DG25" s="787"/>
      <c r="DH25" s="787"/>
      <c r="DI25" s="787"/>
      <c r="DJ25" s="787"/>
      <c r="DK25" s="787"/>
      <c r="DL25" s="787"/>
      <c r="DM25" s="787"/>
      <c r="DN25" s="787"/>
      <c r="DO25" s="787"/>
      <c r="DP25" s="787"/>
      <c r="DQ25" s="787"/>
      <c r="DR25" s="787"/>
      <c r="DS25" s="787"/>
      <c r="DT25" s="787"/>
      <c r="DU25" s="787"/>
      <c r="DV25" s="787"/>
      <c r="DW25" s="787"/>
      <c r="DX25" s="787"/>
      <c r="DY25" s="787"/>
      <c r="DZ25" s="787"/>
      <c r="EA25" s="787"/>
    </row>
    <row r="26" spans="1:131" ht="15.6">
      <c r="A26" s="782" t="s">
        <v>1317</v>
      </c>
      <c r="B26" s="782" t="s">
        <v>567</v>
      </c>
      <c r="C26" s="783">
        <v>2402</v>
      </c>
      <c r="D26" s="784" t="s">
        <v>568</v>
      </c>
      <c r="E26" s="785" t="s">
        <v>521</v>
      </c>
      <c r="F26" s="786">
        <v>46094</v>
      </c>
      <c r="G26" s="785" t="s">
        <v>5</v>
      </c>
      <c r="H26" s="785" t="s">
        <v>579</v>
      </c>
      <c r="I26" s="787">
        <v>1728849.3323371056</v>
      </c>
      <c r="J26" s="787">
        <v>0</v>
      </c>
      <c r="K26" s="787">
        <v>365512.45333333337</v>
      </c>
      <c r="L26" s="787"/>
      <c r="M26" s="787">
        <v>81555</v>
      </c>
      <c r="N26" s="787">
        <v>124879</v>
      </c>
      <c r="O26" s="787"/>
      <c r="P26" s="787"/>
      <c r="Q26" s="787">
        <v>0</v>
      </c>
      <c r="R26" s="787"/>
      <c r="S26" s="787"/>
      <c r="T26" s="787"/>
      <c r="U26" s="787"/>
      <c r="V26" s="787"/>
      <c r="W26" s="787"/>
      <c r="X26" s="787">
        <f t="shared" si="0"/>
        <v>2300795.7856704388</v>
      </c>
      <c r="Y26" s="787"/>
      <c r="Z26" s="787"/>
      <c r="AA26" s="787"/>
      <c r="AB26" s="787"/>
      <c r="AC26" s="787"/>
      <c r="AD26" s="787"/>
      <c r="AE26" s="787"/>
      <c r="AF26" s="787"/>
      <c r="AG26" s="787"/>
      <c r="AH26" s="787"/>
      <c r="AI26" s="787"/>
      <c r="AJ26" s="787"/>
      <c r="AK26" s="787"/>
      <c r="AL26" s="787"/>
      <c r="AM26" s="787"/>
      <c r="AN26" s="787"/>
      <c r="AO26" s="787">
        <v>18078.900000000005</v>
      </c>
      <c r="AP26" s="787"/>
      <c r="AQ26" s="787"/>
      <c r="AR26" s="787"/>
      <c r="AS26" s="787"/>
      <c r="AT26" s="787"/>
      <c r="AU26" s="787"/>
      <c r="AV26" s="787"/>
      <c r="AW26" s="787"/>
      <c r="AX26" s="787"/>
      <c r="AY26" s="787"/>
      <c r="AZ26" s="787">
        <v>0</v>
      </c>
      <c r="BA26" s="787">
        <v>5139.75</v>
      </c>
      <c r="BB26" s="787"/>
      <c r="BC26" s="787"/>
      <c r="BD26" s="787"/>
      <c r="BE26" s="787">
        <v>7119.8399999999974</v>
      </c>
      <c r="BF26" s="787"/>
      <c r="BG26" s="787"/>
      <c r="BH26" s="787"/>
      <c r="BI26" s="787"/>
      <c r="BJ26" s="787">
        <f t="shared" si="1"/>
        <v>30338.49</v>
      </c>
      <c r="BK26" s="787"/>
      <c r="BL26" s="787"/>
      <c r="BM26" s="787"/>
      <c r="BN26" s="787">
        <v>7497.63</v>
      </c>
      <c r="BO26" s="787"/>
      <c r="BP26" s="787"/>
      <c r="BQ26" s="787">
        <f t="shared" si="2"/>
        <v>7497.63</v>
      </c>
      <c r="BR26" s="787"/>
      <c r="BS26" s="787"/>
      <c r="BT26" s="787"/>
      <c r="BU26" s="787"/>
      <c r="BV26" s="787"/>
      <c r="BW26" s="787"/>
      <c r="BX26" s="787"/>
      <c r="BY26" s="787"/>
      <c r="BZ26" s="787"/>
      <c r="CA26" s="787"/>
      <c r="CB26" s="787"/>
      <c r="CC26" s="787"/>
      <c r="CD26" s="787"/>
      <c r="CE26" s="787"/>
      <c r="CF26" s="787"/>
      <c r="CG26" s="787"/>
      <c r="CH26" s="787"/>
      <c r="CI26" s="787"/>
      <c r="CJ26" s="787"/>
      <c r="CK26" s="787"/>
      <c r="CL26" s="787"/>
      <c r="CM26" s="787"/>
      <c r="CN26" s="787"/>
      <c r="CO26" s="787"/>
      <c r="CP26" s="787"/>
      <c r="CQ26" s="787"/>
      <c r="CR26" s="787"/>
      <c r="CS26" s="787"/>
      <c r="CT26" s="787"/>
      <c r="CU26" s="787"/>
      <c r="CV26" s="787"/>
      <c r="CW26" s="787"/>
      <c r="CX26" s="787"/>
      <c r="CY26" s="787"/>
      <c r="CZ26" s="787"/>
      <c r="DA26" s="787"/>
      <c r="DB26" s="787"/>
      <c r="DC26" s="787"/>
      <c r="DD26" s="787"/>
      <c r="DE26" s="787"/>
      <c r="DF26" s="787"/>
      <c r="DG26" s="787"/>
      <c r="DH26" s="787"/>
      <c r="DI26" s="787"/>
      <c r="DJ26" s="787"/>
      <c r="DK26" s="787"/>
      <c r="DL26" s="787"/>
      <c r="DM26" s="787"/>
      <c r="DN26" s="787"/>
      <c r="DO26" s="787"/>
      <c r="DP26" s="787"/>
      <c r="DQ26" s="787"/>
      <c r="DR26" s="787"/>
      <c r="DS26" s="787"/>
      <c r="DT26" s="787"/>
      <c r="DU26" s="787"/>
      <c r="DV26" s="787"/>
      <c r="DW26" s="787"/>
      <c r="DX26" s="787"/>
      <c r="DY26" s="787"/>
      <c r="DZ26" s="787"/>
      <c r="EA26" s="787"/>
    </row>
    <row r="27" spans="1:131" ht="15.6">
      <c r="A27" s="782" t="s">
        <v>1318</v>
      </c>
      <c r="B27" s="782" t="s">
        <v>569</v>
      </c>
      <c r="C27" s="783">
        <v>2401</v>
      </c>
      <c r="D27" s="784" t="s">
        <v>570</v>
      </c>
      <c r="E27" s="785" t="s">
        <v>521</v>
      </c>
      <c r="F27" s="786">
        <v>46094</v>
      </c>
      <c r="G27" s="785" t="s">
        <v>5</v>
      </c>
      <c r="H27" s="785" t="s">
        <v>586</v>
      </c>
      <c r="I27" s="787">
        <v>1963417.9999999998</v>
      </c>
      <c r="J27" s="787">
        <v>0</v>
      </c>
      <c r="K27" s="787">
        <v>126227.20000000001</v>
      </c>
      <c r="L27" s="787"/>
      <c r="M27" s="787">
        <v>113355</v>
      </c>
      <c r="N27" s="787">
        <v>19015.93</v>
      </c>
      <c r="O27" s="787"/>
      <c r="P27" s="787"/>
      <c r="Q27" s="787">
        <v>0</v>
      </c>
      <c r="R27" s="787"/>
      <c r="S27" s="787"/>
      <c r="T27" s="787"/>
      <c r="U27" s="787"/>
      <c r="V27" s="787"/>
      <c r="W27" s="787"/>
      <c r="X27" s="787">
        <f t="shared" si="0"/>
        <v>2222016.13</v>
      </c>
      <c r="Y27" s="787"/>
      <c r="Z27" s="787"/>
      <c r="AA27" s="787"/>
      <c r="AB27" s="787"/>
      <c r="AC27" s="787"/>
      <c r="AD27" s="787"/>
      <c r="AE27" s="787"/>
      <c r="AF27" s="787"/>
      <c r="AG27" s="787"/>
      <c r="AH27" s="787"/>
      <c r="AI27" s="787"/>
      <c r="AJ27" s="787"/>
      <c r="AK27" s="787"/>
      <c r="AL27" s="787"/>
      <c r="AM27" s="787"/>
      <c r="AN27" s="787"/>
      <c r="AO27" s="787">
        <v>21049</v>
      </c>
      <c r="AP27" s="787"/>
      <c r="AQ27" s="787"/>
      <c r="AR27" s="787"/>
      <c r="AS27" s="787"/>
      <c r="AT27" s="787"/>
      <c r="AU27" s="787"/>
      <c r="AV27" s="787"/>
      <c r="AW27" s="787"/>
      <c r="AX27" s="787"/>
      <c r="AY27" s="787"/>
      <c r="AZ27" s="787">
        <v>0</v>
      </c>
      <c r="BA27" s="787">
        <v>9471</v>
      </c>
      <c r="BB27" s="787"/>
      <c r="BC27" s="787"/>
      <c r="BD27" s="787"/>
      <c r="BE27" s="787">
        <v>9936.48</v>
      </c>
      <c r="BF27" s="787"/>
      <c r="BG27" s="787"/>
      <c r="BH27" s="787"/>
      <c r="BI27" s="787"/>
      <c r="BJ27" s="787">
        <f t="shared" si="1"/>
        <v>40456.479999999996</v>
      </c>
      <c r="BK27" s="787"/>
      <c r="BL27" s="787"/>
      <c r="BM27" s="787"/>
      <c r="BN27" s="787">
        <v>8286.25</v>
      </c>
      <c r="BO27" s="787"/>
      <c r="BP27" s="787"/>
      <c r="BQ27" s="787">
        <f t="shared" si="2"/>
        <v>8286.25</v>
      </c>
      <c r="BR27" s="787"/>
      <c r="BS27" s="787"/>
      <c r="BT27" s="787"/>
      <c r="BU27" s="787"/>
      <c r="BV27" s="787"/>
      <c r="BW27" s="787"/>
      <c r="BX27" s="787"/>
      <c r="BY27" s="787"/>
      <c r="BZ27" s="787"/>
      <c r="CA27" s="787"/>
      <c r="CB27" s="787"/>
      <c r="CC27" s="787"/>
      <c r="CD27" s="787"/>
      <c r="CE27" s="787"/>
      <c r="CF27" s="787"/>
      <c r="CG27" s="787"/>
      <c r="CH27" s="787"/>
      <c r="CI27" s="787"/>
      <c r="CJ27" s="787"/>
      <c r="CK27" s="787"/>
      <c r="CL27" s="787"/>
      <c r="CM27" s="787"/>
      <c r="CN27" s="787"/>
      <c r="CO27" s="787"/>
      <c r="CP27" s="787"/>
      <c r="CQ27" s="787"/>
      <c r="CR27" s="787"/>
      <c r="CS27" s="787"/>
      <c r="CT27" s="787"/>
      <c r="CU27" s="787"/>
      <c r="CV27" s="787"/>
      <c r="CW27" s="787"/>
      <c r="CX27" s="787"/>
      <c r="CY27" s="787"/>
      <c r="CZ27" s="787"/>
      <c r="DA27" s="787"/>
      <c r="DB27" s="787"/>
      <c r="DC27" s="787"/>
      <c r="DD27" s="787"/>
      <c r="DE27" s="787"/>
      <c r="DF27" s="787"/>
      <c r="DG27" s="787"/>
      <c r="DH27" s="787"/>
      <c r="DI27" s="787"/>
      <c r="DJ27" s="787"/>
      <c r="DK27" s="787"/>
      <c r="DL27" s="787"/>
      <c r="DM27" s="787"/>
      <c r="DN27" s="787"/>
      <c r="DO27" s="787"/>
      <c r="DP27" s="787"/>
      <c r="DQ27" s="787"/>
      <c r="DR27" s="787"/>
      <c r="DS27" s="787"/>
      <c r="DT27" s="787"/>
      <c r="DU27" s="787"/>
      <c r="DV27" s="787"/>
      <c r="DW27" s="787"/>
      <c r="DX27" s="787"/>
      <c r="DY27" s="787"/>
      <c r="DZ27" s="787"/>
      <c r="EA27" s="787"/>
    </row>
    <row r="28" spans="1:131" ht="15.6">
      <c r="A28" s="782" t="s">
        <v>1319</v>
      </c>
      <c r="B28" s="782" t="s">
        <v>862</v>
      </c>
      <c r="C28" s="783">
        <v>1001</v>
      </c>
      <c r="D28" s="784" t="s">
        <v>863</v>
      </c>
      <c r="E28" s="785" t="s">
        <v>521</v>
      </c>
      <c r="F28" s="786">
        <v>46094</v>
      </c>
      <c r="G28" s="785" t="s">
        <v>5</v>
      </c>
      <c r="H28" s="785" t="s">
        <v>894</v>
      </c>
      <c r="I28" s="787">
        <v>538535.8611483518</v>
      </c>
      <c r="J28" s="787">
        <v>0</v>
      </c>
      <c r="K28" s="787">
        <v>7662.4963988919662</v>
      </c>
      <c r="L28" s="787"/>
      <c r="M28" s="787">
        <v>0</v>
      </c>
      <c r="N28" s="787">
        <v>3256.93</v>
      </c>
      <c r="O28" s="787"/>
      <c r="P28" s="787"/>
      <c r="Q28" s="787">
        <v>168.87</v>
      </c>
      <c r="R28" s="787"/>
      <c r="S28" s="787"/>
      <c r="T28" s="787"/>
      <c r="U28" s="787"/>
      <c r="V28" s="787"/>
      <c r="W28" s="787"/>
      <c r="X28" s="787">
        <f t="shared" si="0"/>
        <v>549624.15754724387</v>
      </c>
      <c r="Y28" s="787"/>
      <c r="Z28" s="787"/>
      <c r="AA28" s="787"/>
      <c r="AB28" s="787"/>
      <c r="AC28" s="787"/>
      <c r="AD28" s="787"/>
      <c r="AE28" s="787"/>
      <c r="AF28" s="787"/>
      <c r="AG28" s="787"/>
      <c r="AH28" s="787"/>
      <c r="AI28" s="787"/>
      <c r="AJ28" s="787"/>
      <c r="AK28" s="787"/>
      <c r="AL28" s="787"/>
      <c r="AM28" s="787"/>
      <c r="AN28" s="787"/>
      <c r="AO28" s="787">
        <v>0</v>
      </c>
      <c r="AP28" s="787"/>
      <c r="AQ28" s="787"/>
      <c r="AR28" s="787"/>
      <c r="AS28" s="787"/>
      <c r="AT28" s="787"/>
      <c r="AU28" s="787"/>
      <c r="AV28" s="787"/>
      <c r="AW28" s="787"/>
      <c r="AX28" s="787"/>
      <c r="AY28" s="787"/>
      <c r="AZ28" s="787">
        <v>163.02999999999997</v>
      </c>
      <c r="BA28" s="787">
        <v>3291.75</v>
      </c>
      <c r="BB28" s="787"/>
      <c r="BC28" s="787"/>
      <c r="BD28" s="787"/>
      <c r="BE28" s="787">
        <v>0</v>
      </c>
      <c r="BF28" s="787"/>
      <c r="BG28" s="787"/>
      <c r="BH28" s="787"/>
      <c r="BI28" s="787"/>
      <c r="BJ28" s="787">
        <f t="shared" si="1"/>
        <v>3454.7799999999997</v>
      </c>
      <c r="BK28" s="787"/>
      <c r="BL28" s="787"/>
      <c r="BM28" s="787"/>
      <c r="BN28" s="787">
        <v>4573.75</v>
      </c>
      <c r="BO28" s="787"/>
      <c r="BP28" s="787"/>
      <c r="BQ28" s="787">
        <f t="shared" si="2"/>
        <v>4573.75</v>
      </c>
      <c r="BR28" s="787"/>
      <c r="BS28" s="787"/>
      <c r="BT28" s="787"/>
      <c r="BU28" s="787"/>
      <c r="BV28" s="787"/>
      <c r="BW28" s="787"/>
      <c r="BX28" s="787"/>
      <c r="BY28" s="787"/>
      <c r="BZ28" s="787"/>
      <c r="CA28" s="787"/>
      <c r="CB28" s="787"/>
      <c r="CC28" s="787"/>
      <c r="CD28" s="787"/>
      <c r="CE28" s="787"/>
      <c r="CF28" s="787"/>
      <c r="CG28" s="787"/>
      <c r="CH28" s="787"/>
      <c r="CI28" s="787"/>
      <c r="CJ28" s="787"/>
      <c r="CK28" s="787"/>
      <c r="CL28" s="787"/>
      <c r="CM28" s="787"/>
      <c r="CN28" s="787"/>
      <c r="CO28" s="787"/>
      <c r="CP28" s="787"/>
      <c r="CQ28" s="787"/>
      <c r="CR28" s="787"/>
      <c r="CS28" s="787"/>
      <c r="CT28" s="787"/>
      <c r="CU28" s="787"/>
      <c r="CV28" s="787"/>
      <c r="CW28" s="787"/>
      <c r="CX28" s="787"/>
      <c r="CY28" s="787"/>
      <c r="CZ28" s="787"/>
      <c r="DA28" s="787"/>
      <c r="DB28" s="787"/>
      <c r="DC28" s="787"/>
      <c r="DD28" s="787"/>
      <c r="DE28" s="787"/>
      <c r="DF28" s="787"/>
      <c r="DG28" s="787"/>
      <c r="DH28" s="787"/>
      <c r="DI28" s="787"/>
      <c r="DJ28" s="787"/>
      <c r="DK28" s="787"/>
      <c r="DL28" s="787"/>
      <c r="DM28" s="787"/>
      <c r="DN28" s="787"/>
      <c r="DO28" s="787"/>
      <c r="DP28" s="787"/>
      <c r="DQ28" s="787"/>
      <c r="DR28" s="787"/>
      <c r="DS28" s="787"/>
      <c r="DT28" s="787"/>
      <c r="DU28" s="787"/>
      <c r="DV28" s="787"/>
      <c r="DW28" s="787"/>
      <c r="DX28" s="787"/>
      <c r="DY28" s="787"/>
      <c r="DZ28" s="787"/>
      <c r="EA28" s="787"/>
    </row>
    <row r="29" spans="1:131" ht="15.6">
      <c r="A29" s="782" t="s">
        <v>1320</v>
      </c>
      <c r="B29" s="782" t="s">
        <v>571</v>
      </c>
      <c r="C29" s="783">
        <v>4115</v>
      </c>
      <c r="D29" s="784" t="s">
        <v>572</v>
      </c>
      <c r="E29" s="785" t="s">
        <v>521</v>
      </c>
      <c r="F29" s="786" t="s">
        <v>1315</v>
      </c>
      <c r="G29" s="785" t="s">
        <v>5</v>
      </c>
      <c r="H29" s="785" t="s">
        <v>588</v>
      </c>
      <c r="I29" s="787">
        <v>5474577.9739160948</v>
      </c>
      <c r="J29" s="787">
        <v>2471040.1566666663</v>
      </c>
      <c r="K29" s="787">
        <v>334860.17666666664</v>
      </c>
      <c r="L29" s="787"/>
      <c r="M29" s="787">
        <v>384850</v>
      </c>
      <c r="N29" s="787">
        <v>16352.75</v>
      </c>
      <c r="O29" s="787"/>
      <c r="P29" s="787"/>
      <c r="Q29" s="787">
        <v>0</v>
      </c>
      <c r="R29" s="787"/>
      <c r="S29" s="787"/>
      <c r="T29" s="787"/>
      <c r="U29" s="787"/>
      <c r="V29" s="787"/>
      <c r="W29" s="787"/>
      <c r="X29" s="787">
        <f t="shared" si="0"/>
        <v>8681681.0572494268</v>
      </c>
      <c r="Y29" s="787"/>
      <c r="Z29" s="787"/>
      <c r="AA29" s="787"/>
      <c r="AB29" s="787"/>
      <c r="AC29" s="787"/>
      <c r="AD29" s="787"/>
      <c r="AE29" s="787"/>
      <c r="AF29" s="787"/>
      <c r="AG29" s="787"/>
      <c r="AH29" s="787"/>
      <c r="AI29" s="787"/>
      <c r="AJ29" s="787"/>
      <c r="AK29" s="787"/>
      <c r="AL29" s="787"/>
      <c r="AM29" s="787"/>
      <c r="AN29" s="787"/>
      <c r="AO29" s="787">
        <v>85617.910000000018</v>
      </c>
      <c r="AP29" s="787"/>
      <c r="AQ29" s="787"/>
      <c r="AR29" s="787"/>
      <c r="AS29" s="787"/>
      <c r="AT29" s="787"/>
      <c r="AU29" s="787"/>
      <c r="AV29" s="787"/>
      <c r="AW29" s="787"/>
      <c r="AX29" s="787"/>
      <c r="AY29" s="787"/>
      <c r="AZ29" s="787">
        <v>0</v>
      </c>
      <c r="BA29" s="787">
        <v>18745.650000000001</v>
      </c>
      <c r="BB29" s="787"/>
      <c r="BC29" s="787"/>
      <c r="BD29" s="787"/>
      <c r="BE29" s="787">
        <v>12702.03</v>
      </c>
      <c r="BF29" s="787"/>
      <c r="BG29" s="787"/>
      <c r="BH29" s="787"/>
      <c r="BI29" s="787"/>
      <c r="BJ29" s="787">
        <f t="shared" si="1"/>
        <v>117065.59000000003</v>
      </c>
      <c r="BK29" s="787"/>
      <c r="BL29" s="787"/>
      <c r="BM29" s="787"/>
      <c r="BN29" s="787">
        <v>22126.560000000001</v>
      </c>
      <c r="BO29" s="787"/>
      <c r="BP29" s="787"/>
      <c r="BQ29" s="787">
        <f t="shared" si="2"/>
        <v>22126.560000000001</v>
      </c>
      <c r="BR29" s="787"/>
      <c r="BS29" s="787"/>
      <c r="BT29" s="787"/>
      <c r="BU29" s="787"/>
      <c r="BV29" s="787"/>
      <c r="BW29" s="787"/>
      <c r="BX29" s="787"/>
      <c r="BY29" s="787"/>
      <c r="BZ29" s="787"/>
      <c r="CA29" s="787"/>
      <c r="CB29" s="787"/>
      <c r="CC29" s="787"/>
      <c r="CD29" s="787"/>
      <c r="CE29" s="787"/>
      <c r="CF29" s="787"/>
      <c r="CG29" s="787"/>
      <c r="CH29" s="787"/>
      <c r="CI29" s="787"/>
      <c r="CJ29" s="787"/>
      <c r="CK29" s="787"/>
      <c r="CL29" s="787"/>
      <c r="CM29" s="787"/>
      <c r="CN29" s="787"/>
      <c r="CO29" s="787"/>
      <c r="CP29" s="787"/>
      <c r="CQ29" s="787"/>
      <c r="CR29" s="787"/>
      <c r="CS29" s="787"/>
      <c r="CT29" s="787"/>
      <c r="CU29" s="787"/>
      <c r="CV29" s="787"/>
      <c r="CW29" s="787"/>
      <c r="CX29" s="787"/>
      <c r="CY29" s="787"/>
      <c r="CZ29" s="787"/>
      <c r="DA29" s="787"/>
      <c r="DB29" s="787"/>
      <c r="DC29" s="787"/>
      <c r="DD29" s="787"/>
      <c r="DE29" s="787"/>
      <c r="DF29" s="787"/>
      <c r="DG29" s="787"/>
      <c r="DH29" s="787"/>
      <c r="DI29" s="787"/>
      <c r="DJ29" s="787"/>
      <c r="DK29" s="787"/>
      <c r="DL29" s="787"/>
      <c r="DM29" s="787"/>
      <c r="DN29" s="787"/>
      <c r="DO29" s="787"/>
      <c r="DP29" s="787"/>
      <c r="DQ29" s="787"/>
      <c r="DR29" s="787"/>
      <c r="DS29" s="787"/>
      <c r="DT29" s="787"/>
      <c r="DU29" s="787"/>
      <c r="DV29" s="787"/>
      <c r="DW29" s="787"/>
      <c r="DX29" s="787"/>
      <c r="DY29" s="787"/>
      <c r="DZ29" s="787"/>
      <c r="EA29" s="787"/>
    </row>
    <row r="30" spans="1:131" ht="15.6">
      <c r="A30" s="782" t="s">
        <v>1321</v>
      </c>
      <c r="B30" s="782" t="s">
        <v>573</v>
      </c>
      <c r="C30" s="783">
        <v>2030</v>
      </c>
      <c r="D30" s="784" t="s">
        <v>574</v>
      </c>
      <c r="E30" s="785" t="s">
        <v>521</v>
      </c>
      <c r="F30" s="786" t="s">
        <v>1322</v>
      </c>
      <c r="G30" s="785" t="s">
        <v>5</v>
      </c>
      <c r="H30" s="785" t="s">
        <v>590</v>
      </c>
      <c r="I30" s="787">
        <v>3954785.4308746085</v>
      </c>
      <c r="J30" s="787">
        <v>0</v>
      </c>
      <c r="K30" s="787">
        <v>102229.49333333333</v>
      </c>
      <c r="L30" s="787"/>
      <c r="M30" s="787">
        <v>449955</v>
      </c>
      <c r="N30" s="787">
        <v>77997</v>
      </c>
      <c r="O30" s="787"/>
      <c r="P30" s="787"/>
      <c r="Q30" s="787">
        <v>0</v>
      </c>
      <c r="R30" s="787"/>
      <c r="S30" s="787"/>
      <c r="T30" s="787"/>
      <c r="U30" s="787"/>
      <c r="V30" s="787"/>
      <c r="W30" s="787"/>
      <c r="X30" s="787">
        <f t="shared" si="0"/>
        <v>4584966.9242079416</v>
      </c>
      <c r="Y30" s="787"/>
      <c r="Z30" s="787"/>
      <c r="AA30" s="787"/>
      <c r="AB30" s="787"/>
      <c r="AC30" s="787"/>
      <c r="AD30" s="787"/>
      <c r="AE30" s="787"/>
      <c r="AF30" s="787"/>
      <c r="AG30" s="787"/>
      <c r="AH30" s="787"/>
      <c r="AI30" s="787"/>
      <c r="AJ30" s="787"/>
      <c r="AK30" s="787"/>
      <c r="AL30" s="787"/>
      <c r="AM30" s="787"/>
      <c r="AN30" s="787"/>
      <c r="AO30" s="787">
        <v>33389.800000000003</v>
      </c>
      <c r="AP30" s="787"/>
      <c r="AQ30" s="787"/>
      <c r="AR30" s="787"/>
      <c r="AS30" s="787"/>
      <c r="AT30" s="787"/>
      <c r="AU30" s="787"/>
      <c r="AV30" s="787"/>
      <c r="AW30" s="787"/>
      <c r="AX30" s="787"/>
      <c r="AY30" s="787"/>
      <c r="AZ30" s="787">
        <v>0</v>
      </c>
      <c r="BA30" s="787">
        <v>17415</v>
      </c>
      <c r="BB30" s="787"/>
      <c r="BC30" s="787"/>
      <c r="BD30" s="787"/>
      <c r="BE30" s="787">
        <v>16143.519999999999</v>
      </c>
      <c r="BF30" s="787"/>
      <c r="BG30" s="787"/>
      <c r="BH30" s="787"/>
      <c r="BI30" s="787"/>
      <c r="BJ30" s="787">
        <f t="shared" si="1"/>
        <v>66948.320000000007</v>
      </c>
      <c r="BK30" s="787"/>
      <c r="BL30" s="787"/>
      <c r="BM30" s="787"/>
      <c r="BN30" s="787">
        <v>11416</v>
      </c>
      <c r="BO30" s="787"/>
      <c r="BP30" s="787"/>
      <c r="BQ30" s="787">
        <f t="shared" si="2"/>
        <v>11416</v>
      </c>
      <c r="BR30" s="787"/>
      <c r="BS30" s="787"/>
      <c r="BT30" s="787"/>
      <c r="BU30" s="787"/>
      <c r="BV30" s="787"/>
      <c r="BW30" s="787"/>
      <c r="BX30" s="787"/>
      <c r="BY30" s="787"/>
      <c r="BZ30" s="787"/>
      <c r="CA30" s="787"/>
      <c r="CB30" s="787"/>
      <c r="CC30" s="787"/>
      <c r="CD30" s="787"/>
      <c r="CE30" s="787"/>
      <c r="CF30" s="787"/>
      <c r="CG30" s="787"/>
      <c r="CH30" s="787"/>
      <c r="CI30" s="787"/>
      <c r="CJ30" s="787"/>
      <c r="CK30" s="787"/>
      <c r="CL30" s="787"/>
      <c r="CM30" s="787"/>
      <c r="CN30" s="787"/>
      <c r="CO30" s="787"/>
      <c r="CP30" s="787"/>
      <c r="CQ30" s="787"/>
      <c r="CR30" s="787"/>
      <c r="CS30" s="787"/>
      <c r="CT30" s="787"/>
      <c r="CU30" s="787"/>
      <c r="CV30" s="787"/>
      <c r="CW30" s="787"/>
      <c r="CX30" s="787"/>
      <c r="CY30" s="787"/>
      <c r="CZ30" s="787"/>
      <c r="DA30" s="787"/>
      <c r="DB30" s="787"/>
      <c r="DC30" s="787"/>
      <c r="DD30" s="787"/>
      <c r="DE30" s="787"/>
      <c r="DF30" s="787"/>
      <c r="DG30" s="787"/>
      <c r="DH30" s="787"/>
      <c r="DI30" s="787"/>
      <c r="DJ30" s="787"/>
      <c r="DK30" s="787"/>
      <c r="DL30" s="787"/>
      <c r="DM30" s="787"/>
      <c r="DN30" s="787"/>
      <c r="DO30" s="787"/>
      <c r="DP30" s="787"/>
      <c r="DQ30" s="787"/>
      <c r="DR30" s="787"/>
      <c r="DS30" s="787"/>
      <c r="DT30" s="787"/>
      <c r="DU30" s="787"/>
      <c r="DV30" s="787"/>
      <c r="DW30" s="787"/>
      <c r="DX30" s="787"/>
      <c r="DY30" s="787"/>
      <c r="DZ30" s="787"/>
      <c r="EA30" s="787"/>
    </row>
    <row r="31" spans="1:131" ht="15.6">
      <c r="A31" s="782" t="s">
        <v>1323</v>
      </c>
      <c r="B31" s="782" t="s">
        <v>575</v>
      </c>
      <c r="C31" s="783">
        <v>3353</v>
      </c>
      <c r="D31" s="784" t="s">
        <v>576</v>
      </c>
      <c r="E31" s="785" t="s">
        <v>521</v>
      </c>
      <c r="F31" s="786">
        <v>46091</v>
      </c>
      <c r="G31" s="785" t="s">
        <v>5</v>
      </c>
      <c r="H31" s="785" t="s">
        <v>592</v>
      </c>
      <c r="I31" s="787">
        <v>3316626.6386000002</v>
      </c>
      <c r="J31" s="787">
        <v>0</v>
      </c>
      <c r="K31" s="787">
        <v>130469.10666666666</v>
      </c>
      <c r="L31" s="787"/>
      <c r="M31" s="787">
        <v>183990</v>
      </c>
      <c r="N31" s="787">
        <v>147629.93</v>
      </c>
      <c r="O31" s="787"/>
      <c r="P31" s="787"/>
      <c r="Q31" s="787">
        <v>0</v>
      </c>
      <c r="R31" s="787"/>
      <c r="S31" s="787"/>
      <c r="T31" s="787"/>
      <c r="U31" s="787"/>
      <c r="V31" s="787"/>
      <c r="W31" s="787"/>
      <c r="X31" s="787">
        <f t="shared" si="0"/>
        <v>3778715.6752666668</v>
      </c>
      <c r="Y31" s="787"/>
      <c r="Z31" s="787"/>
      <c r="AA31" s="787"/>
      <c r="AB31" s="787"/>
      <c r="AC31" s="787"/>
      <c r="AD31" s="787"/>
      <c r="AE31" s="787"/>
      <c r="AF31" s="787"/>
      <c r="AG31" s="787"/>
      <c r="AH31" s="787"/>
      <c r="AI31" s="787"/>
      <c r="AJ31" s="787"/>
      <c r="AK31" s="787"/>
      <c r="AL31" s="787"/>
      <c r="AM31" s="787"/>
      <c r="AN31" s="787"/>
      <c r="AO31" s="787">
        <v>11218.18</v>
      </c>
      <c r="AP31" s="787"/>
      <c r="AQ31" s="787"/>
      <c r="AR31" s="787"/>
      <c r="AS31" s="787"/>
      <c r="AT31" s="787"/>
      <c r="AU31" s="787"/>
      <c r="AV31" s="787"/>
      <c r="AW31" s="787"/>
      <c r="AX31" s="787"/>
      <c r="AY31" s="787"/>
      <c r="AZ31" s="787">
        <v>0</v>
      </c>
      <c r="BA31" s="787">
        <v>18745.650000000001</v>
      </c>
      <c r="BB31" s="787"/>
      <c r="BC31" s="787"/>
      <c r="BD31" s="787"/>
      <c r="BE31" s="787">
        <v>16951.999999999996</v>
      </c>
      <c r="BF31" s="787"/>
      <c r="BG31" s="787"/>
      <c r="BH31" s="787"/>
      <c r="BI31" s="787"/>
      <c r="BJ31" s="787">
        <f t="shared" si="1"/>
        <v>46915.83</v>
      </c>
      <c r="BK31" s="787"/>
      <c r="BL31" s="787"/>
      <c r="BM31" s="787"/>
      <c r="BN31" s="787">
        <v>0</v>
      </c>
      <c r="BO31" s="787"/>
      <c r="BP31" s="787"/>
      <c r="BQ31" s="787">
        <f t="shared" si="2"/>
        <v>0</v>
      </c>
      <c r="BR31" s="787"/>
      <c r="BS31" s="787"/>
      <c r="BT31" s="787"/>
      <c r="BU31" s="787"/>
      <c r="BV31" s="787"/>
      <c r="BW31" s="787"/>
      <c r="BX31" s="787"/>
      <c r="BY31" s="787"/>
      <c r="BZ31" s="787"/>
      <c r="CA31" s="787"/>
      <c r="CB31" s="787"/>
      <c r="CC31" s="787"/>
      <c r="CD31" s="787"/>
      <c r="CE31" s="787"/>
      <c r="CF31" s="787"/>
      <c r="CG31" s="787"/>
      <c r="CH31" s="787"/>
      <c r="CI31" s="787"/>
      <c r="CJ31" s="787"/>
      <c r="CK31" s="787"/>
      <c r="CL31" s="787"/>
      <c r="CM31" s="787"/>
      <c r="CN31" s="787"/>
      <c r="CO31" s="787"/>
      <c r="CP31" s="787"/>
      <c r="CQ31" s="787"/>
      <c r="CR31" s="787"/>
      <c r="CS31" s="787"/>
      <c r="CT31" s="787"/>
      <c r="CU31" s="787"/>
      <c r="CV31" s="787"/>
      <c r="CW31" s="787"/>
      <c r="CX31" s="787"/>
      <c r="CY31" s="787"/>
      <c r="CZ31" s="787"/>
      <c r="DA31" s="787"/>
      <c r="DB31" s="787"/>
      <c r="DC31" s="787"/>
      <c r="DD31" s="787"/>
      <c r="DE31" s="787"/>
      <c r="DF31" s="787"/>
      <c r="DG31" s="787"/>
      <c r="DH31" s="787"/>
      <c r="DI31" s="787"/>
      <c r="DJ31" s="787"/>
      <c r="DK31" s="787"/>
      <c r="DL31" s="787"/>
      <c r="DM31" s="787"/>
      <c r="DN31" s="787"/>
      <c r="DO31" s="787"/>
      <c r="DP31" s="787"/>
      <c r="DQ31" s="787"/>
      <c r="DR31" s="787"/>
      <c r="DS31" s="787"/>
      <c r="DT31" s="787"/>
      <c r="DU31" s="787"/>
      <c r="DV31" s="787"/>
      <c r="DW31" s="787"/>
      <c r="DX31" s="787"/>
      <c r="DY31" s="787"/>
      <c r="DZ31" s="787"/>
      <c r="EA31" s="787"/>
    </row>
    <row r="32" spans="1:131" ht="15.6">
      <c r="A32" s="782" t="s">
        <v>1324</v>
      </c>
      <c r="B32" s="782" t="s">
        <v>577</v>
      </c>
      <c r="C32" s="783">
        <v>7030</v>
      </c>
      <c r="D32" s="784" t="s">
        <v>578</v>
      </c>
      <c r="E32" s="785" t="s">
        <v>521</v>
      </c>
      <c r="F32" s="786" t="s">
        <v>1305</v>
      </c>
      <c r="G32" s="785" t="s">
        <v>5</v>
      </c>
      <c r="H32" s="785" t="s">
        <v>594</v>
      </c>
      <c r="I32" s="787">
        <v>830707.34503478266</v>
      </c>
      <c r="J32" s="787">
        <v>13358.369663282592</v>
      </c>
      <c r="K32" s="787">
        <v>1040532.8631384897</v>
      </c>
      <c r="L32" s="787"/>
      <c r="M32" s="787">
        <v>52080</v>
      </c>
      <c r="N32" s="787">
        <v>856.93</v>
      </c>
      <c r="O32" s="787"/>
      <c r="P32" s="787"/>
      <c r="Q32" s="787">
        <v>27341.189725000055</v>
      </c>
      <c r="R32" s="787"/>
      <c r="S32" s="787"/>
      <c r="T32" s="787"/>
      <c r="U32" s="787"/>
      <c r="V32" s="787"/>
      <c r="W32" s="787"/>
      <c r="X32" s="787">
        <f t="shared" si="0"/>
        <v>1964876.6975615548</v>
      </c>
      <c r="Y32" s="787"/>
      <c r="Z32" s="787"/>
      <c r="AA32" s="787"/>
      <c r="AB32" s="787"/>
      <c r="AC32" s="787"/>
      <c r="AD32" s="787"/>
      <c r="AE32" s="787"/>
      <c r="AF32" s="787"/>
      <c r="AG32" s="787"/>
      <c r="AH32" s="787"/>
      <c r="AI32" s="787"/>
      <c r="AJ32" s="787"/>
      <c r="AK32" s="787"/>
      <c r="AL32" s="787"/>
      <c r="AM32" s="787"/>
      <c r="AN32" s="787"/>
      <c r="AO32" s="787">
        <v>0</v>
      </c>
      <c r="AP32" s="787"/>
      <c r="AQ32" s="787"/>
      <c r="AR32" s="787"/>
      <c r="AS32" s="787"/>
      <c r="AT32" s="787"/>
      <c r="AU32" s="787"/>
      <c r="AV32" s="787"/>
      <c r="AW32" s="787"/>
      <c r="AX32" s="787"/>
      <c r="AY32" s="787"/>
      <c r="AZ32" s="787">
        <v>89.029999999999987</v>
      </c>
      <c r="BA32" s="787">
        <v>3291.75</v>
      </c>
      <c r="BB32" s="787"/>
      <c r="BC32" s="787"/>
      <c r="BD32" s="787"/>
      <c r="BE32" s="787">
        <v>0</v>
      </c>
      <c r="BF32" s="787"/>
      <c r="BG32" s="787"/>
      <c r="BH32" s="787"/>
      <c r="BI32" s="787"/>
      <c r="BJ32" s="787">
        <f t="shared" si="1"/>
        <v>3380.78</v>
      </c>
      <c r="BK32" s="787"/>
      <c r="BL32" s="787"/>
      <c r="BM32" s="787"/>
      <c r="BN32" s="787">
        <v>8201.8799999999992</v>
      </c>
      <c r="BO32" s="787"/>
      <c r="BP32" s="787"/>
      <c r="BQ32" s="787">
        <f t="shared" si="2"/>
        <v>8201.8799999999992</v>
      </c>
      <c r="BR32" s="787"/>
      <c r="BS32" s="787"/>
      <c r="BT32" s="787"/>
      <c r="BU32" s="787"/>
      <c r="BV32" s="787"/>
      <c r="BW32" s="787"/>
      <c r="BX32" s="787"/>
      <c r="BY32" s="787"/>
      <c r="BZ32" s="787"/>
      <c r="CA32" s="787"/>
      <c r="CB32" s="787"/>
      <c r="CC32" s="787"/>
      <c r="CD32" s="787"/>
      <c r="CE32" s="787"/>
      <c r="CF32" s="787"/>
      <c r="CG32" s="787"/>
      <c r="CH32" s="787"/>
      <c r="CI32" s="787"/>
      <c r="CJ32" s="787"/>
      <c r="CK32" s="787"/>
      <c r="CL32" s="787"/>
      <c r="CM32" s="787"/>
      <c r="CN32" s="787"/>
      <c r="CO32" s="787"/>
      <c r="CP32" s="787"/>
      <c r="CQ32" s="787"/>
      <c r="CR32" s="787"/>
      <c r="CS32" s="787"/>
      <c r="CT32" s="787"/>
      <c r="CU32" s="787"/>
      <c r="CV32" s="787"/>
      <c r="CW32" s="787"/>
      <c r="CX32" s="787"/>
      <c r="CY32" s="787"/>
      <c r="CZ32" s="787"/>
      <c r="DA32" s="787"/>
      <c r="DB32" s="787"/>
      <c r="DC32" s="787"/>
      <c r="DD32" s="787"/>
      <c r="DE32" s="787"/>
      <c r="DF32" s="787"/>
      <c r="DG32" s="787"/>
      <c r="DH32" s="787"/>
      <c r="DI32" s="787"/>
      <c r="DJ32" s="787"/>
      <c r="DK32" s="787"/>
      <c r="DL32" s="787"/>
      <c r="DM32" s="787"/>
      <c r="DN32" s="787"/>
      <c r="DO32" s="787"/>
      <c r="DP32" s="787"/>
      <c r="DQ32" s="787"/>
      <c r="DR32" s="787"/>
      <c r="DS32" s="787"/>
      <c r="DT32" s="787"/>
      <c r="DU32" s="787"/>
      <c r="DV32" s="787"/>
      <c r="DW32" s="787"/>
      <c r="DX32" s="787"/>
      <c r="DY32" s="787"/>
      <c r="DZ32" s="787"/>
      <c r="EA32" s="787"/>
    </row>
    <row r="33" spans="1:131" ht="15.6">
      <c r="A33" s="782" t="s">
        <v>1325</v>
      </c>
      <c r="B33" s="782" t="s">
        <v>579</v>
      </c>
      <c r="C33" s="783">
        <v>1002</v>
      </c>
      <c r="D33" s="784" t="s">
        <v>580</v>
      </c>
      <c r="E33" s="785" t="s">
        <v>521</v>
      </c>
      <c r="F33" s="786">
        <v>46094</v>
      </c>
      <c r="G33" s="785" t="s">
        <v>5</v>
      </c>
      <c r="H33" s="785" t="s">
        <v>596</v>
      </c>
      <c r="I33" s="787">
        <v>742919.99472093489</v>
      </c>
      <c r="J33" s="787">
        <v>0</v>
      </c>
      <c r="K33" s="787">
        <v>19085.426131117267</v>
      </c>
      <c r="L33" s="787"/>
      <c r="M33" s="787">
        <v>0</v>
      </c>
      <c r="N33" s="787">
        <v>0</v>
      </c>
      <c r="O33" s="787"/>
      <c r="P33" s="787"/>
      <c r="Q33" s="787">
        <v>15832.640465000017</v>
      </c>
      <c r="R33" s="787"/>
      <c r="S33" s="787"/>
      <c r="T33" s="787"/>
      <c r="U33" s="787"/>
      <c r="V33" s="787"/>
      <c r="W33" s="787"/>
      <c r="X33" s="787">
        <f t="shared" si="0"/>
        <v>777838.06131705223</v>
      </c>
      <c r="Y33" s="787"/>
      <c r="Z33" s="787"/>
      <c r="AA33" s="787"/>
      <c r="AB33" s="787"/>
      <c r="AC33" s="787"/>
      <c r="AD33" s="787"/>
      <c r="AE33" s="787"/>
      <c r="AF33" s="787"/>
      <c r="AG33" s="787"/>
      <c r="AH33" s="787"/>
      <c r="AI33" s="787"/>
      <c r="AJ33" s="787"/>
      <c r="AK33" s="787"/>
      <c r="AL33" s="787"/>
      <c r="AM33" s="787"/>
      <c r="AN33" s="787"/>
      <c r="AO33" s="787">
        <v>0</v>
      </c>
      <c r="AP33" s="787"/>
      <c r="AQ33" s="787"/>
      <c r="AR33" s="787"/>
      <c r="AS33" s="787"/>
      <c r="AT33" s="787"/>
      <c r="AU33" s="787"/>
      <c r="AV33" s="787"/>
      <c r="AW33" s="787"/>
      <c r="AX33" s="787"/>
      <c r="AY33" s="787"/>
      <c r="AZ33" s="787">
        <v>137.42000000000002</v>
      </c>
      <c r="BA33" s="787">
        <v>3291.75</v>
      </c>
      <c r="BB33" s="787"/>
      <c r="BC33" s="787"/>
      <c r="BD33" s="787"/>
      <c r="BE33" s="787">
        <v>0</v>
      </c>
      <c r="BF33" s="787"/>
      <c r="BG33" s="787"/>
      <c r="BH33" s="787"/>
      <c r="BI33" s="787"/>
      <c r="BJ33" s="787">
        <f t="shared" si="1"/>
        <v>3429.17</v>
      </c>
      <c r="BK33" s="787"/>
      <c r="BL33" s="787"/>
      <c r="BM33" s="787"/>
      <c r="BN33" s="787">
        <v>4850.5</v>
      </c>
      <c r="BO33" s="787"/>
      <c r="BP33" s="787"/>
      <c r="BQ33" s="787">
        <f t="shared" si="2"/>
        <v>4850.5</v>
      </c>
      <c r="BR33" s="787"/>
      <c r="BS33" s="787"/>
      <c r="BT33" s="787"/>
      <c r="BU33" s="787"/>
      <c r="BV33" s="787"/>
      <c r="BW33" s="787"/>
      <c r="BX33" s="787"/>
      <c r="BY33" s="787"/>
      <c r="BZ33" s="787"/>
      <c r="CA33" s="787"/>
      <c r="CB33" s="787"/>
      <c r="CC33" s="787"/>
      <c r="CD33" s="787"/>
      <c r="CE33" s="787"/>
      <c r="CF33" s="787"/>
      <c r="CG33" s="787"/>
      <c r="CH33" s="787"/>
      <c r="CI33" s="787"/>
      <c r="CJ33" s="787"/>
      <c r="CK33" s="787"/>
      <c r="CL33" s="787"/>
      <c r="CM33" s="787"/>
      <c r="CN33" s="787"/>
      <c r="CO33" s="787"/>
      <c r="CP33" s="787"/>
      <c r="CQ33" s="787"/>
      <c r="CR33" s="787"/>
      <c r="CS33" s="787"/>
      <c r="CT33" s="787"/>
      <c r="CU33" s="787"/>
      <c r="CV33" s="787"/>
      <c r="CW33" s="787"/>
      <c r="CX33" s="787"/>
      <c r="CY33" s="787"/>
      <c r="CZ33" s="787"/>
      <c r="DA33" s="787"/>
      <c r="DB33" s="787"/>
      <c r="DC33" s="787"/>
      <c r="DD33" s="787"/>
      <c r="DE33" s="787"/>
      <c r="DF33" s="787"/>
      <c r="DG33" s="787"/>
      <c r="DH33" s="787"/>
      <c r="DI33" s="787"/>
      <c r="DJ33" s="787"/>
      <c r="DK33" s="787"/>
      <c r="DL33" s="787"/>
      <c r="DM33" s="787"/>
      <c r="DN33" s="787"/>
      <c r="DO33" s="787"/>
      <c r="DP33" s="787"/>
      <c r="DQ33" s="787"/>
      <c r="DR33" s="787"/>
      <c r="DS33" s="787"/>
      <c r="DT33" s="787"/>
      <c r="DU33" s="787"/>
      <c r="DV33" s="787"/>
      <c r="DW33" s="787"/>
      <c r="DX33" s="787"/>
      <c r="DY33" s="787"/>
      <c r="DZ33" s="787"/>
      <c r="EA33" s="787"/>
    </row>
    <row r="34" spans="1:131" ht="15.6">
      <c r="A34" s="782" t="s">
        <v>1326</v>
      </c>
      <c r="B34" s="782" t="s">
        <v>586</v>
      </c>
      <c r="C34" s="783">
        <v>2465</v>
      </c>
      <c r="D34" s="784" t="s">
        <v>587</v>
      </c>
      <c r="E34" s="785" t="s">
        <v>521</v>
      </c>
      <c r="F34" s="786">
        <v>0</v>
      </c>
      <c r="G34" s="785" t="s">
        <v>5</v>
      </c>
      <c r="H34" s="785" t="s">
        <v>598</v>
      </c>
      <c r="I34" s="787">
        <v>2883361.4470353196</v>
      </c>
      <c r="J34" s="787">
        <v>0</v>
      </c>
      <c r="K34" s="787">
        <v>140332.23766666665</v>
      </c>
      <c r="L34" s="787"/>
      <c r="M34" s="787">
        <v>216960</v>
      </c>
      <c r="N34" s="787">
        <v>82998</v>
      </c>
      <c r="O34" s="787"/>
      <c r="P34" s="787"/>
      <c r="Q34" s="787">
        <v>9828.5495649999921</v>
      </c>
      <c r="R34" s="787"/>
      <c r="S34" s="787"/>
      <c r="T34" s="787"/>
      <c r="U34" s="787"/>
      <c r="V34" s="787"/>
      <c r="W34" s="787"/>
      <c r="X34" s="787">
        <f t="shared" si="0"/>
        <v>3333480.2342669861</v>
      </c>
      <c r="Y34" s="787"/>
      <c r="Z34" s="787"/>
      <c r="AA34" s="787"/>
      <c r="AB34" s="787"/>
      <c r="AC34" s="787"/>
      <c r="AD34" s="787"/>
      <c r="AE34" s="787"/>
      <c r="AF34" s="787"/>
      <c r="AG34" s="787"/>
      <c r="AH34" s="787"/>
      <c r="AI34" s="787"/>
      <c r="AJ34" s="787"/>
      <c r="AK34" s="787"/>
      <c r="AL34" s="787"/>
      <c r="AM34" s="787"/>
      <c r="AN34" s="787"/>
      <c r="AO34" s="787">
        <v>46033.170000000013</v>
      </c>
      <c r="AP34" s="787"/>
      <c r="AQ34" s="787"/>
      <c r="AR34" s="787"/>
      <c r="AS34" s="787"/>
      <c r="AT34" s="787"/>
      <c r="AU34" s="787"/>
      <c r="AV34" s="787"/>
      <c r="AW34" s="787"/>
      <c r="AX34" s="787"/>
      <c r="AY34" s="787"/>
      <c r="AZ34" s="787">
        <v>62.15</v>
      </c>
      <c r="BA34" s="787">
        <v>9471</v>
      </c>
      <c r="BB34" s="787"/>
      <c r="BC34" s="787"/>
      <c r="BD34" s="787"/>
      <c r="BE34" s="787">
        <v>10901.439999999997</v>
      </c>
      <c r="BF34" s="787"/>
      <c r="BG34" s="787"/>
      <c r="BH34" s="787"/>
      <c r="BI34" s="787"/>
      <c r="BJ34" s="787">
        <f t="shared" si="1"/>
        <v>66467.760000000009</v>
      </c>
      <c r="BK34" s="787"/>
      <c r="BL34" s="787"/>
      <c r="BM34" s="787"/>
      <c r="BN34" s="787">
        <v>8977</v>
      </c>
      <c r="BO34" s="787"/>
      <c r="BP34" s="787"/>
      <c r="BQ34" s="787">
        <f t="shared" si="2"/>
        <v>8977</v>
      </c>
      <c r="BR34" s="787"/>
      <c r="BS34" s="787"/>
      <c r="BT34" s="787"/>
      <c r="BU34" s="787"/>
      <c r="BV34" s="787"/>
      <c r="BW34" s="787"/>
      <c r="BX34" s="787"/>
      <c r="BY34" s="787"/>
      <c r="BZ34" s="787"/>
      <c r="CA34" s="787"/>
      <c r="CB34" s="787"/>
      <c r="CC34" s="787"/>
      <c r="CD34" s="787"/>
      <c r="CE34" s="787"/>
      <c r="CF34" s="787"/>
      <c r="CG34" s="787"/>
      <c r="CH34" s="787"/>
      <c r="CI34" s="787"/>
      <c r="CJ34" s="787"/>
      <c r="CK34" s="787"/>
      <c r="CL34" s="787"/>
      <c r="CM34" s="787"/>
      <c r="CN34" s="787"/>
      <c r="CO34" s="787"/>
      <c r="CP34" s="787"/>
      <c r="CQ34" s="787"/>
      <c r="CR34" s="787"/>
      <c r="CS34" s="787"/>
      <c r="CT34" s="787"/>
      <c r="CU34" s="787"/>
      <c r="CV34" s="787"/>
      <c r="CW34" s="787"/>
      <c r="CX34" s="787"/>
      <c r="CY34" s="787"/>
      <c r="CZ34" s="787"/>
      <c r="DA34" s="787"/>
      <c r="DB34" s="787"/>
      <c r="DC34" s="787"/>
      <c r="DD34" s="787"/>
      <c r="DE34" s="787"/>
      <c r="DF34" s="787"/>
      <c r="DG34" s="787"/>
      <c r="DH34" s="787"/>
      <c r="DI34" s="787"/>
      <c r="DJ34" s="787"/>
      <c r="DK34" s="787"/>
      <c r="DL34" s="787"/>
      <c r="DM34" s="787"/>
      <c r="DN34" s="787"/>
      <c r="DO34" s="787"/>
      <c r="DP34" s="787"/>
      <c r="DQ34" s="787"/>
      <c r="DR34" s="787"/>
      <c r="DS34" s="787"/>
      <c r="DT34" s="787"/>
      <c r="DU34" s="787"/>
      <c r="DV34" s="787"/>
      <c r="DW34" s="787"/>
      <c r="DX34" s="787"/>
      <c r="DY34" s="787"/>
      <c r="DZ34" s="787"/>
      <c r="EA34" s="787"/>
    </row>
    <row r="35" spans="1:131" ht="15.6">
      <c r="A35" s="782" t="s">
        <v>1327</v>
      </c>
      <c r="B35" s="782" t="s">
        <v>588</v>
      </c>
      <c r="C35" s="783">
        <v>4801</v>
      </c>
      <c r="D35" s="784" t="s">
        <v>589</v>
      </c>
      <c r="E35" s="785" t="s">
        <v>521</v>
      </c>
      <c r="F35" s="786">
        <v>46094</v>
      </c>
      <c r="G35" s="785" t="s">
        <v>5</v>
      </c>
      <c r="H35" s="785" t="s">
        <v>600</v>
      </c>
      <c r="I35" s="787">
        <v>6411356.0659079803</v>
      </c>
      <c r="J35" s="787">
        <v>0</v>
      </c>
      <c r="K35" s="787">
        <v>111283.46666666667</v>
      </c>
      <c r="L35" s="787"/>
      <c r="M35" s="787">
        <v>432450</v>
      </c>
      <c r="N35" s="787">
        <v>12768.26</v>
      </c>
      <c r="O35" s="787"/>
      <c r="P35" s="787"/>
      <c r="Q35" s="787">
        <v>0</v>
      </c>
      <c r="R35" s="787"/>
      <c r="S35" s="787"/>
      <c r="T35" s="787"/>
      <c r="U35" s="787"/>
      <c r="V35" s="787"/>
      <c r="W35" s="787"/>
      <c r="X35" s="787">
        <f t="shared" si="0"/>
        <v>6967857.7925746469</v>
      </c>
      <c r="Y35" s="787"/>
      <c r="Z35" s="787"/>
      <c r="AA35" s="787"/>
      <c r="AB35" s="787"/>
      <c r="AC35" s="787"/>
      <c r="AD35" s="787"/>
      <c r="AE35" s="787"/>
      <c r="AF35" s="787"/>
      <c r="AG35" s="787"/>
      <c r="AH35" s="787"/>
      <c r="AI35" s="787"/>
      <c r="AJ35" s="787"/>
      <c r="AK35" s="787"/>
      <c r="AL35" s="787"/>
      <c r="AM35" s="787"/>
      <c r="AN35" s="787"/>
      <c r="AO35" s="787">
        <v>24697.859999999997</v>
      </c>
      <c r="AP35" s="787"/>
      <c r="AQ35" s="787"/>
      <c r="AR35" s="787"/>
      <c r="AS35" s="787"/>
      <c r="AT35" s="787"/>
      <c r="AU35" s="787"/>
      <c r="AV35" s="787"/>
      <c r="AW35" s="787"/>
      <c r="AX35" s="787"/>
      <c r="AY35" s="787"/>
      <c r="AZ35" s="787">
        <v>0</v>
      </c>
      <c r="BA35" s="787">
        <v>24312.75</v>
      </c>
      <c r="BB35" s="787"/>
      <c r="BC35" s="787"/>
      <c r="BD35" s="787"/>
      <c r="BE35" s="787">
        <v>15802.049999999997</v>
      </c>
      <c r="BF35" s="787"/>
      <c r="BG35" s="787"/>
      <c r="BH35" s="787"/>
      <c r="BI35" s="787"/>
      <c r="BJ35" s="787">
        <f t="shared" si="1"/>
        <v>64812.659999999996</v>
      </c>
      <c r="BK35" s="787"/>
      <c r="BL35" s="787"/>
      <c r="BM35" s="787"/>
      <c r="BN35" s="787">
        <v>0</v>
      </c>
      <c r="BO35" s="787"/>
      <c r="BP35" s="787"/>
      <c r="BQ35" s="787">
        <f t="shared" si="2"/>
        <v>0</v>
      </c>
      <c r="BR35" s="787"/>
      <c r="BS35" s="787"/>
      <c r="BT35" s="787"/>
      <c r="BU35" s="787"/>
      <c r="BV35" s="787"/>
      <c r="BW35" s="787"/>
      <c r="BX35" s="787"/>
      <c r="BY35" s="787"/>
      <c r="BZ35" s="787"/>
      <c r="CA35" s="787"/>
      <c r="CB35" s="787"/>
      <c r="CC35" s="787"/>
      <c r="CD35" s="787"/>
      <c r="CE35" s="787"/>
      <c r="CF35" s="787"/>
      <c r="CG35" s="787"/>
      <c r="CH35" s="787"/>
      <c r="CI35" s="787"/>
      <c r="CJ35" s="787"/>
      <c r="CK35" s="787"/>
      <c r="CL35" s="787"/>
      <c r="CM35" s="787"/>
      <c r="CN35" s="787"/>
      <c r="CO35" s="787"/>
      <c r="CP35" s="787"/>
      <c r="CQ35" s="787"/>
      <c r="CR35" s="787"/>
      <c r="CS35" s="787"/>
      <c r="CT35" s="787"/>
      <c r="CU35" s="787"/>
      <c r="CV35" s="787"/>
      <c r="CW35" s="787"/>
      <c r="CX35" s="787"/>
      <c r="CY35" s="787"/>
      <c r="CZ35" s="787"/>
      <c r="DA35" s="787"/>
      <c r="DB35" s="787"/>
      <c r="DC35" s="787"/>
      <c r="DD35" s="787"/>
      <c r="DE35" s="787"/>
      <c r="DF35" s="787"/>
      <c r="DG35" s="787"/>
      <c r="DH35" s="787"/>
      <c r="DI35" s="787"/>
      <c r="DJ35" s="787"/>
      <c r="DK35" s="787"/>
      <c r="DL35" s="787"/>
      <c r="DM35" s="787"/>
      <c r="DN35" s="787"/>
      <c r="DO35" s="787"/>
      <c r="DP35" s="787"/>
      <c r="DQ35" s="787"/>
      <c r="DR35" s="787"/>
      <c r="DS35" s="787"/>
      <c r="DT35" s="787"/>
      <c r="DU35" s="787"/>
      <c r="DV35" s="787"/>
      <c r="DW35" s="787"/>
      <c r="DX35" s="787"/>
      <c r="DY35" s="787"/>
      <c r="DZ35" s="787"/>
      <c r="EA35" s="787"/>
    </row>
    <row r="36" spans="1:131" ht="15.6">
      <c r="A36" s="782" t="s">
        <v>1328</v>
      </c>
      <c r="B36" s="782" t="s">
        <v>590</v>
      </c>
      <c r="C36" s="783">
        <v>1048</v>
      </c>
      <c r="D36" s="784" t="s">
        <v>591</v>
      </c>
      <c r="E36" s="785" t="s">
        <v>521</v>
      </c>
      <c r="F36" s="786">
        <v>46094</v>
      </c>
      <c r="G36" s="785" t="s">
        <v>5</v>
      </c>
      <c r="H36" s="785" t="s">
        <v>602</v>
      </c>
      <c r="I36" s="787">
        <v>1015663.080560061</v>
      </c>
      <c r="J36" s="787">
        <v>0</v>
      </c>
      <c r="K36" s="787">
        <v>79162.899192613113</v>
      </c>
      <c r="L36" s="787"/>
      <c r="M36" s="787">
        <v>0</v>
      </c>
      <c r="N36" s="787">
        <v>0</v>
      </c>
      <c r="O36" s="787"/>
      <c r="P36" s="787"/>
      <c r="Q36" s="787">
        <v>14668.340380000014</v>
      </c>
      <c r="R36" s="787"/>
      <c r="S36" s="787"/>
      <c r="T36" s="787"/>
      <c r="U36" s="787"/>
      <c r="V36" s="787"/>
      <c r="W36" s="787"/>
      <c r="X36" s="787">
        <f t="shared" si="0"/>
        <v>1109494.3201326742</v>
      </c>
      <c r="Y36" s="787"/>
      <c r="Z36" s="787"/>
      <c r="AA36" s="787"/>
      <c r="AB36" s="787"/>
      <c r="AC36" s="787"/>
      <c r="AD36" s="787"/>
      <c r="AE36" s="787"/>
      <c r="AF36" s="787"/>
      <c r="AG36" s="787"/>
      <c r="AH36" s="787"/>
      <c r="AI36" s="787"/>
      <c r="AJ36" s="787"/>
      <c r="AK36" s="787"/>
      <c r="AL36" s="787"/>
      <c r="AM36" s="787"/>
      <c r="AN36" s="787"/>
      <c r="AO36" s="787">
        <v>0</v>
      </c>
      <c r="AP36" s="787"/>
      <c r="AQ36" s="787"/>
      <c r="AR36" s="787"/>
      <c r="AS36" s="787"/>
      <c r="AT36" s="787"/>
      <c r="AU36" s="787"/>
      <c r="AV36" s="787"/>
      <c r="AW36" s="787"/>
      <c r="AX36" s="787"/>
      <c r="AY36" s="787"/>
      <c r="AZ36" s="787">
        <v>73.73</v>
      </c>
      <c r="BA36" s="787">
        <v>3291.75</v>
      </c>
      <c r="BB36" s="787"/>
      <c r="BC36" s="787"/>
      <c r="BD36" s="787"/>
      <c r="BE36" s="787">
        <v>0</v>
      </c>
      <c r="BF36" s="787"/>
      <c r="BG36" s="787"/>
      <c r="BH36" s="787"/>
      <c r="BI36" s="787"/>
      <c r="BJ36" s="787">
        <f t="shared" si="1"/>
        <v>3365.48</v>
      </c>
      <c r="BK36" s="787"/>
      <c r="BL36" s="787"/>
      <c r="BM36" s="787"/>
      <c r="BN36" s="787">
        <v>5228.5</v>
      </c>
      <c r="BO36" s="787"/>
      <c r="BP36" s="787"/>
      <c r="BQ36" s="787">
        <f t="shared" si="2"/>
        <v>5228.5</v>
      </c>
      <c r="BR36" s="787"/>
      <c r="BS36" s="787"/>
      <c r="BT36" s="787"/>
      <c r="BU36" s="787"/>
      <c r="BV36" s="787"/>
      <c r="BW36" s="787"/>
      <c r="BX36" s="787"/>
      <c r="BY36" s="787"/>
      <c r="BZ36" s="787"/>
      <c r="CA36" s="787"/>
      <c r="CB36" s="787"/>
      <c r="CC36" s="787"/>
      <c r="CD36" s="787"/>
      <c r="CE36" s="787"/>
      <c r="CF36" s="787"/>
      <c r="CG36" s="787"/>
      <c r="CH36" s="787"/>
      <c r="CI36" s="787"/>
      <c r="CJ36" s="787"/>
      <c r="CK36" s="787"/>
      <c r="CL36" s="787"/>
      <c r="CM36" s="787"/>
      <c r="CN36" s="787"/>
      <c r="CO36" s="787"/>
      <c r="CP36" s="787"/>
      <c r="CQ36" s="787"/>
      <c r="CR36" s="787"/>
      <c r="CS36" s="787"/>
      <c r="CT36" s="787"/>
      <c r="CU36" s="787"/>
      <c r="CV36" s="787"/>
      <c r="CW36" s="787"/>
      <c r="CX36" s="787"/>
      <c r="CY36" s="787"/>
      <c r="CZ36" s="787"/>
      <c r="DA36" s="787"/>
      <c r="DB36" s="787"/>
      <c r="DC36" s="787"/>
      <c r="DD36" s="787"/>
      <c r="DE36" s="787"/>
      <c r="DF36" s="787"/>
      <c r="DG36" s="787"/>
      <c r="DH36" s="787"/>
      <c r="DI36" s="787"/>
      <c r="DJ36" s="787"/>
      <c r="DK36" s="787"/>
      <c r="DL36" s="787"/>
      <c r="DM36" s="787"/>
      <c r="DN36" s="787"/>
      <c r="DO36" s="787"/>
      <c r="DP36" s="787"/>
      <c r="DQ36" s="787"/>
      <c r="DR36" s="787"/>
      <c r="DS36" s="787"/>
      <c r="DT36" s="787"/>
      <c r="DU36" s="787"/>
      <c r="DV36" s="787"/>
      <c r="DW36" s="787"/>
      <c r="DX36" s="787"/>
      <c r="DY36" s="787"/>
      <c r="DZ36" s="787"/>
      <c r="EA36" s="787"/>
    </row>
    <row r="37" spans="1:131" ht="15.6">
      <c r="A37" s="782" t="s">
        <v>1329</v>
      </c>
      <c r="B37" s="782" t="s">
        <v>592</v>
      </c>
      <c r="C37" s="783">
        <v>2312</v>
      </c>
      <c r="D37" s="784" t="s">
        <v>593</v>
      </c>
      <c r="E37" s="785" t="s">
        <v>521</v>
      </c>
      <c r="F37" s="786">
        <v>46094</v>
      </c>
      <c r="G37" s="785" t="s">
        <v>5</v>
      </c>
      <c r="H37" s="785" t="s">
        <v>604</v>
      </c>
      <c r="I37" s="787">
        <v>2231663.7070999998</v>
      </c>
      <c r="J37" s="787">
        <v>0</v>
      </c>
      <c r="K37" s="787">
        <v>278465.00066666666</v>
      </c>
      <c r="L37" s="787"/>
      <c r="M37" s="787">
        <v>127875</v>
      </c>
      <c r="N37" s="787">
        <v>84600</v>
      </c>
      <c r="O37" s="787"/>
      <c r="P37" s="787"/>
      <c r="Q37" s="787">
        <v>0</v>
      </c>
      <c r="R37" s="787"/>
      <c r="S37" s="787"/>
      <c r="T37" s="787"/>
      <c r="U37" s="787"/>
      <c r="V37" s="787"/>
      <c r="W37" s="787"/>
      <c r="X37" s="787">
        <f t="shared" si="0"/>
        <v>2722603.7077666665</v>
      </c>
      <c r="Y37" s="787"/>
      <c r="Z37" s="787"/>
      <c r="AA37" s="787"/>
      <c r="AB37" s="787"/>
      <c r="AC37" s="787"/>
      <c r="AD37" s="787"/>
      <c r="AE37" s="787"/>
      <c r="AF37" s="787"/>
      <c r="AG37" s="787"/>
      <c r="AH37" s="787"/>
      <c r="AI37" s="787"/>
      <c r="AJ37" s="787"/>
      <c r="AK37" s="787"/>
      <c r="AL37" s="787"/>
      <c r="AM37" s="787"/>
      <c r="AN37" s="787"/>
      <c r="AO37" s="787">
        <v>30209.820000000003</v>
      </c>
      <c r="AP37" s="787"/>
      <c r="AQ37" s="787"/>
      <c r="AR37" s="787"/>
      <c r="AS37" s="787"/>
      <c r="AT37" s="787"/>
      <c r="AU37" s="787"/>
      <c r="AV37" s="787"/>
      <c r="AW37" s="787"/>
      <c r="AX37" s="787"/>
      <c r="AY37" s="787"/>
      <c r="AZ37" s="787">
        <v>0</v>
      </c>
      <c r="BA37" s="787">
        <v>9471</v>
      </c>
      <c r="BB37" s="787"/>
      <c r="BC37" s="787"/>
      <c r="BD37" s="787"/>
      <c r="BE37" s="787">
        <v>10979.679999999998</v>
      </c>
      <c r="BF37" s="787"/>
      <c r="BG37" s="787"/>
      <c r="BH37" s="787"/>
      <c r="BI37" s="787"/>
      <c r="BJ37" s="787">
        <f t="shared" si="1"/>
        <v>50660.500000000007</v>
      </c>
      <c r="BK37" s="787"/>
      <c r="BL37" s="787"/>
      <c r="BM37" s="787"/>
      <c r="BN37" s="787">
        <v>8725</v>
      </c>
      <c r="BO37" s="787"/>
      <c r="BP37" s="787"/>
      <c r="BQ37" s="787">
        <f t="shared" si="2"/>
        <v>8725</v>
      </c>
      <c r="BR37" s="787"/>
      <c r="BS37" s="787"/>
      <c r="BT37" s="787"/>
      <c r="BU37" s="787"/>
      <c r="BV37" s="787"/>
      <c r="BW37" s="787"/>
      <c r="BX37" s="787"/>
      <c r="BY37" s="787"/>
      <c r="BZ37" s="787"/>
      <c r="CA37" s="787"/>
      <c r="CB37" s="787"/>
      <c r="CC37" s="787"/>
      <c r="CD37" s="787"/>
      <c r="CE37" s="787"/>
      <c r="CF37" s="787"/>
      <c r="CG37" s="787"/>
      <c r="CH37" s="787"/>
      <c r="CI37" s="787"/>
      <c r="CJ37" s="787"/>
      <c r="CK37" s="787"/>
      <c r="CL37" s="787"/>
      <c r="CM37" s="787"/>
      <c r="CN37" s="787"/>
      <c r="CO37" s="787"/>
      <c r="CP37" s="787"/>
      <c r="CQ37" s="787"/>
      <c r="CR37" s="787"/>
      <c r="CS37" s="787"/>
      <c r="CT37" s="787"/>
      <c r="CU37" s="787"/>
      <c r="CV37" s="787"/>
      <c r="CW37" s="787"/>
      <c r="CX37" s="787"/>
      <c r="CY37" s="787"/>
      <c r="CZ37" s="787"/>
      <c r="DA37" s="787"/>
      <c r="DB37" s="787"/>
      <c r="DC37" s="787"/>
      <c r="DD37" s="787"/>
      <c r="DE37" s="787"/>
      <c r="DF37" s="787"/>
      <c r="DG37" s="787"/>
      <c r="DH37" s="787"/>
      <c r="DI37" s="787"/>
      <c r="DJ37" s="787"/>
      <c r="DK37" s="787"/>
      <c r="DL37" s="787"/>
      <c r="DM37" s="787"/>
      <c r="DN37" s="787"/>
      <c r="DO37" s="787"/>
      <c r="DP37" s="787"/>
      <c r="DQ37" s="787"/>
      <c r="DR37" s="787"/>
      <c r="DS37" s="787"/>
      <c r="DT37" s="787"/>
      <c r="DU37" s="787"/>
      <c r="DV37" s="787"/>
      <c r="DW37" s="787"/>
      <c r="DX37" s="787"/>
      <c r="DY37" s="787"/>
      <c r="DZ37" s="787"/>
      <c r="EA37" s="787"/>
    </row>
    <row r="38" spans="1:131" ht="15.6">
      <c r="A38" s="782" t="s">
        <v>1330</v>
      </c>
      <c r="B38" s="782" t="s">
        <v>594</v>
      </c>
      <c r="C38" s="783">
        <v>7051</v>
      </c>
      <c r="D38" s="784" t="s">
        <v>595</v>
      </c>
      <c r="E38" s="785" t="s">
        <v>521</v>
      </c>
      <c r="F38" s="786">
        <v>46094</v>
      </c>
      <c r="G38" s="785" t="s">
        <v>5</v>
      </c>
      <c r="H38" s="785" t="s">
        <v>607</v>
      </c>
      <c r="I38" s="787">
        <v>1222449.4776086956</v>
      </c>
      <c r="J38" s="787">
        <v>0</v>
      </c>
      <c r="K38" s="787">
        <v>1908100.110491578</v>
      </c>
      <c r="L38" s="787"/>
      <c r="M38" s="787">
        <v>109080</v>
      </c>
      <c r="N38" s="787">
        <v>24124.86</v>
      </c>
      <c r="O38" s="787"/>
      <c r="P38" s="787"/>
      <c r="Q38" s="787">
        <v>0</v>
      </c>
      <c r="R38" s="787"/>
      <c r="S38" s="787"/>
      <c r="T38" s="787"/>
      <c r="U38" s="787"/>
      <c r="V38" s="787"/>
      <c r="W38" s="787"/>
      <c r="X38" s="787">
        <f t="shared" si="0"/>
        <v>3263754.4481002735</v>
      </c>
      <c r="Y38" s="787"/>
      <c r="Z38" s="787"/>
      <c r="AA38" s="787"/>
      <c r="AB38" s="787"/>
      <c r="AC38" s="787"/>
      <c r="AD38" s="787"/>
      <c r="AE38" s="787"/>
      <c r="AF38" s="787"/>
      <c r="AG38" s="787"/>
      <c r="AH38" s="787"/>
      <c r="AI38" s="787"/>
      <c r="AJ38" s="787"/>
      <c r="AK38" s="787"/>
      <c r="AL38" s="787"/>
      <c r="AM38" s="787"/>
      <c r="AN38" s="787"/>
      <c r="AO38" s="787">
        <v>0</v>
      </c>
      <c r="AP38" s="787"/>
      <c r="AQ38" s="787"/>
      <c r="AR38" s="787"/>
      <c r="AS38" s="787"/>
      <c r="AT38" s="787"/>
      <c r="AU38" s="787"/>
      <c r="AV38" s="787"/>
      <c r="AW38" s="787"/>
      <c r="AX38" s="787"/>
      <c r="AY38" s="787"/>
      <c r="AZ38" s="787">
        <v>0</v>
      </c>
      <c r="BA38" s="787">
        <v>2997</v>
      </c>
      <c r="BB38" s="787"/>
      <c r="BC38" s="787"/>
      <c r="BD38" s="787"/>
      <c r="BE38" s="787">
        <v>0</v>
      </c>
      <c r="BF38" s="787"/>
      <c r="BG38" s="787"/>
      <c r="BH38" s="787"/>
      <c r="BI38" s="787"/>
      <c r="BJ38" s="787">
        <f t="shared" si="1"/>
        <v>2997</v>
      </c>
      <c r="BK38" s="787"/>
      <c r="BL38" s="787"/>
      <c r="BM38" s="787"/>
      <c r="BN38" s="787">
        <v>9771.25</v>
      </c>
      <c r="BO38" s="787"/>
      <c r="BP38" s="787"/>
      <c r="BQ38" s="787">
        <f t="shared" si="2"/>
        <v>9771.25</v>
      </c>
      <c r="BR38" s="787"/>
      <c r="BS38" s="787"/>
      <c r="BT38" s="787"/>
      <c r="BU38" s="787"/>
      <c r="BV38" s="787"/>
      <c r="BW38" s="787"/>
      <c r="BX38" s="787"/>
      <c r="BY38" s="787"/>
      <c r="BZ38" s="787"/>
      <c r="CA38" s="787"/>
      <c r="CB38" s="787"/>
      <c r="CC38" s="787"/>
      <c r="CD38" s="787"/>
      <c r="CE38" s="787"/>
      <c r="CF38" s="787"/>
      <c r="CG38" s="787"/>
      <c r="CH38" s="787"/>
      <c r="CI38" s="787"/>
      <c r="CJ38" s="787"/>
      <c r="CK38" s="787"/>
      <c r="CL38" s="787"/>
      <c r="CM38" s="787"/>
      <c r="CN38" s="787"/>
      <c r="CO38" s="787"/>
      <c r="CP38" s="787"/>
      <c r="CQ38" s="787"/>
      <c r="CR38" s="787"/>
      <c r="CS38" s="787"/>
      <c r="CT38" s="787"/>
      <c r="CU38" s="787"/>
      <c r="CV38" s="787"/>
      <c r="CW38" s="787"/>
      <c r="CX38" s="787"/>
      <c r="CY38" s="787"/>
      <c r="CZ38" s="787"/>
      <c r="DA38" s="787"/>
      <c r="DB38" s="787"/>
      <c r="DC38" s="787"/>
      <c r="DD38" s="787"/>
      <c r="DE38" s="787"/>
      <c r="DF38" s="787"/>
      <c r="DG38" s="787"/>
      <c r="DH38" s="787"/>
      <c r="DI38" s="787"/>
      <c r="DJ38" s="787"/>
      <c r="DK38" s="787"/>
      <c r="DL38" s="787"/>
      <c r="DM38" s="787"/>
      <c r="DN38" s="787"/>
      <c r="DO38" s="787"/>
      <c r="DP38" s="787"/>
      <c r="DQ38" s="787"/>
      <c r="DR38" s="787"/>
      <c r="DS38" s="787"/>
      <c r="DT38" s="787"/>
      <c r="DU38" s="787"/>
      <c r="DV38" s="787"/>
      <c r="DW38" s="787"/>
      <c r="DX38" s="787"/>
      <c r="DY38" s="787"/>
      <c r="DZ38" s="787"/>
      <c r="EA38" s="787"/>
    </row>
    <row r="39" spans="1:131" ht="15.6">
      <c r="A39" s="782" t="s">
        <v>1331</v>
      </c>
      <c r="B39" s="782" t="s">
        <v>596</v>
      </c>
      <c r="C39" s="783">
        <v>2040</v>
      </c>
      <c r="D39" s="784" t="s">
        <v>597</v>
      </c>
      <c r="E39" s="785" t="s">
        <v>521</v>
      </c>
      <c r="F39" s="786">
        <v>46094</v>
      </c>
      <c r="G39" s="785" t="s">
        <v>5</v>
      </c>
      <c r="H39" s="785" t="s">
        <v>609</v>
      </c>
      <c r="I39" s="787">
        <v>2594152.8628233359</v>
      </c>
      <c r="J39" s="787">
        <v>0</v>
      </c>
      <c r="K39" s="787">
        <v>327502.68333333335</v>
      </c>
      <c r="L39" s="787"/>
      <c r="M39" s="787">
        <v>180915</v>
      </c>
      <c r="N39" s="787">
        <v>79253.289999999994</v>
      </c>
      <c r="O39" s="787"/>
      <c r="P39" s="787"/>
      <c r="Q39" s="787">
        <v>16727.141484999996</v>
      </c>
      <c r="R39" s="787"/>
      <c r="S39" s="787"/>
      <c r="T39" s="787"/>
      <c r="U39" s="787"/>
      <c r="V39" s="787"/>
      <c r="W39" s="787"/>
      <c r="X39" s="787">
        <f t="shared" si="0"/>
        <v>3198550.9776416691</v>
      </c>
      <c r="Y39" s="787"/>
      <c r="Z39" s="787"/>
      <c r="AA39" s="787"/>
      <c r="AB39" s="787"/>
      <c r="AC39" s="787"/>
      <c r="AD39" s="787"/>
      <c r="AE39" s="787"/>
      <c r="AF39" s="787"/>
      <c r="AG39" s="787"/>
      <c r="AH39" s="787"/>
      <c r="AI39" s="787"/>
      <c r="AJ39" s="787"/>
      <c r="AK39" s="787"/>
      <c r="AL39" s="787"/>
      <c r="AM39" s="787"/>
      <c r="AN39" s="787"/>
      <c r="AO39" s="787">
        <v>30474.819999999996</v>
      </c>
      <c r="AP39" s="787"/>
      <c r="AQ39" s="787"/>
      <c r="AR39" s="787"/>
      <c r="AS39" s="787"/>
      <c r="AT39" s="787"/>
      <c r="AU39" s="787"/>
      <c r="AV39" s="787"/>
      <c r="AW39" s="787"/>
      <c r="AX39" s="787"/>
      <c r="AY39" s="787"/>
      <c r="AZ39" s="787">
        <v>93.75</v>
      </c>
      <c r="BA39" s="787">
        <v>9471</v>
      </c>
      <c r="BB39" s="787"/>
      <c r="BC39" s="787"/>
      <c r="BD39" s="787"/>
      <c r="BE39" s="787">
        <v>11083.999999999998</v>
      </c>
      <c r="BF39" s="787"/>
      <c r="BG39" s="787"/>
      <c r="BH39" s="787"/>
      <c r="BI39" s="787"/>
      <c r="BJ39" s="787">
        <f t="shared" si="1"/>
        <v>51123.569999999992</v>
      </c>
      <c r="BK39" s="787"/>
      <c r="BL39" s="787"/>
      <c r="BM39" s="787"/>
      <c r="BN39" s="787">
        <v>9024.25</v>
      </c>
      <c r="BO39" s="787"/>
      <c r="BP39" s="787"/>
      <c r="BQ39" s="787">
        <f t="shared" si="2"/>
        <v>9024.25</v>
      </c>
      <c r="BR39" s="787"/>
      <c r="BS39" s="787"/>
      <c r="BT39" s="787"/>
      <c r="BU39" s="787"/>
      <c r="BV39" s="787"/>
      <c r="BW39" s="787"/>
      <c r="BX39" s="787"/>
      <c r="BY39" s="787"/>
      <c r="BZ39" s="787"/>
      <c r="CA39" s="787"/>
      <c r="CB39" s="787"/>
      <c r="CC39" s="787"/>
      <c r="CD39" s="787"/>
      <c r="CE39" s="787"/>
      <c r="CF39" s="787"/>
      <c r="CG39" s="787"/>
      <c r="CH39" s="787"/>
      <c r="CI39" s="787"/>
      <c r="CJ39" s="787"/>
      <c r="CK39" s="787"/>
      <c r="CL39" s="787"/>
      <c r="CM39" s="787"/>
      <c r="CN39" s="787"/>
      <c r="CO39" s="787"/>
      <c r="CP39" s="787"/>
      <c r="CQ39" s="787"/>
      <c r="CR39" s="787"/>
      <c r="CS39" s="787"/>
      <c r="CT39" s="787"/>
      <c r="CU39" s="787"/>
      <c r="CV39" s="787"/>
      <c r="CW39" s="787"/>
      <c r="CX39" s="787"/>
      <c r="CY39" s="787"/>
      <c r="CZ39" s="787"/>
      <c r="DA39" s="787"/>
      <c r="DB39" s="787"/>
      <c r="DC39" s="787"/>
      <c r="DD39" s="787"/>
      <c r="DE39" s="787"/>
      <c r="DF39" s="787"/>
      <c r="DG39" s="787"/>
      <c r="DH39" s="787"/>
      <c r="DI39" s="787"/>
      <c r="DJ39" s="787"/>
      <c r="DK39" s="787"/>
      <c r="DL39" s="787"/>
      <c r="DM39" s="787"/>
      <c r="DN39" s="787"/>
      <c r="DO39" s="787"/>
      <c r="DP39" s="787"/>
      <c r="DQ39" s="787"/>
      <c r="DR39" s="787"/>
      <c r="DS39" s="787"/>
      <c r="DT39" s="787"/>
      <c r="DU39" s="787"/>
      <c r="DV39" s="787"/>
      <c r="DW39" s="787"/>
      <c r="DX39" s="787"/>
      <c r="DY39" s="787"/>
      <c r="DZ39" s="787"/>
      <c r="EA39" s="787"/>
    </row>
    <row r="40" spans="1:131" ht="15.6">
      <c r="A40" s="782" t="s">
        <v>1332</v>
      </c>
      <c r="B40" s="782" t="s">
        <v>598</v>
      </c>
      <c r="C40" s="783">
        <v>2251</v>
      </c>
      <c r="D40" s="784" t="s">
        <v>599</v>
      </c>
      <c r="E40" s="785" t="s">
        <v>521</v>
      </c>
      <c r="F40" s="786">
        <v>46094</v>
      </c>
      <c r="G40" s="785" t="s">
        <v>5</v>
      </c>
      <c r="H40" s="785" t="s">
        <v>611</v>
      </c>
      <c r="I40" s="787">
        <v>2301155.2026592796</v>
      </c>
      <c r="J40" s="787">
        <v>0</v>
      </c>
      <c r="K40" s="787">
        <v>134733.49213296399</v>
      </c>
      <c r="L40" s="787"/>
      <c r="M40" s="787">
        <v>126460</v>
      </c>
      <c r="N40" s="787">
        <v>97449</v>
      </c>
      <c r="O40" s="787"/>
      <c r="P40" s="787"/>
      <c r="Q40" s="787">
        <v>0</v>
      </c>
      <c r="R40" s="787"/>
      <c r="S40" s="787"/>
      <c r="T40" s="787"/>
      <c r="U40" s="787"/>
      <c r="V40" s="787"/>
      <c r="W40" s="787"/>
      <c r="X40" s="787">
        <f t="shared" si="0"/>
        <v>2659797.6947922437</v>
      </c>
      <c r="Y40" s="787"/>
      <c r="Z40" s="787"/>
      <c r="AA40" s="787"/>
      <c r="AB40" s="787"/>
      <c r="AC40" s="787"/>
      <c r="AD40" s="787"/>
      <c r="AE40" s="787"/>
      <c r="AF40" s="787"/>
      <c r="AG40" s="787"/>
      <c r="AH40" s="787"/>
      <c r="AI40" s="787"/>
      <c r="AJ40" s="787"/>
      <c r="AK40" s="787"/>
      <c r="AL40" s="787"/>
      <c r="AM40" s="787"/>
      <c r="AN40" s="787"/>
      <c r="AO40" s="787">
        <v>17820.63</v>
      </c>
      <c r="AP40" s="787"/>
      <c r="AQ40" s="787"/>
      <c r="AR40" s="787"/>
      <c r="AS40" s="787"/>
      <c r="AT40" s="787"/>
      <c r="AU40" s="787"/>
      <c r="AV40" s="787"/>
      <c r="AW40" s="787"/>
      <c r="AX40" s="787"/>
      <c r="AY40" s="787"/>
      <c r="AZ40" s="787">
        <v>0</v>
      </c>
      <c r="BA40" s="787">
        <v>9471</v>
      </c>
      <c r="BB40" s="787"/>
      <c r="BC40" s="787"/>
      <c r="BD40" s="787"/>
      <c r="BE40" s="787">
        <v>10927.520000000002</v>
      </c>
      <c r="BF40" s="787"/>
      <c r="BG40" s="787"/>
      <c r="BH40" s="787"/>
      <c r="BI40" s="787"/>
      <c r="BJ40" s="787">
        <f t="shared" si="1"/>
        <v>38219.15</v>
      </c>
      <c r="BK40" s="787"/>
      <c r="BL40" s="787"/>
      <c r="BM40" s="787"/>
      <c r="BN40" s="787">
        <v>9006.25</v>
      </c>
      <c r="BO40" s="787"/>
      <c r="BP40" s="787"/>
      <c r="BQ40" s="787">
        <f t="shared" si="2"/>
        <v>9006.25</v>
      </c>
      <c r="BR40" s="787"/>
      <c r="BS40" s="787"/>
      <c r="BT40" s="787"/>
      <c r="BU40" s="787"/>
      <c r="BV40" s="787"/>
      <c r="BW40" s="787"/>
      <c r="BX40" s="787"/>
      <c r="BY40" s="787"/>
      <c r="BZ40" s="787"/>
      <c r="CA40" s="787"/>
      <c r="CB40" s="787"/>
      <c r="CC40" s="787"/>
      <c r="CD40" s="787"/>
      <c r="CE40" s="787"/>
      <c r="CF40" s="787"/>
      <c r="CG40" s="787"/>
      <c r="CH40" s="787"/>
      <c r="CI40" s="787"/>
      <c r="CJ40" s="787"/>
      <c r="CK40" s="787"/>
      <c r="CL40" s="787"/>
      <c r="CM40" s="787"/>
      <c r="CN40" s="787"/>
      <c r="CO40" s="787"/>
      <c r="CP40" s="787"/>
      <c r="CQ40" s="787"/>
      <c r="CR40" s="787"/>
      <c r="CS40" s="787"/>
      <c r="CT40" s="787"/>
      <c r="CU40" s="787"/>
      <c r="CV40" s="787"/>
      <c r="CW40" s="787"/>
      <c r="CX40" s="787"/>
      <c r="CY40" s="787"/>
      <c r="CZ40" s="787"/>
      <c r="DA40" s="787"/>
      <c r="DB40" s="787"/>
      <c r="DC40" s="787"/>
      <c r="DD40" s="787"/>
      <c r="DE40" s="787"/>
      <c r="DF40" s="787"/>
      <c r="DG40" s="787"/>
      <c r="DH40" s="787"/>
      <c r="DI40" s="787"/>
      <c r="DJ40" s="787"/>
      <c r="DK40" s="787"/>
      <c r="DL40" s="787"/>
      <c r="DM40" s="787"/>
      <c r="DN40" s="787"/>
      <c r="DO40" s="787"/>
      <c r="DP40" s="787"/>
      <c r="DQ40" s="787"/>
      <c r="DR40" s="787"/>
      <c r="DS40" s="787"/>
      <c r="DT40" s="787"/>
      <c r="DU40" s="787"/>
      <c r="DV40" s="787"/>
      <c r="DW40" s="787"/>
      <c r="DX40" s="787"/>
      <c r="DY40" s="787"/>
      <c r="DZ40" s="787"/>
      <c r="EA40" s="787"/>
    </row>
    <row r="41" spans="1:131" ht="15.6">
      <c r="A41" s="782" t="s">
        <v>1333</v>
      </c>
      <c r="B41" s="782" t="s">
        <v>600</v>
      </c>
      <c r="C41" s="783">
        <v>3002</v>
      </c>
      <c r="D41" s="784" t="s">
        <v>601</v>
      </c>
      <c r="E41" s="785" t="s">
        <v>521</v>
      </c>
      <c r="F41" s="786">
        <v>46094</v>
      </c>
      <c r="G41" s="785" t="s">
        <v>5</v>
      </c>
      <c r="H41" s="785" t="s">
        <v>613</v>
      </c>
      <c r="I41" s="787">
        <v>1422881.8240609237</v>
      </c>
      <c r="J41" s="787">
        <v>0</v>
      </c>
      <c r="K41" s="787">
        <v>69373.003333333327</v>
      </c>
      <c r="L41" s="787"/>
      <c r="M41" s="787">
        <v>162105</v>
      </c>
      <c r="N41" s="787">
        <v>34312.639999999999</v>
      </c>
      <c r="O41" s="787"/>
      <c r="P41" s="787"/>
      <c r="Q41" s="787">
        <v>0</v>
      </c>
      <c r="R41" s="787"/>
      <c r="S41" s="787"/>
      <c r="T41" s="787"/>
      <c r="U41" s="787"/>
      <c r="V41" s="787"/>
      <c r="W41" s="787"/>
      <c r="X41" s="787">
        <f t="shared" si="0"/>
        <v>1688672.467394257</v>
      </c>
      <c r="Y41" s="787"/>
      <c r="Z41" s="787"/>
      <c r="AA41" s="787"/>
      <c r="AB41" s="787"/>
      <c r="AC41" s="787"/>
      <c r="AD41" s="787"/>
      <c r="AE41" s="787"/>
      <c r="AF41" s="787"/>
      <c r="AG41" s="787"/>
      <c r="AH41" s="787"/>
      <c r="AI41" s="787"/>
      <c r="AJ41" s="787"/>
      <c r="AK41" s="787"/>
      <c r="AL41" s="787"/>
      <c r="AM41" s="787"/>
      <c r="AN41" s="787"/>
      <c r="AO41" s="787">
        <v>20015.919999999998</v>
      </c>
      <c r="AP41" s="787"/>
      <c r="AQ41" s="787"/>
      <c r="AR41" s="787"/>
      <c r="AS41" s="787"/>
      <c r="AT41" s="787"/>
      <c r="AU41" s="787"/>
      <c r="AV41" s="787"/>
      <c r="AW41" s="787"/>
      <c r="AX41" s="787"/>
      <c r="AY41" s="787"/>
      <c r="AZ41" s="787">
        <v>0</v>
      </c>
      <c r="BA41" s="787">
        <v>5139.75</v>
      </c>
      <c r="BB41" s="787"/>
      <c r="BC41" s="787"/>
      <c r="BD41" s="787"/>
      <c r="BE41" s="787">
        <v>5189.92</v>
      </c>
      <c r="BF41" s="787"/>
      <c r="BG41" s="787"/>
      <c r="BH41" s="787"/>
      <c r="BI41" s="787"/>
      <c r="BJ41" s="787">
        <f t="shared" si="1"/>
        <v>30345.589999999997</v>
      </c>
      <c r="BK41" s="787"/>
      <c r="BL41" s="787"/>
      <c r="BM41" s="787"/>
      <c r="BN41" s="787">
        <v>6440.8</v>
      </c>
      <c r="BO41" s="787"/>
      <c r="BP41" s="787"/>
      <c r="BQ41" s="787">
        <f t="shared" si="2"/>
        <v>6440.8</v>
      </c>
      <c r="BR41" s="787"/>
      <c r="BS41" s="787"/>
      <c r="BT41" s="787"/>
      <c r="BU41" s="787"/>
      <c r="BV41" s="787"/>
      <c r="BW41" s="787"/>
      <c r="BX41" s="787"/>
      <c r="BY41" s="787"/>
      <c r="BZ41" s="787"/>
      <c r="CA41" s="787"/>
      <c r="CB41" s="787"/>
      <c r="CC41" s="787"/>
      <c r="CD41" s="787"/>
      <c r="CE41" s="787"/>
      <c r="CF41" s="787"/>
      <c r="CG41" s="787"/>
      <c r="CH41" s="787"/>
      <c r="CI41" s="787"/>
      <c r="CJ41" s="787"/>
      <c r="CK41" s="787"/>
      <c r="CL41" s="787"/>
      <c r="CM41" s="787"/>
      <c r="CN41" s="787"/>
      <c r="CO41" s="787"/>
      <c r="CP41" s="787"/>
      <c r="CQ41" s="787"/>
      <c r="CR41" s="787"/>
      <c r="CS41" s="787"/>
      <c r="CT41" s="787"/>
      <c r="CU41" s="787"/>
      <c r="CV41" s="787"/>
      <c r="CW41" s="787"/>
      <c r="CX41" s="787"/>
      <c r="CY41" s="787"/>
      <c r="CZ41" s="787"/>
      <c r="DA41" s="787"/>
      <c r="DB41" s="787"/>
      <c r="DC41" s="787"/>
      <c r="DD41" s="787"/>
      <c r="DE41" s="787"/>
      <c r="DF41" s="787"/>
      <c r="DG41" s="787"/>
      <c r="DH41" s="787"/>
      <c r="DI41" s="787"/>
      <c r="DJ41" s="787"/>
      <c r="DK41" s="787"/>
      <c r="DL41" s="787"/>
      <c r="DM41" s="787"/>
      <c r="DN41" s="787"/>
      <c r="DO41" s="787"/>
      <c r="DP41" s="787"/>
      <c r="DQ41" s="787"/>
      <c r="DR41" s="787"/>
      <c r="DS41" s="787"/>
      <c r="DT41" s="787"/>
      <c r="DU41" s="787"/>
      <c r="DV41" s="787"/>
      <c r="DW41" s="787"/>
      <c r="DX41" s="787"/>
      <c r="DY41" s="787"/>
      <c r="DZ41" s="787"/>
      <c r="EA41" s="787"/>
    </row>
    <row r="42" spans="1:131" ht="15.6">
      <c r="A42" s="782" t="s">
        <v>1334</v>
      </c>
      <c r="B42" s="782" t="s">
        <v>602</v>
      </c>
      <c r="C42" s="783">
        <v>3319</v>
      </c>
      <c r="D42" s="784" t="s">
        <v>603</v>
      </c>
      <c r="E42" s="785" t="s">
        <v>521</v>
      </c>
      <c r="F42" s="786" t="s">
        <v>1315</v>
      </c>
      <c r="G42" s="785" t="s">
        <v>5</v>
      </c>
      <c r="H42" s="785" t="s">
        <v>615</v>
      </c>
      <c r="I42" s="787">
        <v>2330917.7009931747</v>
      </c>
      <c r="J42" s="787">
        <v>0</v>
      </c>
      <c r="K42" s="787">
        <v>81165.22</v>
      </c>
      <c r="L42" s="787"/>
      <c r="M42" s="787">
        <v>246945</v>
      </c>
      <c r="N42" s="787">
        <v>59658</v>
      </c>
      <c r="O42" s="787"/>
      <c r="P42" s="787"/>
      <c r="Q42" s="787">
        <v>0</v>
      </c>
      <c r="R42" s="787"/>
      <c r="S42" s="787"/>
      <c r="T42" s="787"/>
      <c r="U42" s="787"/>
      <c r="V42" s="787"/>
      <c r="W42" s="787"/>
      <c r="X42" s="787">
        <f t="shared" si="0"/>
        <v>2718685.9209931749</v>
      </c>
      <c r="Y42" s="787"/>
      <c r="Z42" s="787"/>
      <c r="AA42" s="787"/>
      <c r="AB42" s="787"/>
      <c r="AC42" s="787"/>
      <c r="AD42" s="787"/>
      <c r="AE42" s="787"/>
      <c r="AF42" s="787"/>
      <c r="AG42" s="787"/>
      <c r="AH42" s="787"/>
      <c r="AI42" s="787"/>
      <c r="AJ42" s="787"/>
      <c r="AK42" s="787"/>
      <c r="AL42" s="787"/>
      <c r="AM42" s="787"/>
      <c r="AN42" s="787"/>
      <c r="AO42" s="787">
        <v>5273.47</v>
      </c>
      <c r="AP42" s="787"/>
      <c r="AQ42" s="787"/>
      <c r="AR42" s="787"/>
      <c r="AS42" s="787"/>
      <c r="AT42" s="787"/>
      <c r="AU42" s="787"/>
      <c r="AV42" s="787"/>
      <c r="AW42" s="787"/>
      <c r="AX42" s="787"/>
      <c r="AY42" s="787"/>
      <c r="AZ42" s="787">
        <v>0</v>
      </c>
      <c r="BA42" s="787">
        <v>9471</v>
      </c>
      <c r="BB42" s="787"/>
      <c r="BC42" s="787"/>
      <c r="BD42" s="787"/>
      <c r="BE42" s="787">
        <v>9440.9599999999991</v>
      </c>
      <c r="BF42" s="787"/>
      <c r="BG42" s="787"/>
      <c r="BH42" s="787"/>
      <c r="BI42" s="787"/>
      <c r="BJ42" s="787">
        <f t="shared" si="1"/>
        <v>24185.43</v>
      </c>
      <c r="BK42" s="787"/>
      <c r="BL42" s="787"/>
      <c r="BM42" s="787"/>
      <c r="BN42" s="787">
        <v>0</v>
      </c>
      <c r="BO42" s="787"/>
      <c r="BP42" s="787"/>
      <c r="BQ42" s="787">
        <f t="shared" si="2"/>
        <v>0</v>
      </c>
      <c r="BR42" s="787"/>
      <c r="BS42" s="787"/>
      <c r="BT42" s="787"/>
      <c r="BU42" s="787"/>
      <c r="BV42" s="787"/>
      <c r="BW42" s="787"/>
      <c r="BX42" s="787"/>
      <c r="BY42" s="787"/>
      <c r="BZ42" s="787"/>
      <c r="CA42" s="787"/>
      <c r="CB42" s="787"/>
      <c r="CC42" s="787"/>
      <c r="CD42" s="787"/>
      <c r="CE42" s="787"/>
      <c r="CF42" s="787"/>
      <c r="CG42" s="787"/>
      <c r="CH42" s="787"/>
      <c r="CI42" s="787"/>
      <c r="CJ42" s="787"/>
      <c r="CK42" s="787"/>
      <c r="CL42" s="787"/>
      <c r="CM42" s="787"/>
      <c r="CN42" s="787"/>
      <c r="CO42" s="787"/>
      <c r="CP42" s="787"/>
      <c r="CQ42" s="787"/>
      <c r="CR42" s="787"/>
      <c r="CS42" s="787"/>
      <c r="CT42" s="787"/>
      <c r="CU42" s="787"/>
      <c r="CV42" s="787"/>
      <c r="CW42" s="787"/>
      <c r="CX42" s="787"/>
      <c r="CY42" s="787"/>
      <c r="CZ42" s="787"/>
      <c r="DA42" s="787"/>
      <c r="DB42" s="787"/>
      <c r="DC42" s="787"/>
      <c r="DD42" s="787"/>
      <c r="DE42" s="787"/>
      <c r="DF42" s="787"/>
      <c r="DG42" s="787"/>
      <c r="DH42" s="787"/>
      <c r="DI42" s="787"/>
      <c r="DJ42" s="787"/>
      <c r="DK42" s="787"/>
      <c r="DL42" s="787"/>
      <c r="DM42" s="787"/>
      <c r="DN42" s="787"/>
      <c r="DO42" s="787"/>
      <c r="DP42" s="787"/>
      <c r="DQ42" s="787"/>
      <c r="DR42" s="787"/>
      <c r="DS42" s="787"/>
      <c r="DT42" s="787"/>
      <c r="DU42" s="787"/>
      <c r="DV42" s="787"/>
      <c r="DW42" s="787"/>
      <c r="DX42" s="787"/>
      <c r="DY42" s="787"/>
      <c r="DZ42" s="787"/>
      <c r="EA42" s="787"/>
    </row>
    <row r="43" spans="1:131" ht="15.6">
      <c r="A43" s="782" t="s">
        <v>1335</v>
      </c>
      <c r="B43" s="782" t="s">
        <v>604</v>
      </c>
      <c r="C43" s="783">
        <v>1100</v>
      </c>
      <c r="D43" s="784" t="s">
        <v>605</v>
      </c>
      <c r="E43" s="785" t="s">
        <v>521</v>
      </c>
      <c r="F43" s="786">
        <v>0</v>
      </c>
      <c r="G43" s="785" t="s">
        <v>5</v>
      </c>
      <c r="H43" s="785" t="s">
        <v>617</v>
      </c>
      <c r="I43" s="787">
        <v>6618287.3700000001</v>
      </c>
      <c r="J43" s="787">
        <v>0</v>
      </c>
      <c r="K43" s="787">
        <v>7668427.9824222354</v>
      </c>
      <c r="L43" s="787"/>
      <c r="M43" s="787">
        <v>453700</v>
      </c>
      <c r="N43" s="787">
        <v>29546.58</v>
      </c>
      <c r="O43" s="787"/>
      <c r="P43" s="787"/>
      <c r="Q43" s="787">
        <v>60522.369134998742</v>
      </c>
      <c r="R43" s="787"/>
      <c r="S43" s="787"/>
      <c r="T43" s="787"/>
      <c r="U43" s="787"/>
      <c r="V43" s="787"/>
      <c r="W43" s="787"/>
      <c r="X43" s="787">
        <f t="shared" si="0"/>
        <v>14830484.301557234</v>
      </c>
      <c r="Y43" s="787"/>
      <c r="Z43" s="787"/>
      <c r="AA43" s="787"/>
      <c r="AB43" s="787"/>
      <c r="AC43" s="787"/>
      <c r="AD43" s="787"/>
      <c r="AE43" s="787"/>
      <c r="AF43" s="787"/>
      <c r="AG43" s="787"/>
      <c r="AH43" s="787"/>
      <c r="AI43" s="787"/>
      <c r="AJ43" s="787"/>
      <c r="AK43" s="787"/>
      <c r="AL43" s="787"/>
      <c r="AM43" s="787"/>
      <c r="AN43" s="787"/>
      <c r="AO43" s="787">
        <v>0</v>
      </c>
      <c r="AP43" s="787"/>
      <c r="AQ43" s="787"/>
      <c r="AR43" s="787"/>
      <c r="AS43" s="787"/>
      <c r="AT43" s="787"/>
      <c r="AU43" s="787"/>
      <c r="AV43" s="787"/>
      <c r="AW43" s="787"/>
      <c r="AX43" s="787"/>
      <c r="AY43" s="787"/>
      <c r="AZ43" s="787">
        <v>171.02</v>
      </c>
      <c r="BA43" s="787">
        <v>18745.650000000001</v>
      </c>
      <c r="BB43" s="787"/>
      <c r="BC43" s="787"/>
      <c r="BD43" s="787"/>
      <c r="BE43" s="787">
        <v>0</v>
      </c>
      <c r="BF43" s="787"/>
      <c r="BG43" s="787"/>
      <c r="BH43" s="787"/>
      <c r="BI43" s="787"/>
      <c r="BJ43" s="787">
        <f t="shared" si="1"/>
        <v>18916.670000000002</v>
      </c>
      <c r="BK43" s="787"/>
      <c r="BL43" s="787"/>
      <c r="BM43" s="787"/>
      <c r="BN43" s="787">
        <v>22832.5</v>
      </c>
      <c r="BO43" s="787"/>
      <c r="BP43" s="787"/>
      <c r="BQ43" s="787">
        <f t="shared" si="2"/>
        <v>22832.5</v>
      </c>
      <c r="BR43" s="787"/>
      <c r="BS43" s="787"/>
      <c r="BT43" s="787"/>
      <c r="BU43" s="787"/>
      <c r="BV43" s="787"/>
      <c r="BW43" s="787"/>
      <c r="BX43" s="787"/>
      <c r="BY43" s="787"/>
      <c r="BZ43" s="787"/>
      <c r="CA43" s="787"/>
      <c r="CB43" s="787"/>
      <c r="CC43" s="787"/>
      <c r="CD43" s="787"/>
      <c r="CE43" s="787"/>
      <c r="CF43" s="787"/>
      <c r="CG43" s="787"/>
      <c r="CH43" s="787"/>
      <c r="CI43" s="787"/>
      <c r="CJ43" s="787"/>
      <c r="CK43" s="787"/>
      <c r="CL43" s="787"/>
      <c r="CM43" s="787"/>
      <c r="CN43" s="787"/>
      <c r="CO43" s="787"/>
      <c r="CP43" s="787"/>
      <c r="CQ43" s="787"/>
      <c r="CR43" s="787"/>
      <c r="CS43" s="787"/>
      <c r="CT43" s="787"/>
      <c r="CU43" s="787"/>
      <c r="CV43" s="787"/>
      <c r="CW43" s="787"/>
      <c r="CX43" s="787"/>
      <c r="CY43" s="787"/>
      <c r="CZ43" s="787"/>
      <c r="DA43" s="787"/>
      <c r="DB43" s="787"/>
      <c r="DC43" s="787"/>
      <c r="DD43" s="787"/>
      <c r="DE43" s="787"/>
      <c r="DF43" s="787"/>
      <c r="DG43" s="787"/>
      <c r="DH43" s="787"/>
      <c r="DI43" s="787"/>
      <c r="DJ43" s="787"/>
      <c r="DK43" s="787"/>
      <c r="DL43" s="787"/>
      <c r="DM43" s="787"/>
      <c r="DN43" s="787"/>
      <c r="DO43" s="787"/>
      <c r="DP43" s="787"/>
      <c r="DQ43" s="787"/>
      <c r="DR43" s="787"/>
      <c r="DS43" s="787"/>
      <c r="DT43" s="787"/>
      <c r="DU43" s="787"/>
      <c r="DV43" s="787"/>
      <c r="DW43" s="787"/>
      <c r="DX43" s="787"/>
      <c r="DY43" s="787"/>
      <c r="DZ43" s="787"/>
      <c r="EA43" s="787"/>
    </row>
    <row r="44" spans="1:131" ht="15.6">
      <c r="A44" s="782" t="s">
        <v>1336</v>
      </c>
      <c r="B44" s="782" t="s">
        <v>607</v>
      </c>
      <c r="C44" s="783">
        <v>3432</v>
      </c>
      <c r="D44" s="784" t="s">
        <v>608</v>
      </c>
      <c r="E44" s="785" t="s">
        <v>521</v>
      </c>
      <c r="F44" s="786" t="s">
        <v>1305</v>
      </c>
      <c r="G44" s="785" t="s">
        <v>5</v>
      </c>
      <c r="H44" s="785" t="s">
        <v>619</v>
      </c>
      <c r="I44" s="787">
        <v>5982522.3815677557</v>
      </c>
      <c r="J44" s="787">
        <v>0</v>
      </c>
      <c r="K44" s="787">
        <v>372778.87666666665</v>
      </c>
      <c r="L44" s="787"/>
      <c r="M44" s="787">
        <v>674890</v>
      </c>
      <c r="N44" s="787">
        <v>100836.29</v>
      </c>
      <c r="O44" s="787"/>
      <c r="P44" s="787"/>
      <c r="Q44" s="787">
        <v>35741.657914999923</v>
      </c>
      <c r="R44" s="787"/>
      <c r="S44" s="787"/>
      <c r="T44" s="787"/>
      <c r="U44" s="787"/>
      <c r="V44" s="787"/>
      <c r="W44" s="787"/>
      <c r="X44" s="787">
        <f t="shared" si="0"/>
        <v>7166769.2061494226</v>
      </c>
      <c r="Y44" s="787"/>
      <c r="Z44" s="787"/>
      <c r="AA44" s="787"/>
      <c r="AB44" s="787"/>
      <c r="AC44" s="787"/>
      <c r="AD44" s="787"/>
      <c r="AE44" s="787"/>
      <c r="AF44" s="787"/>
      <c r="AG44" s="787"/>
      <c r="AH44" s="787"/>
      <c r="AI44" s="787"/>
      <c r="AJ44" s="787"/>
      <c r="AK44" s="787"/>
      <c r="AL44" s="787"/>
      <c r="AM44" s="787"/>
      <c r="AN44" s="787"/>
      <c r="AO44" s="787">
        <v>32329.800000000007</v>
      </c>
      <c r="AP44" s="787"/>
      <c r="AQ44" s="787"/>
      <c r="AR44" s="787"/>
      <c r="AS44" s="787"/>
      <c r="AT44" s="787"/>
      <c r="AU44" s="787"/>
      <c r="AV44" s="787"/>
      <c r="AW44" s="787"/>
      <c r="AX44" s="787"/>
      <c r="AY44" s="787"/>
      <c r="AZ44" s="787">
        <v>174.08</v>
      </c>
      <c r="BA44" s="787">
        <v>22801.5</v>
      </c>
      <c r="BB44" s="787"/>
      <c r="BC44" s="787"/>
      <c r="BD44" s="787"/>
      <c r="BE44" s="787">
        <v>21150.880000000001</v>
      </c>
      <c r="BF44" s="787"/>
      <c r="BG44" s="787"/>
      <c r="BH44" s="787"/>
      <c r="BI44" s="787"/>
      <c r="BJ44" s="787">
        <f t="shared" si="1"/>
        <v>76456.260000000009</v>
      </c>
      <c r="BK44" s="787"/>
      <c r="BL44" s="787"/>
      <c r="BM44" s="787"/>
      <c r="BN44" s="787">
        <v>13688.5</v>
      </c>
      <c r="BO44" s="787"/>
      <c r="BP44" s="787"/>
      <c r="BQ44" s="787">
        <f t="shared" si="2"/>
        <v>13688.5</v>
      </c>
      <c r="BR44" s="787"/>
      <c r="BS44" s="787"/>
      <c r="BT44" s="787"/>
      <c r="BU44" s="787"/>
      <c r="BV44" s="787"/>
      <c r="BW44" s="787"/>
      <c r="BX44" s="787"/>
      <c r="BY44" s="787"/>
      <c r="BZ44" s="787"/>
      <c r="CA44" s="787"/>
      <c r="CB44" s="787"/>
      <c r="CC44" s="787"/>
      <c r="CD44" s="787"/>
      <c r="CE44" s="787"/>
      <c r="CF44" s="787"/>
      <c r="CG44" s="787"/>
      <c r="CH44" s="787"/>
      <c r="CI44" s="787"/>
      <c r="CJ44" s="787"/>
      <c r="CK44" s="787"/>
      <c r="CL44" s="787"/>
      <c r="CM44" s="787"/>
      <c r="CN44" s="787"/>
      <c r="CO44" s="787"/>
      <c r="CP44" s="787"/>
      <c r="CQ44" s="787"/>
      <c r="CR44" s="787"/>
      <c r="CS44" s="787"/>
      <c r="CT44" s="787"/>
      <c r="CU44" s="787"/>
      <c r="CV44" s="787"/>
      <c r="CW44" s="787"/>
      <c r="CX44" s="787"/>
      <c r="CY44" s="787"/>
      <c r="CZ44" s="787"/>
      <c r="DA44" s="787"/>
      <c r="DB44" s="787"/>
      <c r="DC44" s="787"/>
      <c r="DD44" s="787"/>
      <c r="DE44" s="787"/>
      <c r="DF44" s="787"/>
      <c r="DG44" s="787"/>
      <c r="DH44" s="787"/>
      <c r="DI44" s="787"/>
      <c r="DJ44" s="787"/>
      <c r="DK44" s="787"/>
      <c r="DL44" s="787"/>
      <c r="DM44" s="787"/>
      <c r="DN44" s="787"/>
      <c r="DO44" s="787"/>
      <c r="DP44" s="787"/>
      <c r="DQ44" s="787"/>
      <c r="DR44" s="787"/>
      <c r="DS44" s="787"/>
      <c r="DT44" s="787"/>
      <c r="DU44" s="787"/>
      <c r="DV44" s="787"/>
      <c r="DW44" s="787"/>
      <c r="DX44" s="787"/>
      <c r="DY44" s="787"/>
      <c r="DZ44" s="787"/>
      <c r="EA44" s="787"/>
    </row>
    <row r="45" spans="1:131" ht="15.6">
      <c r="A45" s="782" t="s">
        <v>1337</v>
      </c>
      <c r="B45" s="782" t="s">
        <v>609</v>
      </c>
      <c r="C45" s="783">
        <v>2289</v>
      </c>
      <c r="D45" s="784" t="s">
        <v>610</v>
      </c>
      <c r="E45" s="785" t="s">
        <v>521</v>
      </c>
      <c r="F45" s="786">
        <v>46094</v>
      </c>
      <c r="G45" s="785" t="s">
        <v>5</v>
      </c>
      <c r="H45" s="785" t="s">
        <v>621</v>
      </c>
      <c r="I45" s="787">
        <v>2319167.4628596106</v>
      </c>
      <c r="J45" s="787">
        <v>0</v>
      </c>
      <c r="K45" s="787">
        <v>131572.33333333331</v>
      </c>
      <c r="L45" s="787"/>
      <c r="M45" s="787">
        <v>200695</v>
      </c>
      <c r="N45" s="787">
        <v>78717</v>
      </c>
      <c r="O45" s="787"/>
      <c r="P45" s="787"/>
      <c r="Q45" s="787">
        <v>5870.2214049999729</v>
      </c>
      <c r="R45" s="787"/>
      <c r="S45" s="787"/>
      <c r="T45" s="787"/>
      <c r="U45" s="787"/>
      <c r="V45" s="787"/>
      <c r="W45" s="787"/>
      <c r="X45" s="787">
        <f t="shared" si="0"/>
        <v>2736022.017597944</v>
      </c>
      <c r="Y45" s="787"/>
      <c r="Z45" s="787"/>
      <c r="AA45" s="787"/>
      <c r="AB45" s="787"/>
      <c r="AC45" s="787"/>
      <c r="AD45" s="787"/>
      <c r="AE45" s="787"/>
      <c r="AF45" s="787"/>
      <c r="AG45" s="787"/>
      <c r="AH45" s="787"/>
      <c r="AI45" s="787"/>
      <c r="AJ45" s="787"/>
      <c r="AK45" s="787"/>
      <c r="AL45" s="787"/>
      <c r="AM45" s="787"/>
      <c r="AN45" s="787"/>
      <c r="AO45" s="787">
        <v>18982.84</v>
      </c>
      <c r="AP45" s="787"/>
      <c r="AQ45" s="787"/>
      <c r="AR45" s="787"/>
      <c r="AS45" s="787"/>
      <c r="AT45" s="787"/>
      <c r="AU45" s="787"/>
      <c r="AV45" s="787"/>
      <c r="AW45" s="787"/>
      <c r="AX45" s="787"/>
      <c r="AY45" s="787"/>
      <c r="AZ45" s="787">
        <v>63.55</v>
      </c>
      <c r="BA45" s="787">
        <v>9471</v>
      </c>
      <c r="BB45" s="787"/>
      <c r="BC45" s="787"/>
      <c r="BD45" s="787"/>
      <c r="BE45" s="787">
        <v>10771.039999999995</v>
      </c>
      <c r="BF45" s="787"/>
      <c r="BG45" s="787"/>
      <c r="BH45" s="787"/>
      <c r="BI45" s="787"/>
      <c r="BJ45" s="787">
        <f t="shared" si="1"/>
        <v>39288.429999999993</v>
      </c>
      <c r="BK45" s="787"/>
      <c r="BL45" s="787"/>
      <c r="BM45" s="787"/>
      <c r="BN45" s="787">
        <v>8623.75</v>
      </c>
      <c r="BO45" s="787"/>
      <c r="BP45" s="787"/>
      <c r="BQ45" s="787">
        <f t="shared" si="2"/>
        <v>8623.75</v>
      </c>
      <c r="BR45" s="787"/>
      <c r="BS45" s="787"/>
      <c r="BT45" s="787"/>
      <c r="BU45" s="787"/>
      <c r="BV45" s="787"/>
      <c r="BW45" s="787"/>
      <c r="BX45" s="787"/>
      <c r="BY45" s="787"/>
      <c r="BZ45" s="787"/>
      <c r="CA45" s="787"/>
      <c r="CB45" s="787"/>
      <c r="CC45" s="787"/>
      <c r="CD45" s="787"/>
      <c r="CE45" s="787"/>
      <c r="CF45" s="787"/>
      <c r="CG45" s="787"/>
      <c r="CH45" s="787"/>
      <c r="CI45" s="787"/>
      <c r="CJ45" s="787"/>
      <c r="CK45" s="787"/>
      <c r="CL45" s="787"/>
      <c r="CM45" s="787"/>
      <c r="CN45" s="787"/>
      <c r="CO45" s="787"/>
      <c r="CP45" s="787"/>
      <c r="CQ45" s="787"/>
      <c r="CR45" s="787"/>
      <c r="CS45" s="787"/>
      <c r="CT45" s="787"/>
      <c r="CU45" s="787"/>
      <c r="CV45" s="787"/>
      <c r="CW45" s="787"/>
      <c r="CX45" s="787"/>
      <c r="CY45" s="787"/>
      <c r="CZ45" s="787"/>
      <c r="DA45" s="787"/>
      <c r="DB45" s="787"/>
      <c r="DC45" s="787"/>
      <c r="DD45" s="787"/>
      <c r="DE45" s="787"/>
      <c r="DF45" s="787"/>
      <c r="DG45" s="787"/>
      <c r="DH45" s="787"/>
      <c r="DI45" s="787"/>
      <c r="DJ45" s="787"/>
      <c r="DK45" s="787"/>
      <c r="DL45" s="787"/>
      <c r="DM45" s="787"/>
      <c r="DN45" s="787"/>
      <c r="DO45" s="787"/>
      <c r="DP45" s="787"/>
      <c r="DQ45" s="787"/>
      <c r="DR45" s="787"/>
      <c r="DS45" s="787"/>
      <c r="DT45" s="787"/>
      <c r="DU45" s="787"/>
      <c r="DV45" s="787"/>
      <c r="DW45" s="787"/>
      <c r="DX45" s="787"/>
      <c r="DY45" s="787"/>
      <c r="DZ45" s="787"/>
      <c r="EA45" s="787"/>
    </row>
    <row r="46" spans="1:131" ht="15.6">
      <c r="A46" s="782" t="s">
        <v>1338</v>
      </c>
      <c r="B46" s="782" t="s">
        <v>611</v>
      </c>
      <c r="C46" s="783">
        <v>2185</v>
      </c>
      <c r="D46" s="784" t="s">
        <v>612</v>
      </c>
      <c r="E46" s="785" t="s">
        <v>521</v>
      </c>
      <c r="F46" s="786">
        <v>46094</v>
      </c>
      <c r="G46" s="785" t="s">
        <v>5</v>
      </c>
      <c r="H46" s="785" t="s">
        <v>623</v>
      </c>
      <c r="I46" s="787">
        <v>2563939.8579408773</v>
      </c>
      <c r="J46" s="787">
        <v>0</v>
      </c>
      <c r="K46" s="787">
        <v>149680.42333333331</v>
      </c>
      <c r="L46" s="787"/>
      <c r="M46" s="787">
        <v>227565</v>
      </c>
      <c r="N46" s="787">
        <v>85397</v>
      </c>
      <c r="O46" s="787"/>
      <c r="P46" s="787"/>
      <c r="Q46" s="787">
        <v>11531.132719999967</v>
      </c>
      <c r="R46" s="787"/>
      <c r="S46" s="787"/>
      <c r="T46" s="787"/>
      <c r="U46" s="787"/>
      <c r="V46" s="787"/>
      <c r="W46" s="787"/>
      <c r="X46" s="787">
        <f t="shared" si="0"/>
        <v>3038113.4139942108</v>
      </c>
      <c r="Y46" s="787"/>
      <c r="Z46" s="787"/>
      <c r="AA46" s="787"/>
      <c r="AB46" s="787"/>
      <c r="AC46" s="787"/>
      <c r="AD46" s="787"/>
      <c r="AE46" s="787"/>
      <c r="AF46" s="787"/>
      <c r="AG46" s="787"/>
      <c r="AH46" s="787"/>
      <c r="AI46" s="787"/>
      <c r="AJ46" s="787"/>
      <c r="AK46" s="787"/>
      <c r="AL46" s="787"/>
      <c r="AM46" s="787"/>
      <c r="AN46" s="787"/>
      <c r="AO46" s="787">
        <v>23760.830000000005</v>
      </c>
      <c r="AP46" s="787"/>
      <c r="AQ46" s="787"/>
      <c r="AR46" s="787"/>
      <c r="AS46" s="787"/>
      <c r="AT46" s="787"/>
      <c r="AU46" s="787"/>
      <c r="AV46" s="787"/>
      <c r="AW46" s="787"/>
      <c r="AX46" s="787"/>
      <c r="AY46" s="787"/>
      <c r="AZ46" s="787">
        <v>131.78</v>
      </c>
      <c r="BA46" s="787">
        <v>9471</v>
      </c>
      <c r="BB46" s="787"/>
      <c r="BC46" s="787"/>
      <c r="BD46" s="787"/>
      <c r="BE46" s="787">
        <v>11005.760000000002</v>
      </c>
      <c r="BF46" s="787"/>
      <c r="BG46" s="787"/>
      <c r="BH46" s="787"/>
      <c r="BI46" s="787"/>
      <c r="BJ46" s="787">
        <f t="shared" si="1"/>
        <v>44369.37</v>
      </c>
      <c r="BK46" s="787"/>
      <c r="BL46" s="787"/>
      <c r="BM46" s="787"/>
      <c r="BN46" s="787">
        <v>9051.25</v>
      </c>
      <c r="BO46" s="787"/>
      <c r="BP46" s="787"/>
      <c r="BQ46" s="787">
        <f t="shared" si="2"/>
        <v>9051.25</v>
      </c>
      <c r="BR46" s="787"/>
      <c r="BS46" s="787"/>
      <c r="BT46" s="787"/>
      <c r="BU46" s="787"/>
      <c r="BV46" s="787"/>
      <c r="BW46" s="787"/>
      <c r="BX46" s="787"/>
      <c r="BY46" s="787"/>
      <c r="BZ46" s="787"/>
      <c r="CA46" s="787"/>
      <c r="CB46" s="787"/>
      <c r="CC46" s="787"/>
      <c r="CD46" s="787"/>
      <c r="CE46" s="787"/>
      <c r="CF46" s="787"/>
      <c r="CG46" s="787"/>
      <c r="CH46" s="787"/>
      <c r="CI46" s="787"/>
      <c r="CJ46" s="787"/>
      <c r="CK46" s="787"/>
      <c r="CL46" s="787"/>
      <c r="CM46" s="787"/>
      <c r="CN46" s="787"/>
      <c r="CO46" s="787"/>
      <c r="CP46" s="787"/>
      <c r="CQ46" s="787"/>
      <c r="CR46" s="787"/>
      <c r="CS46" s="787"/>
      <c r="CT46" s="787"/>
      <c r="CU46" s="787"/>
      <c r="CV46" s="787"/>
      <c r="CW46" s="787"/>
      <c r="CX46" s="787"/>
      <c r="CY46" s="787"/>
      <c r="CZ46" s="787"/>
      <c r="DA46" s="787"/>
      <c r="DB46" s="787"/>
      <c r="DC46" s="787"/>
      <c r="DD46" s="787"/>
      <c r="DE46" s="787"/>
      <c r="DF46" s="787"/>
      <c r="DG46" s="787"/>
      <c r="DH46" s="787"/>
      <c r="DI46" s="787"/>
      <c r="DJ46" s="787"/>
      <c r="DK46" s="787"/>
      <c r="DL46" s="787"/>
      <c r="DM46" s="787"/>
      <c r="DN46" s="787"/>
      <c r="DO46" s="787"/>
      <c r="DP46" s="787"/>
      <c r="DQ46" s="787"/>
      <c r="DR46" s="787"/>
      <c r="DS46" s="787"/>
      <c r="DT46" s="787"/>
      <c r="DU46" s="787"/>
      <c r="DV46" s="787"/>
      <c r="DW46" s="787"/>
      <c r="DX46" s="787"/>
      <c r="DY46" s="787"/>
      <c r="DZ46" s="787"/>
      <c r="EA46" s="787"/>
    </row>
    <row r="47" spans="1:131" ht="15.6">
      <c r="A47" s="782" t="s">
        <v>1339</v>
      </c>
      <c r="B47" s="782" t="s">
        <v>613</v>
      </c>
      <c r="C47" s="783">
        <v>5416</v>
      </c>
      <c r="D47" s="784" t="s">
        <v>614</v>
      </c>
      <c r="E47" s="785" t="s">
        <v>521</v>
      </c>
      <c r="F47" s="786">
        <v>46094</v>
      </c>
      <c r="G47" s="785" t="s">
        <v>5</v>
      </c>
      <c r="H47" s="785" t="s">
        <v>625</v>
      </c>
      <c r="I47" s="787">
        <v>9432087.032450242</v>
      </c>
      <c r="J47" s="787">
        <v>363756.67333333334</v>
      </c>
      <c r="K47" s="787">
        <v>110619.99</v>
      </c>
      <c r="L47" s="787"/>
      <c r="M47" s="787">
        <v>672450</v>
      </c>
      <c r="N47" s="787">
        <v>15547.16</v>
      </c>
      <c r="O47" s="787"/>
      <c r="P47" s="787"/>
      <c r="Q47" s="787">
        <v>0</v>
      </c>
      <c r="R47" s="787"/>
      <c r="S47" s="787"/>
      <c r="T47" s="787"/>
      <c r="U47" s="787"/>
      <c r="V47" s="787"/>
      <c r="W47" s="787"/>
      <c r="X47" s="787">
        <f t="shared" si="0"/>
        <v>10594460.855783576</v>
      </c>
      <c r="Y47" s="787"/>
      <c r="Z47" s="787"/>
      <c r="AA47" s="787"/>
      <c r="AB47" s="787"/>
      <c r="AC47" s="787"/>
      <c r="AD47" s="787"/>
      <c r="AE47" s="787"/>
      <c r="AF47" s="787"/>
      <c r="AG47" s="787"/>
      <c r="AH47" s="787"/>
      <c r="AI47" s="787"/>
      <c r="AJ47" s="787"/>
      <c r="AK47" s="787"/>
      <c r="AL47" s="787"/>
      <c r="AM47" s="787"/>
      <c r="AN47" s="787"/>
      <c r="AO47" s="787">
        <v>8691.9399999999987</v>
      </c>
      <c r="AP47" s="787"/>
      <c r="AQ47" s="787"/>
      <c r="AR47" s="787"/>
      <c r="AS47" s="787"/>
      <c r="AT47" s="787"/>
      <c r="AU47" s="787"/>
      <c r="AV47" s="787"/>
      <c r="AW47" s="787"/>
      <c r="AX47" s="787"/>
      <c r="AY47" s="787"/>
      <c r="AZ47" s="787">
        <v>0</v>
      </c>
      <c r="BA47" s="787">
        <v>32697</v>
      </c>
      <c r="BB47" s="787"/>
      <c r="BC47" s="787"/>
      <c r="BD47" s="787"/>
      <c r="BE47" s="787">
        <v>23209.890000000003</v>
      </c>
      <c r="BF47" s="787"/>
      <c r="BG47" s="787"/>
      <c r="BH47" s="787"/>
      <c r="BI47" s="787"/>
      <c r="BJ47" s="787">
        <f t="shared" si="1"/>
        <v>64598.83</v>
      </c>
      <c r="BK47" s="787"/>
      <c r="BL47" s="787"/>
      <c r="BM47" s="787"/>
      <c r="BN47" s="787">
        <v>25150</v>
      </c>
      <c r="BO47" s="787"/>
      <c r="BP47" s="787"/>
      <c r="BQ47" s="787">
        <f t="shared" si="2"/>
        <v>25150</v>
      </c>
      <c r="BR47" s="787"/>
      <c r="BS47" s="787"/>
      <c r="BT47" s="787"/>
      <c r="BU47" s="787"/>
      <c r="BV47" s="787"/>
      <c r="BW47" s="787"/>
      <c r="BX47" s="787"/>
      <c r="BY47" s="787"/>
      <c r="BZ47" s="787"/>
      <c r="CA47" s="787"/>
      <c r="CB47" s="787"/>
      <c r="CC47" s="787"/>
      <c r="CD47" s="787"/>
      <c r="CE47" s="787"/>
      <c r="CF47" s="787"/>
      <c r="CG47" s="787"/>
      <c r="CH47" s="787"/>
      <c r="CI47" s="787"/>
      <c r="CJ47" s="787"/>
      <c r="CK47" s="787"/>
      <c r="CL47" s="787"/>
      <c r="CM47" s="787"/>
      <c r="CN47" s="787"/>
      <c r="CO47" s="787"/>
      <c r="CP47" s="787"/>
      <c r="CQ47" s="787"/>
      <c r="CR47" s="787"/>
      <c r="CS47" s="787"/>
      <c r="CT47" s="787"/>
      <c r="CU47" s="787"/>
      <c r="CV47" s="787"/>
      <c r="CW47" s="787"/>
      <c r="CX47" s="787"/>
      <c r="CY47" s="787"/>
      <c r="CZ47" s="787"/>
      <c r="DA47" s="787"/>
      <c r="DB47" s="787"/>
      <c r="DC47" s="787"/>
      <c r="DD47" s="787"/>
      <c r="DE47" s="787"/>
      <c r="DF47" s="787"/>
      <c r="DG47" s="787"/>
      <c r="DH47" s="787"/>
      <c r="DI47" s="787"/>
      <c r="DJ47" s="787"/>
      <c r="DK47" s="787"/>
      <c r="DL47" s="787"/>
      <c r="DM47" s="787"/>
      <c r="DN47" s="787"/>
      <c r="DO47" s="787"/>
      <c r="DP47" s="787"/>
      <c r="DQ47" s="787"/>
      <c r="DR47" s="787"/>
      <c r="DS47" s="787"/>
      <c r="DT47" s="787"/>
      <c r="DU47" s="787"/>
      <c r="DV47" s="787"/>
      <c r="DW47" s="787"/>
      <c r="DX47" s="787"/>
      <c r="DY47" s="787"/>
      <c r="DZ47" s="787"/>
      <c r="EA47" s="787"/>
    </row>
    <row r="48" spans="1:131" ht="15.6">
      <c r="A48" s="782" t="s">
        <v>1340</v>
      </c>
      <c r="B48" s="782" t="s">
        <v>615</v>
      </c>
      <c r="C48" s="783">
        <v>2054</v>
      </c>
      <c r="D48" s="784" t="s">
        <v>616</v>
      </c>
      <c r="E48" s="785" t="s">
        <v>521</v>
      </c>
      <c r="F48" s="786">
        <v>46098</v>
      </c>
      <c r="G48" s="785" t="s">
        <v>5</v>
      </c>
      <c r="H48" s="785" t="s">
        <v>627</v>
      </c>
      <c r="I48" s="787">
        <v>2105045.2624652507</v>
      </c>
      <c r="J48" s="787">
        <v>0</v>
      </c>
      <c r="K48" s="787">
        <v>257237.40879963065</v>
      </c>
      <c r="L48" s="787"/>
      <c r="M48" s="787">
        <v>118400</v>
      </c>
      <c r="N48" s="787">
        <v>144010</v>
      </c>
      <c r="O48" s="787"/>
      <c r="P48" s="787"/>
      <c r="Q48" s="787">
        <v>0</v>
      </c>
      <c r="R48" s="787"/>
      <c r="S48" s="787"/>
      <c r="T48" s="787"/>
      <c r="U48" s="787"/>
      <c r="V48" s="787"/>
      <c r="W48" s="787"/>
      <c r="X48" s="787">
        <f t="shared" si="0"/>
        <v>2624692.6712648813</v>
      </c>
      <c r="Y48" s="787"/>
      <c r="Z48" s="787"/>
      <c r="AA48" s="787"/>
      <c r="AB48" s="787"/>
      <c r="AC48" s="787"/>
      <c r="AD48" s="787"/>
      <c r="AE48" s="787"/>
      <c r="AF48" s="787"/>
      <c r="AG48" s="787"/>
      <c r="AH48" s="787"/>
      <c r="AI48" s="787"/>
      <c r="AJ48" s="787"/>
      <c r="AK48" s="787"/>
      <c r="AL48" s="787"/>
      <c r="AM48" s="787"/>
      <c r="AN48" s="787"/>
      <c r="AO48" s="787">
        <v>14233.07</v>
      </c>
      <c r="AP48" s="787"/>
      <c r="AQ48" s="787"/>
      <c r="AR48" s="787"/>
      <c r="AS48" s="787"/>
      <c r="AT48" s="787"/>
      <c r="AU48" s="787"/>
      <c r="AV48" s="787"/>
      <c r="AW48" s="787"/>
      <c r="AX48" s="787"/>
      <c r="AY48" s="787"/>
      <c r="AZ48" s="787">
        <v>0</v>
      </c>
      <c r="BA48" s="787">
        <v>9471</v>
      </c>
      <c r="BB48" s="787"/>
      <c r="BC48" s="787"/>
      <c r="BD48" s="787"/>
      <c r="BE48" s="787">
        <v>9388.7999999999975</v>
      </c>
      <c r="BF48" s="787"/>
      <c r="BG48" s="787"/>
      <c r="BH48" s="787"/>
      <c r="BI48" s="787"/>
      <c r="BJ48" s="787">
        <f t="shared" si="1"/>
        <v>33092.869999999995</v>
      </c>
      <c r="BK48" s="787"/>
      <c r="BL48" s="787"/>
      <c r="BM48" s="787"/>
      <c r="BN48" s="787">
        <v>8369.5</v>
      </c>
      <c r="BO48" s="787"/>
      <c r="BP48" s="787"/>
      <c r="BQ48" s="787">
        <f t="shared" si="2"/>
        <v>8369.5</v>
      </c>
      <c r="BR48" s="787"/>
      <c r="BS48" s="787"/>
      <c r="BT48" s="787"/>
      <c r="BU48" s="787"/>
      <c r="BV48" s="787"/>
      <c r="BW48" s="787"/>
      <c r="BX48" s="787"/>
      <c r="BY48" s="787"/>
      <c r="BZ48" s="787"/>
      <c r="CA48" s="787"/>
      <c r="CB48" s="787"/>
      <c r="CC48" s="787"/>
      <c r="CD48" s="787"/>
      <c r="CE48" s="787"/>
      <c r="CF48" s="787"/>
      <c r="CG48" s="787"/>
      <c r="CH48" s="787"/>
      <c r="CI48" s="787"/>
      <c r="CJ48" s="787"/>
      <c r="CK48" s="787"/>
      <c r="CL48" s="787"/>
      <c r="CM48" s="787"/>
      <c r="CN48" s="787"/>
      <c r="CO48" s="787"/>
      <c r="CP48" s="787"/>
      <c r="CQ48" s="787"/>
      <c r="CR48" s="787"/>
      <c r="CS48" s="787"/>
      <c r="CT48" s="787"/>
      <c r="CU48" s="787"/>
      <c r="CV48" s="787"/>
      <c r="CW48" s="787"/>
      <c r="CX48" s="787"/>
      <c r="CY48" s="787"/>
      <c r="CZ48" s="787"/>
      <c r="DA48" s="787"/>
      <c r="DB48" s="787"/>
      <c r="DC48" s="787"/>
      <c r="DD48" s="787"/>
      <c r="DE48" s="787"/>
      <c r="DF48" s="787"/>
      <c r="DG48" s="787"/>
      <c r="DH48" s="787"/>
      <c r="DI48" s="787"/>
      <c r="DJ48" s="787"/>
      <c r="DK48" s="787"/>
      <c r="DL48" s="787"/>
      <c r="DM48" s="787"/>
      <c r="DN48" s="787"/>
      <c r="DO48" s="787"/>
      <c r="DP48" s="787"/>
      <c r="DQ48" s="787"/>
      <c r="DR48" s="787"/>
      <c r="DS48" s="787"/>
      <c r="DT48" s="787"/>
      <c r="DU48" s="787"/>
      <c r="DV48" s="787"/>
      <c r="DW48" s="787"/>
      <c r="DX48" s="787"/>
      <c r="DY48" s="787"/>
      <c r="DZ48" s="787"/>
      <c r="EA48" s="787"/>
    </row>
    <row r="49" spans="1:131" ht="15.6">
      <c r="A49" s="782" t="s">
        <v>1341</v>
      </c>
      <c r="B49" s="782" t="s">
        <v>617</v>
      </c>
      <c r="C49" s="783">
        <v>2053</v>
      </c>
      <c r="D49" s="784" t="s">
        <v>618</v>
      </c>
      <c r="E49" s="785" t="s">
        <v>521</v>
      </c>
      <c r="F49" s="786">
        <v>46097</v>
      </c>
      <c r="G49" s="785" t="s">
        <v>5</v>
      </c>
      <c r="H49" s="785" t="s">
        <v>629</v>
      </c>
      <c r="I49" s="787">
        <v>2533490.841079962</v>
      </c>
      <c r="J49" s="787">
        <v>0</v>
      </c>
      <c r="K49" s="787">
        <v>185175.33666666667</v>
      </c>
      <c r="L49" s="787"/>
      <c r="M49" s="787">
        <v>222800</v>
      </c>
      <c r="N49" s="787">
        <v>21449</v>
      </c>
      <c r="O49" s="787"/>
      <c r="P49" s="787"/>
      <c r="Q49" s="787">
        <v>0</v>
      </c>
      <c r="R49" s="787"/>
      <c r="S49" s="787"/>
      <c r="T49" s="787"/>
      <c r="U49" s="787"/>
      <c r="V49" s="787"/>
      <c r="W49" s="787"/>
      <c r="X49" s="787">
        <f t="shared" si="0"/>
        <v>2962915.1777466284</v>
      </c>
      <c r="Y49" s="787"/>
      <c r="Z49" s="787"/>
      <c r="AA49" s="787"/>
      <c r="AB49" s="787"/>
      <c r="AC49" s="787"/>
      <c r="AD49" s="787"/>
      <c r="AE49" s="787"/>
      <c r="AF49" s="787"/>
      <c r="AG49" s="787"/>
      <c r="AH49" s="787"/>
      <c r="AI49" s="787"/>
      <c r="AJ49" s="787"/>
      <c r="AK49" s="787"/>
      <c r="AL49" s="787"/>
      <c r="AM49" s="787"/>
      <c r="AN49" s="787"/>
      <c r="AO49" s="787">
        <v>20481.73</v>
      </c>
      <c r="AP49" s="787"/>
      <c r="AQ49" s="787"/>
      <c r="AR49" s="787"/>
      <c r="AS49" s="787"/>
      <c r="AT49" s="787"/>
      <c r="AU49" s="787"/>
      <c r="AV49" s="787"/>
      <c r="AW49" s="787"/>
      <c r="AX49" s="787"/>
      <c r="AY49" s="787"/>
      <c r="AZ49" s="787">
        <v>0</v>
      </c>
      <c r="BA49" s="787">
        <v>12566.4</v>
      </c>
      <c r="BB49" s="787"/>
      <c r="BC49" s="787"/>
      <c r="BD49" s="787"/>
      <c r="BE49" s="787">
        <v>12518.400000000003</v>
      </c>
      <c r="BF49" s="787"/>
      <c r="BG49" s="787"/>
      <c r="BH49" s="787"/>
      <c r="BI49" s="787"/>
      <c r="BJ49" s="787">
        <f t="shared" si="1"/>
        <v>45566.53</v>
      </c>
      <c r="BK49" s="787"/>
      <c r="BL49" s="787"/>
      <c r="BM49" s="787"/>
      <c r="BN49" s="787">
        <v>9366.25</v>
      </c>
      <c r="BO49" s="787"/>
      <c r="BP49" s="787"/>
      <c r="BQ49" s="787">
        <f t="shared" si="2"/>
        <v>9366.25</v>
      </c>
      <c r="BR49" s="787"/>
      <c r="BS49" s="787"/>
      <c r="BT49" s="787"/>
      <c r="BU49" s="787"/>
      <c r="BV49" s="787"/>
      <c r="BW49" s="787"/>
      <c r="BX49" s="787"/>
      <c r="BY49" s="787"/>
      <c r="BZ49" s="787"/>
      <c r="CA49" s="787"/>
      <c r="CB49" s="787"/>
      <c r="CC49" s="787"/>
      <c r="CD49" s="787"/>
      <c r="CE49" s="787"/>
      <c r="CF49" s="787"/>
      <c r="CG49" s="787"/>
      <c r="CH49" s="787"/>
      <c r="CI49" s="787"/>
      <c r="CJ49" s="787"/>
      <c r="CK49" s="787"/>
      <c r="CL49" s="787"/>
      <c r="CM49" s="787"/>
      <c r="CN49" s="787"/>
      <c r="CO49" s="787"/>
      <c r="CP49" s="787"/>
      <c r="CQ49" s="787"/>
      <c r="CR49" s="787"/>
      <c r="CS49" s="787"/>
      <c r="CT49" s="787"/>
      <c r="CU49" s="787"/>
      <c r="CV49" s="787"/>
      <c r="CW49" s="787"/>
      <c r="CX49" s="787"/>
      <c r="CY49" s="787"/>
      <c r="CZ49" s="787"/>
      <c r="DA49" s="787"/>
      <c r="DB49" s="787"/>
      <c r="DC49" s="787"/>
      <c r="DD49" s="787"/>
      <c r="DE49" s="787"/>
      <c r="DF49" s="787"/>
      <c r="DG49" s="787"/>
      <c r="DH49" s="787"/>
      <c r="DI49" s="787"/>
      <c r="DJ49" s="787"/>
      <c r="DK49" s="787"/>
      <c r="DL49" s="787"/>
      <c r="DM49" s="787"/>
      <c r="DN49" s="787"/>
      <c r="DO49" s="787"/>
      <c r="DP49" s="787"/>
      <c r="DQ49" s="787"/>
      <c r="DR49" s="787"/>
      <c r="DS49" s="787"/>
      <c r="DT49" s="787"/>
      <c r="DU49" s="787"/>
      <c r="DV49" s="787"/>
      <c r="DW49" s="787"/>
      <c r="DX49" s="787"/>
      <c r="DY49" s="787"/>
      <c r="DZ49" s="787"/>
      <c r="EA49" s="787"/>
    </row>
    <row r="50" spans="1:131" ht="15.6">
      <c r="A50" s="782" t="s">
        <v>1342</v>
      </c>
      <c r="B50" s="782" t="s">
        <v>864</v>
      </c>
      <c r="C50" s="783">
        <v>2464</v>
      </c>
      <c r="D50" s="784" t="s">
        <v>865</v>
      </c>
      <c r="E50" s="785" t="s">
        <v>521</v>
      </c>
      <c r="F50" s="786">
        <v>46094</v>
      </c>
      <c r="G50" s="785" t="s">
        <v>5</v>
      </c>
      <c r="H50" s="785" t="s">
        <v>896</v>
      </c>
      <c r="I50" s="787">
        <v>2123676.8099999996</v>
      </c>
      <c r="J50" s="787">
        <v>0</v>
      </c>
      <c r="K50" s="787">
        <v>85254.536666666667</v>
      </c>
      <c r="L50" s="787"/>
      <c r="M50" s="787">
        <v>55255</v>
      </c>
      <c r="N50" s="787">
        <v>87185</v>
      </c>
      <c r="O50" s="787"/>
      <c r="P50" s="787"/>
      <c r="Q50" s="787">
        <v>5194.43</v>
      </c>
      <c r="R50" s="787"/>
      <c r="S50" s="787"/>
      <c r="T50" s="787"/>
      <c r="U50" s="787"/>
      <c r="V50" s="787"/>
      <c r="W50" s="787"/>
      <c r="X50" s="787">
        <f t="shared" si="0"/>
        <v>2356565.7766666664</v>
      </c>
      <c r="Y50" s="787"/>
      <c r="Z50" s="787"/>
      <c r="AA50" s="787"/>
      <c r="AB50" s="787"/>
      <c r="AC50" s="787"/>
      <c r="AD50" s="787"/>
      <c r="AE50" s="787"/>
      <c r="AF50" s="787"/>
      <c r="AG50" s="787"/>
      <c r="AH50" s="787"/>
      <c r="AI50" s="787"/>
      <c r="AJ50" s="787"/>
      <c r="AK50" s="787"/>
      <c r="AL50" s="787"/>
      <c r="AM50" s="787"/>
      <c r="AN50" s="787"/>
      <c r="AO50" s="787">
        <v>32064.810000000009</v>
      </c>
      <c r="AP50" s="787"/>
      <c r="AQ50" s="787"/>
      <c r="AR50" s="787"/>
      <c r="AS50" s="787"/>
      <c r="AT50" s="787"/>
      <c r="AU50" s="787"/>
      <c r="AV50" s="787"/>
      <c r="AW50" s="787"/>
      <c r="AX50" s="787"/>
      <c r="AY50" s="787"/>
      <c r="AZ50" s="787">
        <v>96.909999999999968</v>
      </c>
      <c r="BA50" s="787">
        <v>11097</v>
      </c>
      <c r="BB50" s="787"/>
      <c r="BC50" s="787"/>
      <c r="BD50" s="787"/>
      <c r="BE50" s="787">
        <v>10718.88</v>
      </c>
      <c r="BF50" s="787"/>
      <c r="BG50" s="787"/>
      <c r="BH50" s="787"/>
      <c r="BI50" s="787"/>
      <c r="BJ50" s="787">
        <f t="shared" si="1"/>
        <v>53977.600000000006</v>
      </c>
      <c r="BK50" s="787"/>
      <c r="BL50" s="787"/>
      <c r="BM50" s="787"/>
      <c r="BN50" s="787">
        <v>8691.25</v>
      </c>
      <c r="BO50" s="787"/>
      <c r="BP50" s="787"/>
      <c r="BQ50" s="787">
        <f t="shared" si="2"/>
        <v>8691.25</v>
      </c>
      <c r="BR50" s="787"/>
      <c r="BS50" s="787"/>
      <c r="BT50" s="787"/>
      <c r="BU50" s="787"/>
      <c r="BV50" s="787"/>
      <c r="BW50" s="787"/>
      <c r="BX50" s="787"/>
      <c r="BY50" s="787"/>
      <c r="BZ50" s="787"/>
      <c r="CA50" s="787"/>
      <c r="CB50" s="787"/>
      <c r="CC50" s="787"/>
      <c r="CD50" s="787"/>
      <c r="CE50" s="787"/>
      <c r="CF50" s="787"/>
      <c r="CG50" s="787"/>
      <c r="CH50" s="787"/>
      <c r="CI50" s="787"/>
      <c r="CJ50" s="787"/>
      <c r="CK50" s="787"/>
      <c r="CL50" s="787"/>
      <c r="CM50" s="787"/>
      <c r="CN50" s="787"/>
      <c r="CO50" s="787"/>
      <c r="CP50" s="787"/>
      <c r="CQ50" s="787"/>
      <c r="CR50" s="787"/>
      <c r="CS50" s="787"/>
      <c r="CT50" s="787"/>
      <c r="CU50" s="787"/>
      <c r="CV50" s="787"/>
      <c r="CW50" s="787"/>
      <c r="CX50" s="787"/>
      <c r="CY50" s="787"/>
      <c r="CZ50" s="787"/>
      <c r="DA50" s="787"/>
      <c r="DB50" s="787"/>
      <c r="DC50" s="787"/>
      <c r="DD50" s="787"/>
      <c r="DE50" s="787"/>
      <c r="DF50" s="787"/>
      <c r="DG50" s="787"/>
      <c r="DH50" s="787"/>
      <c r="DI50" s="787"/>
      <c r="DJ50" s="787"/>
      <c r="DK50" s="787"/>
      <c r="DL50" s="787"/>
      <c r="DM50" s="787"/>
      <c r="DN50" s="787"/>
      <c r="DO50" s="787"/>
      <c r="DP50" s="787"/>
      <c r="DQ50" s="787"/>
      <c r="DR50" s="787"/>
      <c r="DS50" s="787"/>
      <c r="DT50" s="787"/>
      <c r="DU50" s="787"/>
      <c r="DV50" s="787"/>
      <c r="DW50" s="787"/>
      <c r="DX50" s="787"/>
      <c r="DY50" s="787"/>
      <c r="DZ50" s="787"/>
      <c r="EA50" s="787"/>
    </row>
    <row r="51" spans="1:131" ht="15.6">
      <c r="A51" s="782" t="s">
        <v>1343</v>
      </c>
      <c r="B51" s="782" t="s">
        <v>619</v>
      </c>
      <c r="C51" s="783">
        <v>3320</v>
      </c>
      <c r="D51" s="784" t="s">
        <v>620</v>
      </c>
      <c r="E51" s="785" t="s">
        <v>521</v>
      </c>
      <c r="F51" s="786">
        <v>46092</v>
      </c>
      <c r="G51" s="785" t="s">
        <v>5</v>
      </c>
      <c r="H51" s="785" t="s">
        <v>631</v>
      </c>
      <c r="I51" s="787">
        <v>2495810.6010741638</v>
      </c>
      <c r="J51" s="787">
        <v>0</v>
      </c>
      <c r="K51" s="787">
        <v>139962.58433333333</v>
      </c>
      <c r="L51" s="787"/>
      <c r="M51" s="787">
        <v>337045</v>
      </c>
      <c r="N51" s="787">
        <v>62039</v>
      </c>
      <c r="O51" s="787"/>
      <c r="P51" s="787"/>
      <c r="Q51" s="787">
        <v>48454.728494999974</v>
      </c>
      <c r="R51" s="787"/>
      <c r="S51" s="787"/>
      <c r="T51" s="787"/>
      <c r="U51" s="787"/>
      <c r="V51" s="787"/>
      <c r="W51" s="787"/>
      <c r="X51" s="787">
        <f t="shared" si="0"/>
        <v>3083311.9139024969</v>
      </c>
      <c r="Y51" s="787"/>
      <c r="Z51" s="787"/>
      <c r="AA51" s="787"/>
      <c r="AB51" s="787"/>
      <c r="AC51" s="787"/>
      <c r="AD51" s="787"/>
      <c r="AE51" s="787"/>
      <c r="AF51" s="787"/>
      <c r="AG51" s="787"/>
      <c r="AH51" s="787"/>
      <c r="AI51" s="787"/>
      <c r="AJ51" s="787"/>
      <c r="AK51" s="787"/>
      <c r="AL51" s="787"/>
      <c r="AM51" s="787"/>
      <c r="AN51" s="787"/>
      <c r="AO51" s="787">
        <v>3868.98</v>
      </c>
      <c r="AP51" s="787"/>
      <c r="AQ51" s="787"/>
      <c r="AR51" s="787"/>
      <c r="AS51" s="787"/>
      <c r="AT51" s="787"/>
      <c r="AU51" s="787"/>
      <c r="AV51" s="787"/>
      <c r="AW51" s="787"/>
      <c r="AX51" s="787"/>
      <c r="AY51" s="787"/>
      <c r="AZ51" s="787">
        <v>94.469999999999985</v>
      </c>
      <c r="BA51" s="787">
        <v>0</v>
      </c>
      <c r="BB51" s="787"/>
      <c r="BC51" s="787"/>
      <c r="BD51" s="787"/>
      <c r="BE51" s="787">
        <v>10484.160000000002</v>
      </c>
      <c r="BF51" s="787"/>
      <c r="BG51" s="787"/>
      <c r="BH51" s="787"/>
      <c r="BI51" s="787"/>
      <c r="BJ51" s="787">
        <f t="shared" si="1"/>
        <v>14447.61</v>
      </c>
      <c r="BK51" s="787"/>
      <c r="BL51" s="787"/>
      <c r="BM51" s="787"/>
      <c r="BN51" s="787">
        <v>0</v>
      </c>
      <c r="BO51" s="787"/>
      <c r="BP51" s="787"/>
      <c r="BQ51" s="787">
        <f t="shared" si="2"/>
        <v>0</v>
      </c>
      <c r="BR51" s="787"/>
      <c r="BS51" s="787"/>
      <c r="BT51" s="787"/>
      <c r="BU51" s="787"/>
      <c r="BV51" s="787"/>
      <c r="BW51" s="787"/>
      <c r="BX51" s="787"/>
      <c r="BY51" s="787"/>
      <c r="BZ51" s="787"/>
      <c r="CA51" s="787"/>
      <c r="CB51" s="787"/>
      <c r="CC51" s="787"/>
      <c r="CD51" s="787"/>
      <c r="CE51" s="787"/>
      <c r="CF51" s="787"/>
      <c r="CG51" s="787"/>
      <c r="CH51" s="787"/>
      <c r="CI51" s="787"/>
      <c r="CJ51" s="787"/>
      <c r="CK51" s="787"/>
      <c r="CL51" s="787"/>
      <c r="CM51" s="787"/>
      <c r="CN51" s="787"/>
      <c r="CO51" s="787"/>
      <c r="CP51" s="787"/>
      <c r="CQ51" s="787"/>
      <c r="CR51" s="787"/>
      <c r="CS51" s="787"/>
      <c r="CT51" s="787"/>
      <c r="CU51" s="787"/>
      <c r="CV51" s="787"/>
      <c r="CW51" s="787"/>
      <c r="CX51" s="787"/>
      <c r="CY51" s="787"/>
      <c r="CZ51" s="787"/>
      <c r="DA51" s="787"/>
      <c r="DB51" s="787"/>
      <c r="DC51" s="787"/>
      <c r="DD51" s="787"/>
      <c r="DE51" s="787"/>
      <c r="DF51" s="787"/>
      <c r="DG51" s="787"/>
      <c r="DH51" s="787"/>
      <c r="DI51" s="787"/>
      <c r="DJ51" s="787"/>
      <c r="DK51" s="787"/>
      <c r="DL51" s="787"/>
      <c r="DM51" s="787"/>
      <c r="DN51" s="787"/>
      <c r="DO51" s="787"/>
      <c r="DP51" s="787"/>
      <c r="DQ51" s="787"/>
      <c r="DR51" s="787"/>
      <c r="DS51" s="787"/>
      <c r="DT51" s="787"/>
      <c r="DU51" s="787"/>
      <c r="DV51" s="787"/>
      <c r="DW51" s="787"/>
      <c r="DX51" s="787"/>
      <c r="DY51" s="787"/>
      <c r="DZ51" s="787"/>
      <c r="EA51" s="787"/>
    </row>
    <row r="52" spans="1:131" ht="15.6">
      <c r="A52" s="782" t="s">
        <v>1344</v>
      </c>
      <c r="B52" s="782" t="s">
        <v>621</v>
      </c>
      <c r="C52" s="783">
        <v>2055</v>
      </c>
      <c r="D52" s="784" t="s">
        <v>622</v>
      </c>
      <c r="E52" s="785" t="s">
        <v>521</v>
      </c>
      <c r="F52" s="786">
        <v>46094</v>
      </c>
      <c r="G52" s="785" t="s">
        <v>5</v>
      </c>
      <c r="H52" s="785" t="s">
        <v>633</v>
      </c>
      <c r="I52" s="787">
        <v>2424025.5939831929</v>
      </c>
      <c r="J52" s="787">
        <v>0</v>
      </c>
      <c r="K52" s="787">
        <v>107751.82333333333</v>
      </c>
      <c r="L52" s="787"/>
      <c r="M52" s="787">
        <v>163570</v>
      </c>
      <c r="N52" s="787">
        <v>91392</v>
      </c>
      <c r="O52" s="787"/>
      <c r="P52" s="787"/>
      <c r="Q52" s="787">
        <v>0</v>
      </c>
      <c r="R52" s="787"/>
      <c r="S52" s="787"/>
      <c r="T52" s="787"/>
      <c r="U52" s="787"/>
      <c r="V52" s="787"/>
      <c r="W52" s="787"/>
      <c r="X52" s="787">
        <f t="shared" si="0"/>
        <v>2786739.4173165262</v>
      </c>
      <c r="Y52" s="787"/>
      <c r="Z52" s="787"/>
      <c r="AA52" s="787"/>
      <c r="AB52" s="787"/>
      <c r="AC52" s="787"/>
      <c r="AD52" s="787"/>
      <c r="AE52" s="787"/>
      <c r="AF52" s="787"/>
      <c r="AG52" s="787"/>
      <c r="AH52" s="787"/>
      <c r="AI52" s="787"/>
      <c r="AJ52" s="787"/>
      <c r="AK52" s="787"/>
      <c r="AL52" s="787"/>
      <c r="AM52" s="787"/>
      <c r="AN52" s="787"/>
      <c r="AO52" s="787">
        <v>27824.829999999998</v>
      </c>
      <c r="AP52" s="787"/>
      <c r="AQ52" s="787"/>
      <c r="AR52" s="787"/>
      <c r="AS52" s="787"/>
      <c r="AT52" s="787"/>
      <c r="AU52" s="787"/>
      <c r="AV52" s="787"/>
      <c r="AW52" s="787"/>
      <c r="AX52" s="787"/>
      <c r="AY52" s="787"/>
      <c r="AZ52" s="787">
        <v>0</v>
      </c>
      <c r="BA52" s="787">
        <v>11880</v>
      </c>
      <c r="BB52" s="787"/>
      <c r="BC52" s="787"/>
      <c r="BD52" s="787"/>
      <c r="BE52" s="787">
        <v>10797.12</v>
      </c>
      <c r="BF52" s="787"/>
      <c r="BG52" s="787"/>
      <c r="BH52" s="787"/>
      <c r="BI52" s="787"/>
      <c r="BJ52" s="787">
        <f t="shared" si="1"/>
        <v>50501.950000000004</v>
      </c>
      <c r="BK52" s="787"/>
      <c r="BL52" s="787"/>
      <c r="BM52" s="787"/>
      <c r="BN52" s="787">
        <v>8977.9</v>
      </c>
      <c r="BO52" s="787"/>
      <c r="BP52" s="787"/>
      <c r="BQ52" s="787">
        <f t="shared" si="2"/>
        <v>8977.9</v>
      </c>
      <c r="BR52" s="787"/>
      <c r="BS52" s="787"/>
      <c r="BT52" s="787"/>
      <c r="BU52" s="787"/>
      <c r="BV52" s="787"/>
      <c r="BW52" s="787"/>
      <c r="BX52" s="787"/>
      <c r="BY52" s="787"/>
      <c r="BZ52" s="787"/>
      <c r="CA52" s="787"/>
      <c r="CB52" s="787"/>
      <c r="CC52" s="787"/>
      <c r="CD52" s="787"/>
      <c r="CE52" s="787"/>
      <c r="CF52" s="787"/>
      <c r="CG52" s="787"/>
      <c r="CH52" s="787"/>
      <c r="CI52" s="787"/>
      <c r="CJ52" s="787"/>
      <c r="CK52" s="787"/>
      <c r="CL52" s="787"/>
      <c r="CM52" s="787"/>
      <c r="CN52" s="787"/>
      <c r="CO52" s="787"/>
      <c r="CP52" s="787"/>
      <c r="CQ52" s="787"/>
      <c r="CR52" s="787"/>
      <c r="CS52" s="787"/>
      <c r="CT52" s="787"/>
      <c r="CU52" s="787"/>
      <c r="CV52" s="787"/>
      <c r="CW52" s="787"/>
      <c r="CX52" s="787"/>
      <c r="CY52" s="787"/>
      <c r="CZ52" s="787"/>
      <c r="DA52" s="787"/>
      <c r="DB52" s="787"/>
      <c r="DC52" s="787"/>
      <c r="DD52" s="787"/>
      <c r="DE52" s="787"/>
      <c r="DF52" s="787"/>
      <c r="DG52" s="787"/>
      <c r="DH52" s="787"/>
      <c r="DI52" s="787"/>
      <c r="DJ52" s="787"/>
      <c r="DK52" s="787"/>
      <c r="DL52" s="787"/>
      <c r="DM52" s="787"/>
      <c r="DN52" s="787"/>
      <c r="DO52" s="787"/>
      <c r="DP52" s="787"/>
      <c r="DQ52" s="787"/>
      <c r="DR52" s="787"/>
      <c r="DS52" s="787"/>
      <c r="DT52" s="787"/>
      <c r="DU52" s="787"/>
      <c r="DV52" s="787"/>
      <c r="DW52" s="787"/>
      <c r="DX52" s="787"/>
      <c r="DY52" s="787"/>
      <c r="DZ52" s="787"/>
      <c r="EA52" s="787"/>
    </row>
    <row r="53" spans="1:131" ht="15.6">
      <c r="A53" s="782" t="s">
        <v>1345</v>
      </c>
      <c r="B53" s="782" t="s">
        <v>884</v>
      </c>
      <c r="C53" s="783">
        <v>1802</v>
      </c>
      <c r="D53" s="784" t="s">
        <v>885</v>
      </c>
      <c r="E53" s="785" t="s">
        <v>521</v>
      </c>
      <c r="F53" s="786">
        <v>46101</v>
      </c>
      <c r="G53" s="785" t="s">
        <v>5</v>
      </c>
      <c r="H53" s="785" t="s">
        <v>898</v>
      </c>
      <c r="I53" s="787">
        <v>614899.02638829884</v>
      </c>
      <c r="J53" s="787">
        <v>0</v>
      </c>
      <c r="K53" s="787">
        <v>20845.097599261313</v>
      </c>
      <c r="L53" s="787"/>
      <c r="M53" s="787">
        <v>0</v>
      </c>
      <c r="N53" s="787">
        <v>0</v>
      </c>
      <c r="O53" s="787"/>
      <c r="P53" s="787"/>
      <c r="Q53" s="787">
        <v>4978.5755000000008</v>
      </c>
      <c r="R53" s="787"/>
      <c r="S53" s="787"/>
      <c r="T53" s="787"/>
      <c r="U53" s="787"/>
      <c r="V53" s="787"/>
      <c r="W53" s="787"/>
      <c r="X53" s="787">
        <f t="shared" si="0"/>
        <v>640722.6994875602</v>
      </c>
      <c r="Y53" s="787"/>
      <c r="Z53" s="787"/>
      <c r="AA53" s="787"/>
      <c r="AB53" s="787"/>
      <c r="AC53" s="787"/>
      <c r="AD53" s="787"/>
      <c r="AE53" s="787"/>
      <c r="AF53" s="787"/>
      <c r="AG53" s="787"/>
      <c r="AH53" s="787"/>
      <c r="AI53" s="787"/>
      <c r="AJ53" s="787"/>
      <c r="AK53" s="787"/>
      <c r="AL53" s="787"/>
      <c r="AM53" s="787"/>
      <c r="AN53" s="787"/>
      <c r="AO53" s="787">
        <v>0</v>
      </c>
      <c r="AP53" s="787"/>
      <c r="AQ53" s="787"/>
      <c r="AR53" s="787"/>
      <c r="AS53" s="787"/>
      <c r="AT53" s="787"/>
      <c r="AU53" s="787"/>
      <c r="AV53" s="787"/>
      <c r="AW53" s="787"/>
      <c r="AX53" s="787"/>
      <c r="AY53" s="787"/>
      <c r="AZ53" s="787">
        <v>70.959999999999994</v>
      </c>
      <c r="BA53" s="787">
        <v>3291.75</v>
      </c>
      <c r="BB53" s="787"/>
      <c r="BC53" s="787"/>
      <c r="BD53" s="787"/>
      <c r="BE53" s="787">
        <v>0</v>
      </c>
      <c r="BF53" s="787"/>
      <c r="BG53" s="787"/>
      <c r="BH53" s="787"/>
      <c r="BI53" s="787"/>
      <c r="BJ53" s="787">
        <f t="shared" si="1"/>
        <v>3362.71</v>
      </c>
      <c r="BK53" s="787"/>
      <c r="BL53" s="787"/>
      <c r="BM53" s="787"/>
      <c r="BN53" s="787">
        <v>4621</v>
      </c>
      <c r="BO53" s="787"/>
      <c r="BP53" s="787"/>
      <c r="BQ53" s="787">
        <f t="shared" si="2"/>
        <v>4621</v>
      </c>
      <c r="BR53" s="787"/>
      <c r="BS53" s="787"/>
      <c r="BT53" s="787"/>
      <c r="BU53" s="787"/>
      <c r="BV53" s="787"/>
      <c r="BW53" s="787"/>
      <c r="BX53" s="787"/>
      <c r="BY53" s="787"/>
      <c r="BZ53" s="787"/>
      <c r="CA53" s="787"/>
      <c r="CB53" s="787"/>
      <c r="CC53" s="787"/>
      <c r="CD53" s="787"/>
      <c r="CE53" s="787"/>
      <c r="CF53" s="787"/>
      <c r="CG53" s="787"/>
      <c r="CH53" s="787"/>
      <c r="CI53" s="787"/>
      <c r="CJ53" s="787"/>
      <c r="CK53" s="787"/>
      <c r="CL53" s="787"/>
      <c r="CM53" s="787"/>
      <c r="CN53" s="787"/>
      <c r="CO53" s="787"/>
      <c r="CP53" s="787"/>
      <c r="CQ53" s="787"/>
      <c r="CR53" s="787"/>
      <c r="CS53" s="787"/>
      <c r="CT53" s="787"/>
      <c r="CU53" s="787"/>
      <c r="CV53" s="787"/>
      <c r="CW53" s="787"/>
      <c r="CX53" s="787"/>
      <c r="CY53" s="787"/>
      <c r="CZ53" s="787"/>
      <c r="DA53" s="787"/>
      <c r="DB53" s="787"/>
      <c r="DC53" s="787"/>
      <c r="DD53" s="787"/>
      <c r="DE53" s="787"/>
      <c r="DF53" s="787"/>
      <c r="DG53" s="787"/>
      <c r="DH53" s="787"/>
      <c r="DI53" s="787"/>
      <c r="DJ53" s="787"/>
      <c r="DK53" s="787"/>
      <c r="DL53" s="787"/>
      <c r="DM53" s="787"/>
      <c r="DN53" s="787"/>
      <c r="DO53" s="787"/>
      <c r="DP53" s="787"/>
      <c r="DQ53" s="787"/>
      <c r="DR53" s="787"/>
      <c r="DS53" s="787"/>
      <c r="DT53" s="787"/>
      <c r="DU53" s="787"/>
      <c r="DV53" s="787"/>
      <c r="DW53" s="787"/>
      <c r="DX53" s="787"/>
      <c r="DY53" s="787"/>
      <c r="DZ53" s="787"/>
      <c r="EA53" s="787"/>
    </row>
    <row r="54" spans="1:131" ht="15.6">
      <c r="A54" s="782" t="s">
        <v>1346</v>
      </c>
      <c r="B54" s="782" t="s">
        <v>623</v>
      </c>
      <c r="C54" s="783">
        <v>2454</v>
      </c>
      <c r="D54" s="784" t="s">
        <v>624</v>
      </c>
      <c r="E54" s="785" t="s">
        <v>521</v>
      </c>
      <c r="F54" s="786">
        <v>0</v>
      </c>
      <c r="G54" s="785" t="s">
        <v>5</v>
      </c>
      <c r="H54" s="785" t="s">
        <v>635</v>
      </c>
      <c r="I54" s="787">
        <v>2605231.813322728</v>
      </c>
      <c r="J54" s="787">
        <v>0</v>
      </c>
      <c r="K54" s="787">
        <v>136253.66666666666</v>
      </c>
      <c r="L54" s="787"/>
      <c r="M54" s="787">
        <v>356655</v>
      </c>
      <c r="N54" s="787">
        <v>53698.93</v>
      </c>
      <c r="O54" s="787"/>
      <c r="P54" s="787"/>
      <c r="Q54" s="787">
        <v>22576.021000000008</v>
      </c>
      <c r="R54" s="787"/>
      <c r="S54" s="787"/>
      <c r="T54" s="787"/>
      <c r="U54" s="787"/>
      <c r="V54" s="787"/>
      <c r="W54" s="787"/>
      <c r="X54" s="787">
        <f t="shared" si="0"/>
        <v>3174415.4309893949</v>
      </c>
      <c r="Y54" s="787"/>
      <c r="Z54" s="787"/>
      <c r="AA54" s="787"/>
      <c r="AB54" s="787"/>
      <c r="AC54" s="787"/>
      <c r="AD54" s="787"/>
      <c r="AE54" s="787"/>
      <c r="AF54" s="787"/>
      <c r="AG54" s="787"/>
      <c r="AH54" s="787"/>
      <c r="AI54" s="787"/>
      <c r="AJ54" s="787"/>
      <c r="AK54" s="787"/>
      <c r="AL54" s="787"/>
      <c r="AM54" s="787"/>
      <c r="AN54" s="787"/>
      <c r="AO54" s="787">
        <v>30475.859999999997</v>
      </c>
      <c r="AP54" s="787"/>
      <c r="AQ54" s="787"/>
      <c r="AR54" s="787"/>
      <c r="AS54" s="787"/>
      <c r="AT54" s="787"/>
      <c r="AU54" s="787"/>
      <c r="AV54" s="787"/>
      <c r="AW54" s="787"/>
      <c r="AX54" s="787"/>
      <c r="AY54" s="787"/>
      <c r="AZ54" s="787">
        <v>157.85999999999999</v>
      </c>
      <c r="BA54" s="787">
        <v>9471</v>
      </c>
      <c r="BB54" s="787"/>
      <c r="BC54" s="787"/>
      <c r="BD54" s="787"/>
      <c r="BE54" s="787">
        <v>9701.7599999999984</v>
      </c>
      <c r="BF54" s="787"/>
      <c r="BG54" s="787"/>
      <c r="BH54" s="787"/>
      <c r="BI54" s="787"/>
      <c r="BJ54" s="787">
        <f t="shared" si="1"/>
        <v>49806.479999999996</v>
      </c>
      <c r="BK54" s="787"/>
      <c r="BL54" s="787"/>
      <c r="BM54" s="787"/>
      <c r="BN54" s="787">
        <v>8524.75</v>
      </c>
      <c r="BO54" s="787"/>
      <c r="BP54" s="787"/>
      <c r="BQ54" s="787">
        <f t="shared" si="2"/>
        <v>8524.75</v>
      </c>
      <c r="BR54" s="787"/>
      <c r="BS54" s="787"/>
      <c r="BT54" s="787"/>
      <c r="BU54" s="787"/>
      <c r="BV54" s="787"/>
      <c r="BW54" s="787"/>
      <c r="BX54" s="787"/>
      <c r="BY54" s="787"/>
      <c r="BZ54" s="787"/>
      <c r="CA54" s="787"/>
      <c r="CB54" s="787"/>
      <c r="CC54" s="787"/>
      <c r="CD54" s="787"/>
      <c r="CE54" s="787"/>
      <c r="CF54" s="787"/>
      <c r="CG54" s="787"/>
      <c r="CH54" s="787"/>
      <c r="CI54" s="787"/>
      <c r="CJ54" s="787"/>
      <c r="CK54" s="787"/>
      <c r="CL54" s="787"/>
      <c r="CM54" s="787"/>
      <c r="CN54" s="787"/>
      <c r="CO54" s="787"/>
      <c r="CP54" s="787"/>
      <c r="CQ54" s="787"/>
      <c r="CR54" s="787"/>
      <c r="CS54" s="787"/>
      <c r="CT54" s="787"/>
      <c r="CU54" s="787"/>
      <c r="CV54" s="787"/>
      <c r="CW54" s="787"/>
      <c r="CX54" s="787"/>
      <c r="CY54" s="787"/>
      <c r="CZ54" s="787"/>
      <c r="DA54" s="787"/>
      <c r="DB54" s="787"/>
      <c r="DC54" s="787"/>
      <c r="DD54" s="787"/>
      <c r="DE54" s="787"/>
      <c r="DF54" s="787"/>
      <c r="DG54" s="787"/>
      <c r="DH54" s="787"/>
      <c r="DI54" s="787"/>
      <c r="DJ54" s="787"/>
      <c r="DK54" s="787"/>
      <c r="DL54" s="787"/>
      <c r="DM54" s="787"/>
      <c r="DN54" s="787"/>
      <c r="DO54" s="787"/>
      <c r="DP54" s="787"/>
      <c r="DQ54" s="787"/>
      <c r="DR54" s="787"/>
      <c r="DS54" s="787"/>
      <c r="DT54" s="787"/>
      <c r="DU54" s="787"/>
      <c r="DV54" s="787"/>
      <c r="DW54" s="787"/>
      <c r="DX54" s="787"/>
      <c r="DY54" s="787"/>
      <c r="DZ54" s="787"/>
      <c r="EA54" s="787"/>
    </row>
    <row r="55" spans="1:131" ht="15.6">
      <c r="A55" s="782" t="s">
        <v>1347</v>
      </c>
      <c r="B55" s="782" t="s">
        <v>625</v>
      </c>
      <c r="C55" s="783">
        <v>3321</v>
      </c>
      <c r="D55" s="784" t="s">
        <v>626</v>
      </c>
      <c r="E55" s="785" t="s">
        <v>521</v>
      </c>
      <c r="F55" s="786">
        <v>46094</v>
      </c>
      <c r="G55" s="785" t="s">
        <v>5</v>
      </c>
      <c r="H55" s="785" t="s">
        <v>637</v>
      </c>
      <c r="I55" s="787">
        <v>2105802.5958213266</v>
      </c>
      <c r="J55" s="787">
        <v>0</v>
      </c>
      <c r="K55" s="787">
        <v>143445.22222222222</v>
      </c>
      <c r="L55" s="787"/>
      <c r="M55" s="787">
        <v>238970</v>
      </c>
      <c r="N55" s="787">
        <v>54667.93</v>
      </c>
      <c r="O55" s="787"/>
      <c r="P55" s="787"/>
      <c r="Q55" s="787">
        <v>18054.381330999986</v>
      </c>
      <c r="R55" s="787"/>
      <c r="S55" s="787"/>
      <c r="T55" s="787"/>
      <c r="U55" s="787"/>
      <c r="V55" s="787"/>
      <c r="W55" s="787"/>
      <c r="X55" s="787">
        <f t="shared" si="0"/>
        <v>2560940.1293745488</v>
      </c>
      <c r="Y55" s="787"/>
      <c r="Z55" s="787"/>
      <c r="AA55" s="787"/>
      <c r="AB55" s="787"/>
      <c r="AC55" s="787"/>
      <c r="AD55" s="787"/>
      <c r="AE55" s="787"/>
      <c r="AF55" s="787"/>
      <c r="AG55" s="787"/>
      <c r="AH55" s="787"/>
      <c r="AI55" s="787"/>
      <c r="AJ55" s="787"/>
      <c r="AK55" s="787"/>
      <c r="AL55" s="787"/>
      <c r="AM55" s="787"/>
      <c r="AN55" s="787"/>
      <c r="AO55" s="787">
        <v>3815.97</v>
      </c>
      <c r="AP55" s="787"/>
      <c r="AQ55" s="787"/>
      <c r="AR55" s="787"/>
      <c r="AS55" s="787"/>
      <c r="AT55" s="787"/>
      <c r="AU55" s="787"/>
      <c r="AV55" s="787"/>
      <c r="AW55" s="787"/>
      <c r="AX55" s="787"/>
      <c r="AY55" s="787"/>
      <c r="AZ55" s="787">
        <v>47.320000000000007</v>
      </c>
      <c r="BA55" s="787">
        <v>9471</v>
      </c>
      <c r="BB55" s="787"/>
      <c r="BC55" s="787"/>
      <c r="BD55" s="787"/>
      <c r="BE55" s="787">
        <v>9075.8399999999983</v>
      </c>
      <c r="BF55" s="787"/>
      <c r="BG55" s="787"/>
      <c r="BH55" s="787"/>
      <c r="BI55" s="787"/>
      <c r="BJ55" s="787">
        <f t="shared" si="1"/>
        <v>22410.129999999997</v>
      </c>
      <c r="BK55" s="787"/>
      <c r="BL55" s="787"/>
      <c r="BM55" s="787"/>
      <c r="BN55" s="787">
        <v>0</v>
      </c>
      <c r="BO55" s="787"/>
      <c r="BP55" s="787"/>
      <c r="BQ55" s="787">
        <f t="shared" si="2"/>
        <v>0</v>
      </c>
      <c r="BR55" s="787"/>
      <c r="BS55" s="787"/>
      <c r="BT55" s="787"/>
      <c r="BU55" s="787"/>
      <c r="BV55" s="787"/>
      <c r="BW55" s="787"/>
      <c r="BX55" s="787"/>
      <c r="BY55" s="787"/>
      <c r="BZ55" s="787"/>
      <c r="CA55" s="787"/>
      <c r="CB55" s="787"/>
      <c r="CC55" s="787"/>
      <c r="CD55" s="787"/>
      <c r="CE55" s="787"/>
      <c r="CF55" s="787"/>
      <c r="CG55" s="787"/>
      <c r="CH55" s="787"/>
      <c r="CI55" s="787"/>
      <c r="CJ55" s="787"/>
      <c r="CK55" s="787"/>
      <c r="CL55" s="787"/>
      <c r="CM55" s="787"/>
      <c r="CN55" s="787"/>
      <c r="CO55" s="787"/>
      <c r="CP55" s="787"/>
      <c r="CQ55" s="787"/>
      <c r="CR55" s="787"/>
      <c r="CS55" s="787"/>
      <c r="CT55" s="787"/>
      <c r="CU55" s="787"/>
      <c r="CV55" s="787"/>
      <c r="CW55" s="787"/>
      <c r="CX55" s="787"/>
      <c r="CY55" s="787"/>
      <c r="CZ55" s="787"/>
      <c r="DA55" s="787"/>
      <c r="DB55" s="787"/>
      <c r="DC55" s="787"/>
      <c r="DD55" s="787"/>
      <c r="DE55" s="787"/>
      <c r="DF55" s="787"/>
      <c r="DG55" s="787"/>
      <c r="DH55" s="787"/>
      <c r="DI55" s="787"/>
      <c r="DJ55" s="787"/>
      <c r="DK55" s="787"/>
      <c r="DL55" s="787"/>
      <c r="DM55" s="787"/>
      <c r="DN55" s="787"/>
      <c r="DO55" s="787"/>
      <c r="DP55" s="787"/>
      <c r="DQ55" s="787"/>
      <c r="DR55" s="787"/>
      <c r="DS55" s="787"/>
      <c r="DT55" s="787"/>
      <c r="DU55" s="787"/>
      <c r="DV55" s="787"/>
      <c r="DW55" s="787"/>
      <c r="DX55" s="787"/>
      <c r="DY55" s="787"/>
      <c r="DZ55" s="787"/>
      <c r="EA55" s="787"/>
    </row>
    <row r="56" spans="1:131" ht="15.6">
      <c r="A56" s="782" t="s">
        <v>1348</v>
      </c>
      <c r="B56" s="782" t="s">
        <v>627</v>
      </c>
      <c r="C56" s="783">
        <v>1026</v>
      </c>
      <c r="D56" s="784" t="s">
        <v>628</v>
      </c>
      <c r="E56" s="785" t="s">
        <v>521</v>
      </c>
      <c r="F56" s="786">
        <v>46094</v>
      </c>
      <c r="G56" s="785" t="s">
        <v>5</v>
      </c>
      <c r="H56" s="785" t="s">
        <v>639</v>
      </c>
      <c r="I56" s="787">
        <v>757040.66370620346</v>
      </c>
      <c r="J56" s="787">
        <v>0</v>
      </c>
      <c r="K56" s="787">
        <v>42340.928129639891</v>
      </c>
      <c r="L56" s="787"/>
      <c r="M56" s="787">
        <v>0</v>
      </c>
      <c r="N56" s="787">
        <v>0</v>
      </c>
      <c r="O56" s="787"/>
      <c r="P56" s="787"/>
      <c r="Q56" s="787">
        <v>0</v>
      </c>
      <c r="R56" s="787"/>
      <c r="S56" s="787"/>
      <c r="T56" s="787"/>
      <c r="U56" s="787"/>
      <c r="V56" s="787"/>
      <c r="W56" s="787"/>
      <c r="X56" s="787">
        <f t="shared" si="0"/>
        <v>799381.5918358434</v>
      </c>
      <c r="Y56" s="787"/>
      <c r="Z56" s="787"/>
      <c r="AA56" s="787"/>
      <c r="AB56" s="787"/>
      <c r="AC56" s="787"/>
      <c r="AD56" s="787"/>
      <c r="AE56" s="787"/>
      <c r="AF56" s="787"/>
      <c r="AG56" s="787"/>
      <c r="AH56" s="787"/>
      <c r="AI56" s="787"/>
      <c r="AJ56" s="787"/>
      <c r="AK56" s="787"/>
      <c r="AL56" s="787"/>
      <c r="AM56" s="787"/>
      <c r="AN56" s="787"/>
      <c r="AO56" s="787">
        <v>0</v>
      </c>
      <c r="AP56" s="787"/>
      <c r="AQ56" s="787"/>
      <c r="AR56" s="787"/>
      <c r="AS56" s="787"/>
      <c r="AT56" s="787"/>
      <c r="AU56" s="787"/>
      <c r="AV56" s="787"/>
      <c r="AW56" s="787"/>
      <c r="AX56" s="787"/>
      <c r="AY56" s="787"/>
      <c r="AZ56" s="787">
        <v>0</v>
      </c>
      <c r="BA56" s="787">
        <v>3291.75</v>
      </c>
      <c r="BB56" s="787"/>
      <c r="BC56" s="787"/>
      <c r="BD56" s="787"/>
      <c r="BE56" s="787">
        <v>0</v>
      </c>
      <c r="BF56" s="787"/>
      <c r="BG56" s="787"/>
      <c r="BH56" s="787"/>
      <c r="BI56" s="787"/>
      <c r="BJ56" s="787">
        <f t="shared" si="1"/>
        <v>3291.75</v>
      </c>
      <c r="BK56" s="787"/>
      <c r="BL56" s="787"/>
      <c r="BM56" s="787"/>
      <c r="BN56" s="787">
        <v>4891</v>
      </c>
      <c r="BO56" s="787"/>
      <c r="BP56" s="787"/>
      <c r="BQ56" s="787">
        <f t="shared" si="2"/>
        <v>4891</v>
      </c>
      <c r="BR56" s="787"/>
      <c r="BS56" s="787"/>
      <c r="BT56" s="787"/>
      <c r="BU56" s="787"/>
      <c r="BV56" s="787"/>
      <c r="BW56" s="787"/>
      <c r="BX56" s="787"/>
      <c r="BY56" s="787"/>
      <c r="BZ56" s="787"/>
      <c r="CA56" s="787"/>
      <c r="CB56" s="787"/>
      <c r="CC56" s="787"/>
      <c r="CD56" s="787"/>
      <c r="CE56" s="787"/>
      <c r="CF56" s="787"/>
      <c r="CG56" s="787"/>
      <c r="CH56" s="787"/>
      <c r="CI56" s="787"/>
      <c r="CJ56" s="787"/>
      <c r="CK56" s="787"/>
      <c r="CL56" s="787"/>
      <c r="CM56" s="787"/>
      <c r="CN56" s="787"/>
      <c r="CO56" s="787"/>
      <c r="CP56" s="787"/>
      <c r="CQ56" s="787"/>
      <c r="CR56" s="787"/>
      <c r="CS56" s="787"/>
      <c r="CT56" s="787"/>
      <c r="CU56" s="787"/>
      <c r="CV56" s="787"/>
      <c r="CW56" s="787"/>
      <c r="CX56" s="787"/>
      <c r="CY56" s="787"/>
      <c r="CZ56" s="787"/>
      <c r="DA56" s="787"/>
      <c r="DB56" s="787"/>
      <c r="DC56" s="787"/>
      <c r="DD56" s="787"/>
      <c r="DE56" s="787"/>
      <c r="DF56" s="787"/>
      <c r="DG56" s="787"/>
      <c r="DH56" s="787"/>
      <c r="DI56" s="787"/>
      <c r="DJ56" s="787"/>
      <c r="DK56" s="787"/>
      <c r="DL56" s="787"/>
      <c r="DM56" s="787"/>
      <c r="DN56" s="787"/>
      <c r="DO56" s="787"/>
      <c r="DP56" s="787"/>
      <c r="DQ56" s="787"/>
      <c r="DR56" s="787"/>
      <c r="DS56" s="787"/>
      <c r="DT56" s="787"/>
      <c r="DU56" s="787"/>
      <c r="DV56" s="787"/>
      <c r="DW56" s="787"/>
      <c r="DX56" s="787"/>
      <c r="DY56" s="787"/>
      <c r="DZ56" s="787"/>
      <c r="EA56" s="787"/>
    </row>
    <row r="57" spans="1:131" ht="15.6">
      <c r="A57" s="782" t="s">
        <v>1349</v>
      </c>
      <c r="B57" s="782" t="s">
        <v>629</v>
      </c>
      <c r="C57" s="783">
        <v>2294</v>
      </c>
      <c r="D57" s="784" t="s">
        <v>630</v>
      </c>
      <c r="E57" s="785" t="s">
        <v>521</v>
      </c>
      <c r="F57" s="786">
        <v>46081</v>
      </c>
      <c r="G57" s="785" t="s">
        <v>5</v>
      </c>
      <c r="H57" s="785" t="s">
        <v>641</v>
      </c>
      <c r="I57" s="787">
        <v>2555691.9688000004</v>
      </c>
      <c r="J57" s="787">
        <v>0</v>
      </c>
      <c r="K57" s="787">
        <v>266982.2433333334</v>
      </c>
      <c r="L57" s="787"/>
      <c r="M57" s="787">
        <v>299970</v>
      </c>
      <c r="N57" s="787">
        <v>69745</v>
      </c>
      <c r="O57" s="787"/>
      <c r="P57" s="787"/>
      <c r="Q57" s="787">
        <v>0</v>
      </c>
      <c r="R57" s="787"/>
      <c r="S57" s="787"/>
      <c r="T57" s="787"/>
      <c r="U57" s="787"/>
      <c r="V57" s="787"/>
      <c r="W57" s="787"/>
      <c r="X57" s="787">
        <f t="shared" si="0"/>
        <v>3192389.212133334</v>
      </c>
      <c r="Y57" s="787"/>
      <c r="Z57" s="787"/>
      <c r="AA57" s="787"/>
      <c r="AB57" s="787"/>
      <c r="AC57" s="787"/>
      <c r="AD57" s="787"/>
      <c r="AE57" s="787"/>
      <c r="AF57" s="787"/>
      <c r="AG57" s="787"/>
      <c r="AH57" s="787"/>
      <c r="AI57" s="787"/>
      <c r="AJ57" s="787"/>
      <c r="AK57" s="787"/>
      <c r="AL57" s="787"/>
      <c r="AM57" s="787"/>
      <c r="AN57" s="787"/>
      <c r="AO57" s="787">
        <v>28089.830000000005</v>
      </c>
      <c r="AP57" s="787"/>
      <c r="AQ57" s="787"/>
      <c r="AR57" s="787"/>
      <c r="AS57" s="787"/>
      <c r="AT57" s="787"/>
      <c r="AU57" s="787"/>
      <c r="AV57" s="787"/>
      <c r="AW57" s="787"/>
      <c r="AX57" s="787"/>
      <c r="AY57" s="787"/>
      <c r="AZ57" s="787">
        <v>0</v>
      </c>
      <c r="BA57" s="787">
        <v>9471</v>
      </c>
      <c r="BB57" s="787"/>
      <c r="BC57" s="787"/>
      <c r="BD57" s="787"/>
      <c r="BE57" s="787">
        <v>10953.599999999997</v>
      </c>
      <c r="BF57" s="787"/>
      <c r="BG57" s="787"/>
      <c r="BH57" s="787"/>
      <c r="BI57" s="787"/>
      <c r="BJ57" s="787">
        <f t="shared" si="1"/>
        <v>48514.43</v>
      </c>
      <c r="BK57" s="787"/>
      <c r="BL57" s="787"/>
      <c r="BM57" s="787"/>
      <c r="BN57" s="787">
        <v>8680</v>
      </c>
      <c r="BO57" s="787"/>
      <c r="BP57" s="787"/>
      <c r="BQ57" s="787">
        <f t="shared" si="2"/>
        <v>8680</v>
      </c>
      <c r="BR57" s="787"/>
      <c r="BS57" s="787"/>
      <c r="BT57" s="787"/>
      <c r="BU57" s="787"/>
      <c r="BV57" s="787"/>
      <c r="BW57" s="787"/>
      <c r="BX57" s="787"/>
      <c r="BY57" s="787"/>
      <c r="BZ57" s="787"/>
      <c r="CA57" s="787"/>
      <c r="CB57" s="787"/>
      <c r="CC57" s="787"/>
      <c r="CD57" s="787"/>
      <c r="CE57" s="787"/>
      <c r="CF57" s="787"/>
      <c r="CG57" s="787"/>
      <c r="CH57" s="787"/>
      <c r="CI57" s="787"/>
      <c r="CJ57" s="787"/>
      <c r="CK57" s="787"/>
      <c r="CL57" s="787"/>
      <c r="CM57" s="787"/>
      <c r="CN57" s="787"/>
      <c r="CO57" s="787"/>
      <c r="CP57" s="787"/>
      <c r="CQ57" s="787"/>
      <c r="CR57" s="787"/>
      <c r="CS57" s="787"/>
      <c r="CT57" s="787"/>
      <c r="CU57" s="787"/>
      <c r="CV57" s="787"/>
      <c r="CW57" s="787"/>
      <c r="CX57" s="787"/>
      <c r="CY57" s="787"/>
      <c r="CZ57" s="787"/>
      <c r="DA57" s="787"/>
      <c r="DB57" s="787"/>
      <c r="DC57" s="787"/>
      <c r="DD57" s="787"/>
      <c r="DE57" s="787"/>
      <c r="DF57" s="787"/>
      <c r="DG57" s="787"/>
      <c r="DH57" s="787"/>
      <c r="DI57" s="787"/>
      <c r="DJ57" s="787"/>
      <c r="DK57" s="787"/>
      <c r="DL57" s="787"/>
      <c r="DM57" s="787"/>
      <c r="DN57" s="787"/>
      <c r="DO57" s="787"/>
      <c r="DP57" s="787"/>
      <c r="DQ57" s="787"/>
      <c r="DR57" s="787"/>
      <c r="DS57" s="787"/>
      <c r="DT57" s="787"/>
      <c r="DU57" s="787"/>
      <c r="DV57" s="787"/>
      <c r="DW57" s="787"/>
      <c r="DX57" s="787"/>
      <c r="DY57" s="787"/>
      <c r="DZ57" s="787"/>
      <c r="EA57" s="787"/>
    </row>
    <row r="58" spans="1:131" ht="15.6">
      <c r="A58" s="782" t="s">
        <v>1350</v>
      </c>
      <c r="B58" s="782" t="s">
        <v>631</v>
      </c>
      <c r="C58" s="783">
        <v>2486</v>
      </c>
      <c r="D58" s="784" t="s">
        <v>632</v>
      </c>
      <c r="E58" s="785" t="s">
        <v>521</v>
      </c>
      <c r="F58" s="786" t="s">
        <v>1351</v>
      </c>
      <c r="G58" s="785" t="s">
        <v>5</v>
      </c>
      <c r="H58" s="785" t="s">
        <v>644</v>
      </c>
      <c r="I58" s="787">
        <v>1432248.8343405048</v>
      </c>
      <c r="J58" s="787">
        <v>0</v>
      </c>
      <c r="K58" s="787">
        <v>150819.59333333332</v>
      </c>
      <c r="L58" s="787"/>
      <c r="M58" s="787">
        <v>191075</v>
      </c>
      <c r="N58" s="787">
        <v>36116</v>
      </c>
      <c r="O58" s="787"/>
      <c r="P58" s="787"/>
      <c r="Q58" s="787">
        <v>0</v>
      </c>
      <c r="R58" s="787"/>
      <c r="S58" s="787"/>
      <c r="T58" s="787"/>
      <c r="U58" s="787"/>
      <c r="V58" s="787"/>
      <c r="W58" s="787"/>
      <c r="X58" s="787">
        <f t="shared" si="0"/>
        <v>1810259.4276738381</v>
      </c>
      <c r="Y58" s="787"/>
      <c r="Z58" s="787"/>
      <c r="AA58" s="787"/>
      <c r="AB58" s="787"/>
      <c r="AC58" s="787"/>
      <c r="AD58" s="787"/>
      <c r="AE58" s="787"/>
      <c r="AF58" s="787"/>
      <c r="AG58" s="787"/>
      <c r="AH58" s="787"/>
      <c r="AI58" s="787"/>
      <c r="AJ58" s="787"/>
      <c r="AK58" s="787"/>
      <c r="AL58" s="787"/>
      <c r="AM58" s="787"/>
      <c r="AN58" s="787"/>
      <c r="AO58" s="787">
        <v>14979.660000000002</v>
      </c>
      <c r="AP58" s="787"/>
      <c r="AQ58" s="787"/>
      <c r="AR58" s="787"/>
      <c r="AS58" s="787"/>
      <c r="AT58" s="787"/>
      <c r="AU58" s="787"/>
      <c r="AV58" s="787"/>
      <c r="AW58" s="787"/>
      <c r="AX58" s="787"/>
      <c r="AY58" s="787"/>
      <c r="AZ58" s="787">
        <v>0</v>
      </c>
      <c r="BA58" s="787">
        <v>5049</v>
      </c>
      <c r="BB58" s="787"/>
      <c r="BC58" s="787"/>
      <c r="BD58" s="787"/>
      <c r="BE58" s="787">
        <v>4876.96</v>
      </c>
      <c r="BF58" s="787"/>
      <c r="BG58" s="787"/>
      <c r="BH58" s="787"/>
      <c r="BI58" s="787"/>
      <c r="BJ58" s="787">
        <f t="shared" si="1"/>
        <v>24905.620000000003</v>
      </c>
      <c r="BK58" s="787"/>
      <c r="BL58" s="787"/>
      <c r="BM58" s="787"/>
      <c r="BN58" s="787">
        <v>6337.75</v>
      </c>
      <c r="BO58" s="787"/>
      <c r="BP58" s="787"/>
      <c r="BQ58" s="787">
        <f t="shared" si="2"/>
        <v>6337.75</v>
      </c>
      <c r="BR58" s="787"/>
      <c r="BS58" s="787"/>
      <c r="BT58" s="787"/>
      <c r="BU58" s="787"/>
      <c r="BV58" s="787"/>
      <c r="BW58" s="787"/>
      <c r="BX58" s="787"/>
      <c r="BY58" s="787"/>
      <c r="BZ58" s="787"/>
      <c r="CA58" s="787"/>
      <c r="CB58" s="787"/>
      <c r="CC58" s="787"/>
      <c r="CD58" s="787"/>
      <c r="CE58" s="787"/>
      <c r="CF58" s="787"/>
      <c r="CG58" s="787"/>
      <c r="CH58" s="787"/>
      <c r="CI58" s="787"/>
      <c r="CJ58" s="787"/>
      <c r="CK58" s="787"/>
      <c r="CL58" s="787"/>
      <c r="CM58" s="787"/>
      <c r="CN58" s="787"/>
      <c r="CO58" s="787"/>
      <c r="CP58" s="787"/>
      <c r="CQ58" s="787"/>
      <c r="CR58" s="787"/>
      <c r="CS58" s="787"/>
      <c r="CT58" s="787"/>
      <c r="CU58" s="787"/>
      <c r="CV58" s="787"/>
      <c r="CW58" s="787"/>
      <c r="CX58" s="787"/>
      <c r="CY58" s="787"/>
      <c r="CZ58" s="787"/>
      <c r="DA58" s="787"/>
      <c r="DB58" s="787"/>
      <c r="DC58" s="787"/>
      <c r="DD58" s="787"/>
      <c r="DE58" s="787"/>
      <c r="DF58" s="787"/>
      <c r="DG58" s="787"/>
      <c r="DH58" s="787"/>
      <c r="DI58" s="787"/>
      <c r="DJ58" s="787"/>
      <c r="DK58" s="787"/>
      <c r="DL58" s="787"/>
      <c r="DM58" s="787"/>
      <c r="DN58" s="787"/>
      <c r="DO58" s="787"/>
      <c r="DP58" s="787"/>
      <c r="DQ58" s="787"/>
      <c r="DR58" s="787"/>
      <c r="DS58" s="787"/>
      <c r="DT58" s="787"/>
      <c r="DU58" s="787"/>
      <c r="DV58" s="787"/>
      <c r="DW58" s="787"/>
      <c r="DX58" s="787"/>
      <c r="DY58" s="787"/>
      <c r="DZ58" s="787"/>
      <c r="EA58" s="787"/>
    </row>
    <row r="59" spans="1:131" ht="15.6">
      <c r="A59" s="782" t="s">
        <v>1352</v>
      </c>
      <c r="B59" s="782" t="s">
        <v>633</v>
      </c>
      <c r="C59" s="783">
        <v>3435</v>
      </c>
      <c r="D59" s="784" t="s">
        <v>634</v>
      </c>
      <c r="E59" s="785" t="s">
        <v>521</v>
      </c>
      <c r="F59" s="786">
        <v>46094</v>
      </c>
      <c r="G59" s="785" t="s">
        <v>5</v>
      </c>
      <c r="H59" s="785" t="s">
        <v>646</v>
      </c>
      <c r="I59" s="787">
        <v>2141445.9699999997</v>
      </c>
      <c r="J59" s="787">
        <v>0</v>
      </c>
      <c r="K59" s="787">
        <v>258099.84666666668</v>
      </c>
      <c r="L59" s="787"/>
      <c r="M59" s="787">
        <v>49910</v>
      </c>
      <c r="N59" s="787">
        <v>103313.93</v>
      </c>
      <c r="O59" s="787"/>
      <c r="P59" s="787"/>
      <c r="Q59" s="787">
        <v>9833.2061600000179</v>
      </c>
      <c r="R59" s="787"/>
      <c r="S59" s="787"/>
      <c r="T59" s="787"/>
      <c r="U59" s="787"/>
      <c r="V59" s="787"/>
      <c r="W59" s="787"/>
      <c r="X59" s="787">
        <f t="shared" si="0"/>
        <v>2562602.9528266666</v>
      </c>
      <c r="Y59" s="787"/>
      <c r="Z59" s="787"/>
      <c r="AA59" s="787"/>
      <c r="AB59" s="787"/>
      <c r="AC59" s="787"/>
      <c r="AD59" s="787"/>
      <c r="AE59" s="787"/>
      <c r="AF59" s="787"/>
      <c r="AG59" s="787"/>
      <c r="AH59" s="787"/>
      <c r="AI59" s="787"/>
      <c r="AJ59" s="787"/>
      <c r="AK59" s="787"/>
      <c r="AL59" s="787"/>
      <c r="AM59" s="787"/>
      <c r="AN59" s="787"/>
      <c r="AO59" s="787">
        <v>5193.97</v>
      </c>
      <c r="AP59" s="787"/>
      <c r="AQ59" s="787"/>
      <c r="AR59" s="787"/>
      <c r="AS59" s="787"/>
      <c r="AT59" s="787"/>
      <c r="AU59" s="787"/>
      <c r="AV59" s="787"/>
      <c r="AW59" s="787"/>
      <c r="AX59" s="787"/>
      <c r="AY59" s="787"/>
      <c r="AZ59" s="787">
        <v>91.14</v>
      </c>
      <c r="BA59" s="787">
        <v>11340</v>
      </c>
      <c r="BB59" s="787"/>
      <c r="BC59" s="787"/>
      <c r="BD59" s="787"/>
      <c r="BE59" s="787">
        <v>10953.599999999997</v>
      </c>
      <c r="BF59" s="787"/>
      <c r="BG59" s="787"/>
      <c r="BH59" s="787"/>
      <c r="BI59" s="787"/>
      <c r="BJ59" s="787">
        <f t="shared" si="1"/>
        <v>27578.71</v>
      </c>
      <c r="BK59" s="787"/>
      <c r="BL59" s="787"/>
      <c r="BM59" s="787"/>
      <c r="BN59" s="787">
        <v>8758.75</v>
      </c>
      <c r="BO59" s="787"/>
      <c r="BP59" s="787"/>
      <c r="BQ59" s="787">
        <f t="shared" si="2"/>
        <v>8758.75</v>
      </c>
      <c r="BR59" s="787"/>
      <c r="BS59" s="787"/>
      <c r="BT59" s="787"/>
      <c r="BU59" s="787"/>
      <c r="BV59" s="787"/>
      <c r="BW59" s="787"/>
      <c r="BX59" s="787"/>
      <c r="BY59" s="787"/>
      <c r="BZ59" s="787"/>
      <c r="CA59" s="787"/>
      <c r="CB59" s="787"/>
      <c r="CC59" s="787"/>
      <c r="CD59" s="787"/>
      <c r="CE59" s="787"/>
      <c r="CF59" s="787"/>
      <c r="CG59" s="787"/>
      <c r="CH59" s="787"/>
      <c r="CI59" s="787"/>
      <c r="CJ59" s="787"/>
      <c r="CK59" s="787"/>
      <c r="CL59" s="787"/>
      <c r="CM59" s="787"/>
      <c r="CN59" s="787"/>
      <c r="CO59" s="787"/>
      <c r="CP59" s="787"/>
      <c r="CQ59" s="787"/>
      <c r="CR59" s="787"/>
      <c r="CS59" s="787"/>
      <c r="CT59" s="787"/>
      <c r="CU59" s="787"/>
      <c r="CV59" s="787"/>
      <c r="CW59" s="787"/>
      <c r="CX59" s="787"/>
      <c r="CY59" s="787"/>
      <c r="CZ59" s="787"/>
      <c r="DA59" s="787"/>
      <c r="DB59" s="787"/>
      <c r="DC59" s="787"/>
      <c r="DD59" s="787"/>
      <c r="DE59" s="787"/>
      <c r="DF59" s="787"/>
      <c r="DG59" s="787"/>
      <c r="DH59" s="787"/>
      <c r="DI59" s="787"/>
      <c r="DJ59" s="787"/>
      <c r="DK59" s="787"/>
      <c r="DL59" s="787"/>
      <c r="DM59" s="787"/>
      <c r="DN59" s="787"/>
      <c r="DO59" s="787"/>
      <c r="DP59" s="787"/>
      <c r="DQ59" s="787"/>
      <c r="DR59" s="787"/>
      <c r="DS59" s="787"/>
      <c r="DT59" s="787"/>
      <c r="DU59" s="787"/>
      <c r="DV59" s="787"/>
      <c r="DW59" s="787"/>
      <c r="DX59" s="787"/>
      <c r="DY59" s="787"/>
      <c r="DZ59" s="787"/>
      <c r="EA59" s="787"/>
    </row>
    <row r="60" spans="1:131" ht="15.6">
      <c r="A60" s="782" t="s">
        <v>1353</v>
      </c>
      <c r="B60" s="782" t="s">
        <v>635</v>
      </c>
      <c r="C60" s="783">
        <v>7050</v>
      </c>
      <c r="D60" s="784" t="s">
        <v>636</v>
      </c>
      <c r="E60" s="785" t="s">
        <v>521</v>
      </c>
      <c r="F60" s="786">
        <v>46094</v>
      </c>
      <c r="G60" s="785" t="s">
        <v>5</v>
      </c>
      <c r="H60" s="785" t="s">
        <v>648</v>
      </c>
      <c r="I60" s="787">
        <v>1222491.4182608698</v>
      </c>
      <c r="J60" s="787">
        <v>33256.899632097804</v>
      </c>
      <c r="K60" s="787">
        <v>2096695.9007428228</v>
      </c>
      <c r="L60" s="787"/>
      <c r="M60" s="787">
        <v>54825</v>
      </c>
      <c r="N60" s="787">
        <v>0</v>
      </c>
      <c r="O60" s="787"/>
      <c r="P60" s="787"/>
      <c r="Q60" s="787">
        <v>0</v>
      </c>
      <c r="R60" s="787"/>
      <c r="S60" s="787"/>
      <c r="T60" s="787"/>
      <c r="U60" s="787"/>
      <c r="V60" s="787"/>
      <c r="W60" s="787"/>
      <c r="X60" s="787">
        <f t="shared" si="0"/>
        <v>3407269.2186357905</v>
      </c>
      <c r="Y60" s="787"/>
      <c r="Z60" s="787"/>
      <c r="AA60" s="787"/>
      <c r="AB60" s="787"/>
      <c r="AC60" s="787"/>
      <c r="AD60" s="787"/>
      <c r="AE60" s="787"/>
      <c r="AF60" s="787"/>
      <c r="AG60" s="787"/>
      <c r="AH60" s="787"/>
      <c r="AI60" s="787"/>
      <c r="AJ60" s="787"/>
      <c r="AK60" s="787"/>
      <c r="AL60" s="787"/>
      <c r="AM60" s="787"/>
      <c r="AN60" s="787"/>
      <c r="AO60" s="787">
        <v>0</v>
      </c>
      <c r="AP60" s="787"/>
      <c r="AQ60" s="787"/>
      <c r="AR60" s="787"/>
      <c r="AS60" s="787"/>
      <c r="AT60" s="787"/>
      <c r="AU60" s="787"/>
      <c r="AV60" s="787"/>
      <c r="AW60" s="787"/>
      <c r="AX60" s="787"/>
      <c r="AY60" s="787"/>
      <c r="AZ60" s="787">
        <v>0</v>
      </c>
      <c r="BA60" s="787">
        <v>3291.75</v>
      </c>
      <c r="BB60" s="787"/>
      <c r="BC60" s="787"/>
      <c r="BD60" s="787"/>
      <c r="BE60" s="787">
        <v>0</v>
      </c>
      <c r="BF60" s="787"/>
      <c r="BG60" s="787"/>
      <c r="BH60" s="787"/>
      <c r="BI60" s="787"/>
      <c r="BJ60" s="787">
        <f t="shared" si="1"/>
        <v>3291.75</v>
      </c>
      <c r="BK60" s="787"/>
      <c r="BL60" s="787"/>
      <c r="BM60" s="787"/>
      <c r="BN60" s="787">
        <v>9568.75</v>
      </c>
      <c r="BO60" s="787"/>
      <c r="BP60" s="787"/>
      <c r="BQ60" s="787">
        <f t="shared" si="2"/>
        <v>9568.75</v>
      </c>
      <c r="BR60" s="787"/>
      <c r="BS60" s="787"/>
      <c r="BT60" s="787"/>
      <c r="BU60" s="787"/>
      <c r="BV60" s="787"/>
      <c r="BW60" s="787"/>
      <c r="BX60" s="787"/>
      <c r="BY60" s="787"/>
      <c r="BZ60" s="787"/>
      <c r="CA60" s="787"/>
      <c r="CB60" s="787"/>
      <c r="CC60" s="787"/>
      <c r="CD60" s="787"/>
      <c r="CE60" s="787"/>
      <c r="CF60" s="787"/>
      <c r="CG60" s="787"/>
      <c r="CH60" s="787"/>
      <c r="CI60" s="787"/>
      <c r="CJ60" s="787"/>
      <c r="CK60" s="787"/>
      <c r="CL60" s="787"/>
      <c r="CM60" s="787"/>
      <c r="CN60" s="787"/>
      <c r="CO60" s="787"/>
      <c r="CP60" s="787"/>
      <c r="CQ60" s="787"/>
      <c r="CR60" s="787"/>
      <c r="CS60" s="787"/>
      <c r="CT60" s="787"/>
      <c r="CU60" s="787"/>
      <c r="CV60" s="787"/>
      <c r="CW60" s="787"/>
      <c r="CX60" s="787"/>
      <c r="CY60" s="787"/>
      <c r="CZ60" s="787"/>
      <c r="DA60" s="787"/>
      <c r="DB60" s="787"/>
      <c r="DC60" s="787"/>
      <c r="DD60" s="787"/>
      <c r="DE60" s="787"/>
      <c r="DF60" s="787"/>
      <c r="DG60" s="787"/>
      <c r="DH60" s="787"/>
      <c r="DI60" s="787"/>
      <c r="DJ60" s="787"/>
      <c r="DK60" s="787"/>
      <c r="DL60" s="787"/>
      <c r="DM60" s="787"/>
      <c r="DN60" s="787"/>
      <c r="DO60" s="787"/>
      <c r="DP60" s="787"/>
      <c r="DQ60" s="787"/>
      <c r="DR60" s="787"/>
      <c r="DS60" s="787"/>
      <c r="DT60" s="787"/>
      <c r="DU60" s="787"/>
      <c r="DV60" s="787"/>
      <c r="DW60" s="787"/>
      <c r="DX60" s="787"/>
      <c r="DY60" s="787"/>
      <c r="DZ60" s="787"/>
      <c r="EA60" s="787"/>
    </row>
    <row r="61" spans="1:131" ht="15.6">
      <c r="A61" s="782" t="s">
        <v>1354</v>
      </c>
      <c r="B61" s="782" t="s">
        <v>637</v>
      </c>
      <c r="C61" s="783">
        <v>1006</v>
      </c>
      <c r="D61" s="784" t="s">
        <v>638</v>
      </c>
      <c r="E61" s="785" t="s">
        <v>521</v>
      </c>
      <c r="F61" s="786">
        <v>46093</v>
      </c>
      <c r="G61" s="785" t="s">
        <v>5</v>
      </c>
      <c r="H61" s="785" t="s">
        <v>650</v>
      </c>
      <c r="I61" s="787">
        <v>593676.96537724161</v>
      </c>
      <c r="J61" s="787">
        <v>0</v>
      </c>
      <c r="K61" s="787">
        <v>117487.27052631578</v>
      </c>
      <c r="L61" s="787"/>
      <c r="M61" s="787">
        <v>0</v>
      </c>
      <c r="N61" s="787">
        <v>0</v>
      </c>
      <c r="O61" s="787"/>
      <c r="P61" s="787"/>
      <c r="Q61" s="787">
        <v>8333.5539950000039</v>
      </c>
      <c r="R61" s="787"/>
      <c r="S61" s="787"/>
      <c r="T61" s="787"/>
      <c r="U61" s="787"/>
      <c r="V61" s="787"/>
      <c r="W61" s="787"/>
      <c r="X61" s="787">
        <f t="shared" si="0"/>
        <v>719497.78989855736</v>
      </c>
      <c r="Y61" s="787"/>
      <c r="Z61" s="787"/>
      <c r="AA61" s="787"/>
      <c r="AB61" s="787"/>
      <c r="AC61" s="787"/>
      <c r="AD61" s="787"/>
      <c r="AE61" s="787"/>
      <c r="AF61" s="787"/>
      <c r="AG61" s="787"/>
      <c r="AH61" s="787"/>
      <c r="AI61" s="787"/>
      <c r="AJ61" s="787"/>
      <c r="AK61" s="787"/>
      <c r="AL61" s="787"/>
      <c r="AM61" s="787"/>
      <c r="AN61" s="787"/>
      <c r="AO61" s="787">
        <v>0</v>
      </c>
      <c r="AP61" s="787"/>
      <c r="AQ61" s="787"/>
      <c r="AR61" s="787"/>
      <c r="AS61" s="787"/>
      <c r="AT61" s="787"/>
      <c r="AU61" s="787"/>
      <c r="AV61" s="787"/>
      <c r="AW61" s="787"/>
      <c r="AX61" s="787"/>
      <c r="AY61" s="787"/>
      <c r="AZ61" s="787">
        <v>104.22999999999998</v>
      </c>
      <c r="BA61" s="787">
        <v>3291.75</v>
      </c>
      <c r="BB61" s="787"/>
      <c r="BC61" s="787"/>
      <c r="BD61" s="787"/>
      <c r="BE61" s="787">
        <v>0</v>
      </c>
      <c r="BF61" s="787"/>
      <c r="BG61" s="787"/>
      <c r="BH61" s="787"/>
      <c r="BI61" s="787"/>
      <c r="BJ61" s="787">
        <f t="shared" si="1"/>
        <v>3395.98</v>
      </c>
      <c r="BK61" s="787"/>
      <c r="BL61" s="787"/>
      <c r="BM61" s="787"/>
      <c r="BN61" s="787">
        <v>4708.75</v>
      </c>
      <c r="BO61" s="787"/>
      <c r="BP61" s="787"/>
      <c r="BQ61" s="787">
        <f t="shared" si="2"/>
        <v>4708.75</v>
      </c>
      <c r="BR61" s="787"/>
      <c r="BS61" s="787"/>
      <c r="BT61" s="787"/>
      <c r="BU61" s="787"/>
      <c r="BV61" s="787"/>
      <c r="BW61" s="787"/>
      <c r="BX61" s="787"/>
      <c r="BY61" s="787"/>
      <c r="BZ61" s="787"/>
      <c r="CA61" s="787"/>
      <c r="CB61" s="787"/>
      <c r="CC61" s="787"/>
      <c r="CD61" s="787"/>
      <c r="CE61" s="787"/>
      <c r="CF61" s="787"/>
      <c r="CG61" s="787"/>
      <c r="CH61" s="787"/>
      <c r="CI61" s="787"/>
      <c r="CJ61" s="787"/>
      <c r="CK61" s="787"/>
      <c r="CL61" s="787"/>
      <c r="CM61" s="787"/>
      <c r="CN61" s="787"/>
      <c r="CO61" s="787"/>
      <c r="CP61" s="787"/>
      <c r="CQ61" s="787"/>
      <c r="CR61" s="787"/>
      <c r="CS61" s="787"/>
      <c r="CT61" s="787"/>
      <c r="CU61" s="787"/>
      <c r="CV61" s="787"/>
      <c r="CW61" s="787"/>
      <c r="CX61" s="787"/>
      <c r="CY61" s="787"/>
      <c r="CZ61" s="787"/>
      <c r="DA61" s="787"/>
      <c r="DB61" s="787"/>
      <c r="DC61" s="787"/>
      <c r="DD61" s="787"/>
      <c r="DE61" s="787"/>
      <c r="DF61" s="787"/>
      <c r="DG61" s="787"/>
      <c r="DH61" s="787"/>
      <c r="DI61" s="787"/>
      <c r="DJ61" s="787"/>
      <c r="DK61" s="787"/>
      <c r="DL61" s="787"/>
      <c r="DM61" s="787"/>
      <c r="DN61" s="787"/>
      <c r="DO61" s="787"/>
      <c r="DP61" s="787"/>
      <c r="DQ61" s="787"/>
      <c r="DR61" s="787"/>
      <c r="DS61" s="787"/>
      <c r="DT61" s="787"/>
      <c r="DU61" s="787"/>
      <c r="DV61" s="787"/>
      <c r="DW61" s="787"/>
      <c r="DX61" s="787"/>
      <c r="DY61" s="787"/>
      <c r="DZ61" s="787"/>
      <c r="EA61" s="787"/>
    </row>
    <row r="62" spans="1:131" ht="15.6">
      <c r="A62" s="782" t="s">
        <v>1355</v>
      </c>
      <c r="B62" s="782" t="s">
        <v>886</v>
      </c>
      <c r="C62" s="783">
        <v>2079</v>
      </c>
      <c r="D62" s="784" t="s">
        <v>887</v>
      </c>
      <c r="E62" s="785" t="s">
        <v>521</v>
      </c>
      <c r="F62" s="786">
        <v>46094</v>
      </c>
      <c r="G62" s="785" t="s">
        <v>5</v>
      </c>
      <c r="H62" s="785" t="s">
        <v>822</v>
      </c>
      <c r="I62" s="787">
        <v>2006182.8603706395</v>
      </c>
      <c r="J62" s="787">
        <v>0</v>
      </c>
      <c r="K62" s="787">
        <v>189631.15266666666</v>
      </c>
      <c r="L62" s="787"/>
      <c r="M62" s="787">
        <v>218160</v>
      </c>
      <c r="N62" s="787">
        <v>47077</v>
      </c>
      <c r="O62" s="787"/>
      <c r="P62" s="787"/>
      <c r="Q62" s="787">
        <v>6679.4929149999662</v>
      </c>
      <c r="R62" s="787"/>
      <c r="S62" s="787"/>
      <c r="T62" s="787"/>
      <c r="U62" s="787"/>
      <c r="V62" s="787"/>
      <c r="W62" s="787"/>
      <c r="X62" s="787">
        <f t="shared" si="0"/>
        <v>2467730.5059523061</v>
      </c>
      <c r="Y62" s="787"/>
      <c r="Z62" s="787"/>
      <c r="AA62" s="787"/>
      <c r="AB62" s="787"/>
      <c r="AC62" s="787"/>
      <c r="AD62" s="787"/>
      <c r="AE62" s="787"/>
      <c r="AF62" s="787"/>
      <c r="AG62" s="787"/>
      <c r="AH62" s="787"/>
      <c r="AI62" s="787"/>
      <c r="AJ62" s="787"/>
      <c r="AK62" s="787"/>
      <c r="AL62" s="787"/>
      <c r="AM62" s="787"/>
      <c r="AN62" s="787"/>
      <c r="AO62" s="787">
        <v>23115.159999999993</v>
      </c>
      <c r="AP62" s="787"/>
      <c r="AQ62" s="787"/>
      <c r="AR62" s="787"/>
      <c r="AS62" s="787"/>
      <c r="AT62" s="787"/>
      <c r="AU62" s="787"/>
      <c r="AV62" s="787"/>
      <c r="AW62" s="787"/>
      <c r="AX62" s="787"/>
      <c r="AY62" s="787"/>
      <c r="AZ62" s="787">
        <v>6.209999999999992</v>
      </c>
      <c r="BA62" s="787">
        <v>8775</v>
      </c>
      <c r="BB62" s="787"/>
      <c r="BC62" s="787"/>
      <c r="BD62" s="787"/>
      <c r="BE62" s="787">
        <v>8475.9999999999982</v>
      </c>
      <c r="BF62" s="787"/>
      <c r="BG62" s="787"/>
      <c r="BH62" s="787"/>
      <c r="BI62" s="787"/>
      <c r="BJ62" s="787">
        <f t="shared" si="1"/>
        <v>40372.369999999988</v>
      </c>
      <c r="BK62" s="787"/>
      <c r="BL62" s="787"/>
      <c r="BM62" s="787"/>
      <c r="BN62" s="787">
        <v>7948.75</v>
      </c>
      <c r="BO62" s="787"/>
      <c r="BP62" s="787"/>
      <c r="BQ62" s="787">
        <f t="shared" si="2"/>
        <v>7948.75</v>
      </c>
      <c r="BR62" s="787"/>
      <c r="BS62" s="787"/>
      <c r="BT62" s="787"/>
      <c r="BU62" s="787"/>
      <c r="BV62" s="787"/>
      <c r="BW62" s="787"/>
      <c r="BX62" s="787"/>
      <c r="BY62" s="787"/>
      <c r="BZ62" s="787"/>
      <c r="CA62" s="787"/>
      <c r="CB62" s="787"/>
      <c r="CC62" s="787"/>
      <c r="CD62" s="787"/>
      <c r="CE62" s="787"/>
      <c r="CF62" s="787"/>
      <c r="CG62" s="787"/>
      <c r="CH62" s="787"/>
      <c r="CI62" s="787"/>
      <c r="CJ62" s="787"/>
      <c r="CK62" s="787"/>
      <c r="CL62" s="787"/>
      <c r="CM62" s="787"/>
      <c r="CN62" s="787"/>
      <c r="CO62" s="787"/>
      <c r="CP62" s="787"/>
      <c r="CQ62" s="787"/>
      <c r="CR62" s="787"/>
      <c r="CS62" s="787"/>
      <c r="CT62" s="787"/>
      <c r="CU62" s="787"/>
      <c r="CV62" s="787"/>
      <c r="CW62" s="787"/>
      <c r="CX62" s="787"/>
      <c r="CY62" s="787"/>
      <c r="CZ62" s="787"/>
      <c r="DA62" s="787"/>
      <c r="DB62" s="787"/>
      <c r="DC62" s="787"/>
      <c r="DD62" s="787"/>
      <c r="DE62" s="787"/>
      <c r="DF62" s="787"/>
      <c r="DG62" s="787"/>
      <c r="DH62" s="787"/>
      <c r="DI62" s="787"/>
      <c r="DJ62" s="787"/>
      <c r="DK62" s="787"/>
      <c r="DL62" s="787"/>
      <c r="DM62" s="787"/>
      <c r="DN62" s="787"/>
      <c r="DO62" s="787"/>
      <c r="DP62" s="787"/>
      <c r="DQ62" s="787"/>
      <c r="DR62" s="787"/>
      <c r="DS62" s="787"/>
      <c r="DT62" s="787"/>
      <c r="DU62" s="787"/>
      <c r="DV62" s="787"/>
      <c r="DW62" s="787"/>
      <c r="DX62" s="787"/>
      <c r="DY62" s="787"/>
      <c r="DZ62" s="787"/>
      <c r="EA62" s="787"/>
    </row>
    <row r="63" spans="1:131" ht="15.6">
      <c r="A63" s="782" t="s">
        <v>1356</v>
      </c>
      <c r="B63" s="782" t="s">
        <v>639</v>
      </c>
      <c r="C63" s="783">
        <v>2081</v>
      </c>
      <c r="D63" s="784" t="s">
        <v>640</v>
      </c>
      <c r="E63" s="785" t="s">
        <v>521</v>
      </c>
      <c r="F63" s="786">
        <v>46094</v>
      </c>
      <c r="G63" s="785" t="s">
        <v>5</v>
      </c>
      <c r="H63" s="785" t="s">
        <v>652</v>
      </c>
      <c r="I63" s="787">
        <v>2266806.5943344748</v>
      </c>
      <c r="J63" s="787">
        <v>0</v>
      </c>
      <c r="K63" s="787">
        <v>174381.51666666666</v>
      </c>
      <c r="L63" s="787"/>
      <c r="M63" s="787">
        <v>238920</v>
      </c>
      <c r="N63" s="787">
        <v>73063</v>
      </c>
      <c r="O63" s="787"/>
      <c r="P63" s="787"/>
      <c r="Q63" s="787">
        <v>8152.9468550000702</v>
      </c>
      <c r="R63" s="787"/>
      <c r="S63" s="787"/>
      <c r="T63" s="787"/>
      <c r="U63" s="787"/>
      <c r="V63" s="787"/>
      <c r="W63" s="787"/>
      <c r="X63" s="787">
        <f t="shared" si="0"/>
        <v>2761324.0578561416</v>
      </c>
      <c r="Y63" s="787"/>
      <c r="Z63" s="787"/>
      <c r="AA63" s="787"/>
      <c r="AB63" s="787"/>
      <c r="AC63" s="787"/>
      <c r="AD63" s="787"/>
      <c r="AE63" s="787"/>
      <c r="AF63" s="787"/>
      <c r="AG63" s="787"/>
      <c r="AH63" s="787"/>
      <c r="AI63" s="787"/>
      <c r="AJ63" s="787"/>
      <c r="AK63" s="787"/>
      <c r="AL63" s="787"/>
      <c r="AM63" s="787"/>
      <c r="AN63" s="787"/>
      <c r="AO63" s="787">
        <v>41339.75</v>
      </c>
      <c r="AP63" s="787"/>
      <c r="AQ63" s="787"/>
      <c r="AR63" s="787"/>
      <c r="AS63" s="787"/>
      <c r="AT63" s="787"/>
      <c r="AU63" s="787"/>
      <c r="AV63" s="787"/>
      <c r="AW63" s="787"/>
      <c r="AX63" s="787"/>
      <c r="AY63" s="787"/>
      <c r="AZ63" s="787">
        <v>118.94</v>
      </c>
      <c r="BA63" s="787">
        <v>9471</v>
      </c>
      <c r="BB63" s="787"/>
      <c r="BC63" s="787"/>
      <c r="BD63" s="787"/>
      <c r="BE63" s="787">
        <v>10875.36</v>
      </c>
      <c r="BF63" s="787"/>
      <c r="BG63" s="787"/>
      <c r="BH63" s="787"/>
      <c r="BI63" s="787"/>
      <c r="BJ63" s="787">
        <f t="shared" si="1"/>
        <v>61805.05</v>
      </c>
      <c r="BK63" s="787"/>
      <c r="BL63" s="787"/>
      <c r="BM63" s="787"/>
      <c r="BN63" s="787">
        <v>8713.75</v>
      </c>
      <c r="BO63" s="787"/>
      <c r="BP63" s="787"/>
      <c r="BQ63" s="787">
        <f t="shared" si="2"/>
        <v>8713.75</v>
      </c>
      <c r="BR63" s="787"/>
      <c r="BS63" s="787"/>
      <c r="BT63" s="787"/>
      <c r="BU63" s="787"/>
      <c r="BV63" s="787"/>
      <c r="BW63" s="787"/>
      <c r="BX63" s="787"/>
      <c r="BY63" s="787"/>
      <c r="BZ63" s="787"/>
      <c r="CA63" s="787"/>
      <c r="CB63" s="787"/>
      <c r="CC63" s="787"/>
      <c r="CD63" s="787"/>
      <c r="CE63" s="787"/>
      <c r="CF63" s="787"/>
      <c r="CG63" s="787"/>
      <c r="CH63" s="787"/>
      <c r="CI63" s="787"/>
      <c r="CJ63" s="787"/>
      <c r="CK63" s="787"/>
      <c r="CL63" s="787"/>
      <c r="CM63" s="787"/>
      <c r="CN63" s="787"/>
      <c r="CO63" s="787"/>
      <c r="CP63" s="787"/>
      <c r="CQ63" s="787"/>
      <c r="CR63" s="787"/>
      <c r="CS63" s="787"/>
      <c r="CT63" s="787"/>
      <c r="CU63" s="787"/>
      <c r="CV63" s="787"/>
      <c r="CW63" s="787"/>
      <c r="CX63" s="787"/>
      <c r="CY63" s="787"/>
      <c r="CZ63" s="787"/>
      <c r="DA63" s="787"/>
      <c r="DB63" s="787"/>
      <c r="DC63" s="787"/>
      <c r="DD63" s="787"/>
      <c r="DE63" s="787"/>
      <c r="DF63" s="787"/>
      <c r="DG63" s="787"/>
      <c r="DH63" s="787"/>
      <c r="DI63" s="787"/>
      <c r="DJ63" s="787"/>
      <c r="DK63" s="787"/>
      <c r="DL63" s="787"/>
      <c r="DM63" s="787"/>
      <c r="DN63" s="787"/>
      <c r="DO63" s="787"/>
      <c r="DP63" s="787"/>
      <c r="DQ63" s="787"/>
      <c r="DR63" s="787"/>
      <c r="DS63" s="787"/>
      <c r="DT63" s="787"/>
      <c r="DU63" s="787"/>
      <c r="DV63" s="787"/>
      <c r="DW63" s="787"/>
      <c r="DX63" s="787"/>
      <c r="DY63" s="787"/>
      <c r="DZ63" s="787"/>
      <c r="EA63" s="787"/>
    </row>
    <row r="64" spans="1:131" ht="15.6">
      <c r="A64" s="782" t="s">
        <v>1357</v>
      </c>
      <c r="B64" s="782" t="s">
        <v>641</v>
      </c>
      <c r="C64" s="783">
        <v>2296</v>
      </c>
      <c r="D64" s="784" t="s">
        <v>642</v>
      </c>
      <c r="E64" s="785" t="s">
        <v>521</v>
      </c>
      <c r="F64" s="786">
        <v>46094</v>
      </c>
      <c r="G64" s="785" t="s">
        <v>5</v>
      </c>
      <c r="H64" s="785" t="s">
        <v>654</v>
      </c>
      <c r="I64" s="787">
        <v>1547563.2674120143</v>
      </c>
      <c r="J64" s="787">
        <v>0</v>
      </c>
      <c r="K64" s="787">
        <v>113003.65666666668</v>
      </c>
      <c r="L64" s="787"/>
      <c r="M64" s="787">
        <v>152215</v>
      </c>
      <c r="N64" s="787">
        <v>61419.18</v>
      </c>
      <c r="O64" s="787"/>
      <c r="P64" s="787"/>
      <c r="Q64" s="787">
        <v>0</v>
      </c>
      <c r="R64" s="787"/>
      <c r="S64" s="787"/>
      <c r="T64" s="787"/>
      <c r="U64" s="787"/>
      <c r="V64" s="787"/>
      <c r="W64" s="787"/>
      <c r="X64" s="787">
        <f t="shared" si="0"/>
        <v>1874201.104078681</v>
      </c>
      <c r="Y64" s="787"/>
      <c r="Z64" s="787"/>
      <c r="AA64" s="787"/>
      <c r="AB64" s="787"/>
      <c r="AC64" s="787"/>
      <c r="AD64" s="787"/>
      <c r="AE64" s="787"/>
      <c r="AF64" s="787"/>
      <c r="AG64" s="787"/>
      <c r="AH64" s="787"/>
      <c r="AI64" s="787"/>
      <c r="AJ64" s="787"/>
      <c r="AK64" s="787"/>
      <c r="AL64" s="787"/>
      <c r="AM64" s="787"/>
      <c r="AN64" s="787"/>
      <c r="AO64" s="787">
        <v>31269.810000000009</v>
      </c>
      <c r="AP64" s="787"/>
      <c r="AQ64" s="787"/>
      <c r="AR64" s="787"/>
      <c r="AS64" s="787"/>
      <c r="AT64" s="787"/>
      <c r="AU64" s="787"/>
      <c r="AV64" s="787"/>
      <c r="AW64" s="787"/>
      <c r="AX64" s="787"/>
      <c r="AY64" s="787"/>
      <c r="AZ64" s="787">
        <v>0</v>
      </c>
      <c r="BA64" s="787">
        <v>5139.75</v>
      </c>
      <c r="BB64" s="787"/>
      <c r="BC64" s="787"/>
      <c r="BD64" s="787"/>
      <c r="BE64" s="787">
        <v>6754.72</v>
      </c>
      <c r="BF64" s="787"/>
      <c r="BG64" s="787"/>
      <c r="BH64" s="787"/>
      <c r="BI64" s="787"/>
      <c r="BJ64" s="787">
        <f t="shared" si="1"/>
        <v>43164.280000000013</v>
      </c>
      <c r="BK64" s="787"/>
      <c r="BL64" s="787"/>
      <c r="BM64" s="787"/>
      <c r="BN64" s="787">
        <v>7262.5</v>
      </c>
      <c r="BO64" s="787"/>
      <c r="BP64" s="787"/>
      <c r="BQ64" s="787">
        <f t="shared" si="2"/>
        <v>7262.5</v>
      </c>
      <c r="BR64" s="787"/>
      <c r="BS64" s="787"/>
      <c r="BT64" s="787"/>
      <c r="BU64" s="787"/>
      <c r="BV64" s="787"/>
      <c r="BW64" s="787"/>
      <c r="BX64" s="787"/>
      <c r="BY64" s="787"/>
      <c r="BZ64" s="787"/>
      <c r="CA64" s="787"/>
      <c r="CB64" s="787"/>
      <c r="CC64" s="787"/>
      <c r="CD64" s="787"/>
      <c r="CE64" s="787"/>
      <c r="CF64" s="787"/>
      <c r="CG64" s="787"/>
      <c r="CH64" s="787"/>
      <c r="CI64" s="787"/>
      <c r="CJ64" s="787"/>
      <c r="CK64" s="787"/>
      <c r="CL64" s="787"/>
      <c r="CM64" s="787"/>
      <c r="CN64" s="787"/>
      <c r="CO64" s="787"/>
      <c r="CP64" s="787"/>
      <c r="CQ64" s="787"/>
      <c r="CR64" s="787"/>
      <c r="CS64" s="787"/>
      <c r="CT64" s="787"/>
      <c r="CU64" s="787"/>
      <c r="CV64" s="787"/>
      <c r="CW64" s="787"/>
      <c r="CX64" s="787"/>
      <c r="CY64" s="787"/>
      <c r="CZ64" s="787"/>
      <c r="DA64" s="787"/>
      <c r="DB64" s="787"/>
      <c r="DC64" s="787"/>
      <c r="DD64" s="787"/>
      <c r="DE64" s="787"/>
      <c r="DF64" s="787"/>
      <c r="DG64" s="787"/>
      <c r="DH64" s="787"/>
      <c r="DI64" s="787"/>
      <c r="DJ64" s="787"/>
      <c r="DK64" s="787"/>
      <c r="DL64" s="787"/>
      <c r="DM64" s="787"/>
      <c r="DN64" s="787"/>
      <c r="DO64" s="787"/>
      <c r="DP64" s="787"/>
      <c r="DQ64" s="787"/>
      <c r="DR64" s="787"/>
      <c r="DS64" s="787"/>
      <c r="DT64" s="787"/>
      <c r="DU64" s="787"/>
      <c r="DV64" s="787"/>
      <c r="DW64" s="787"/>
      <c r="DX64" s="787"/>
      <c r="DY64" s="787"/>
      <c r="DZ64" s="787"/>
      <c r="EA64" s="787"/>
    </row>
    <row r="65" spans="1:131" ht="15.6">
      <c r="A65" s="782" t="s">
        <v>1358</v>
      </c>
      <c r="B65" s="782" t="s">
        <v>644</v>
      </c>
      <c r="C65" s="783">
        <v>1015</v>
      </c>
      <c r="D65" s="784" t="s">
        <v>645</v>
      </c>
      <c r="E65" s="785" t="s">
        <v>521</v>
      </c>
      <c r="F65" s="786" t="s">
        <v>1305</v>
      </c>
      <c r="G65" s="785" t="s">
        <v>5</v>
      </c>
      <c r="H65" s="785" t="s">
        <v>656</v>
      </c>
      <c r="I65" s="787">
        <v>755584.78906605917</v>
      </c>
      <c r="J65" s="787">
        <v>0</v>
      </c>
      <c r="K65" s="787">
        <v>56448.539328531857</v>
      </c>
      <c r="L65" s="787"/>
      <c r="M65" s="787">
        <v>0</v>
      </c>
      <c r="N65" s="787">
        <v>0</v>
      </c>
      <c r="O65" s="787"/>
      <c r="P65" s="787"/>
      <c r="Q65" s="787">
        <v>11997.49541999999</v>
      </c>
      <c r="R65" s="787"/>
      <c r="S65" s="787"/>
      <c r="T65" s="787"/>
      <c r="U65" s="787"/>
      <c r="V65" s="787"/>
      <c r="W65" s="787"/>
      <c r="X65" s="787">
        <f t="shared" si="0"/>
        <v>824030.82381459093</v>
      </c>
      <c r="Y65" s="787"/>
      <c r="Z65" s="787"/>
      <c r="AA65" s="787"/>
      <c r="AB65" s="787"/>
      <c r="AC65" s="787"/>
      <c r="AD65" s="787"/>
      <c r="AE65" s="787"/>
      <c r="AF65" s="787"/>
      <c r="AG65" s="787"/>
      <c r="AH65" s="787"/>
      <c r="AI65" s="787"/>
      <c r="AJ65" s="787"/>
      <c r="AK65" s="787"/>
      <c r="AL65" s="787"/>
      <c r="AM65" s="787"/>
      <c r="AN65" s="787"/>
      <c r="AO65" s="787">
        <v>0</v>
      </c>
      <c r="AP65" s="787"/>
      <c r="AQ65" s="787"/>
      <c r="AR65" s="787"/>
      <c r="AS65" s="787"/>
      <c r="AT65" s="787"/>
      <c r="AU65" s="787"/>
      <c r="AV65" s="787"/>
      <c r="AW65" s="787"/>
      <c r="AX65" s="787"/>
      <c r="AY65" s="787"/>
      <c r="AZ65" s="787">
        <v>63.539999999999971</v>
      </c>
      <c r="BA65" s="787">
        <v>3291.75</v>
      </c>
      <c r="BB65" s="787"/>
      <c r="BC65" s="787"/>
      <c r="BD65" s="787"/>
      <c r="BE65" s="787">
        <v>0</v>
      </c>
      <c r="BF65" s="787"/>
      <c r="BG65" s="787"/>
      <c r="BH65" s="787"/>
      <c r="BI65" s="787"/>
      <c r="BJ65" s="787">
        <f t="shared" si="1"/>
        <v>3355.29</v>
      </c>
      <c r="BK65" s="787"/>
      <c r="BL65" s="787"/>
      <c r="BM65" s="787"/>
      <c r="BN65" s="787">
        <v>4918</v>
      </c>
      <c r="BO65" s="787"/>
      <c r="BP65" s="787"/>
      <c r="BQ65" s="787">
        <f t="shared" si="2"/>
        <v>4918</v>
      </c>
      <c r="BR65" s="787"/>
      <c r="BS65" s="787"/>
      <c r="BT65" s="787"/>
      <c r="BU65" s="787"/>
      <c r="BV65" s="787"/>
      <c r="BW65" s="787"/>
      <c r="BX65" s="787"/>
      <c r="BY65" s="787"/>
      <c r="BZ65" s="787"/>
      <c r="CA65" s="787"/>
      <c r="CB65" s="787"/>
      <c r="CC65" s="787"/>
      <c r="CD65" s="787"/>
      <c r="CE65" s="787"/>
      <c r="CF65" s="787"/>
      <c r="CG65" s="787"/>
      <c r="CH65" s="787"/>
      <c r="CI65" s="787"/>
      <c r="CJ65" s="787"/>
      <c r="CK65" s="787"/>
      <c r="CL65" s="787"/>
      <c r="CM65" s="787"/>
      <c r="CN65" s="787"/>
      <c r="CO65" s="787"/>
      <c r="CP65" s="787"/>
      <c r="CQ65" s="787"/>
      <c r="CR65" s="787"/>
      <c r="CS65" s="787"/>
      <c r="CT65" s="787"/>
      <c r="CU65" s="787"/>
      <c r="CV65" s="787"/>
      <c r="CW65" s="787"/>
      <c r="CX65" s="787"/>
      <c r="CY65" s="787"/>
      <c r="CZ65" s="787"/>
      <c r="DA65" s="787"/>
      <c r="DB65" s="787"/>
      <c r="DC65" s="787"/>
      <c r="DD65" s="787"/>
      <c r="DE65" s="787"/>
      <c r="DF65" s="787"/>
      <c r="DG65" s="787"/>
      <c r="DH65" s="787"/>
      <c r="DI65" s="787"/>
      <c r="DJ65" s="787"/>
      <c r="DK65" s="787"/>
      <c r="DL65" s="787"/>
      <c r="DM65" s="787"/>
      <c r="DN65" s="787"/>
      <c r="DO65" s="787"/>
      <c r="DP65" s="787"/>
      <c r="DQ65" s="787"/>
      <c r="DR65" s="787"/>
      <c r="DS65" s="787"/>
      <c r="DT65" s="787"/>
      <c r="DU65" s="787"/>
      <c r="DV65" s="787"/>
      <c r="DW65" s="787"/>
      <c r="DX65" s="787"/>
      <c r="DY65" s="787"/>
      <c r="DZ65" s="787"/>
      <c r="EA65" s="787"/>
    </row>
    <row r="66" spans="1:131" ht="15.6">
      <c r="A66" s="782" t="s">
        <v>1359</v>
      </c>
      <c r="B66" s="782" t="s">
        <v>646</v>
      </c>
      <c r="C66" s="783">
        <v>1022</v>
      </c>
      <c r="D66" s="784" t="s">
        <v>647</v>
      </c>
      <c r="E66" s="785" t="s">
        <v>521</v>
      </c>
      <c r="F66" s="786" t="s">
        <v>1322</v>
      </c>
      <c r="G66" s="785" t="s">
        <v>5</v>
      </c>
      <c r="H66" s="785" t="s">
        <v>658</v>
      </c>
      <c r="I66" s="787">
        <v>651662.36962430645</v>
      </c>
      <c r="J66" s="787">
        <v>0</v>
      </c>
      <c r="K66" s="787">
        <v>42695.173125577101</v>
      </c>
      <c r="L66" s="787"/>
      <c r="M66" s="787">
        <v>0</v>
      </c>
      <c r="N66" s="787">
        <v>856.93</v>
      </c>
      <c r="O66" s="787"/>
      <c r="P66" s="787"/>
      <c r="Q66" s="787">
        <v>0</v>
      </c>
      <c r="R66" s="787"/>
      <c r="S66" s="787"/>
      <c r="T66" s="787"/>
      <c r="U66" s="787"/>
      <c r="V66" s="787"/>
      <c r="W66" s="787"/>
      <c r="X66" s="787">
        <f t="shared" si="0"/>
        <v>695214.47274988366</v>
      </c>
      <c r="Y66" s="787"/>
      <c r="Z66" s="787"/>
      <c r="AA66" s="787"/>
      <c r="AB66" s="787"/>
      <c r="AC66" s="787"/>
      <c r="AD66" s="787"/>
      <c r="AE66" s="787"/>
      <c r="AF66" s="787"/>
      <c r="AG66" s="787"/>
      <c r="AH66" s="787"/>
      <c r="AI66" s="787"/>
      <c r="AJ66" s="787"/>
      <c r="AK66" s="787"/>
      <c r="AL66" s="787"/>
      <c r="AM66" s="787"/>
      <c r="AN66" s="787"/>
      <c r="AO66" s="787">
        <v>0</v>
      </c>
      <c r="AP66" s="787"/>
      <c r="AQ66" s="787"/>
      <c r="AR66" s="787"/>
      <c r="AS66" s="787"/>
      <c r="AT66" s="787"/>
      <c r="AU66" s="787"/>
      <c r="AV66" s="787"/>
      <c r="AW66" s="787"/>
      <c r="AX66" s="787"/>
      <c r="AY66" s="787"/>
      <c r="AZ66" s="787">
        <v>0</v>
      </c>
      <c r="BA66" s="787">
        <v>3291.75</v>
      </c>
      <c r="BB66" s="787"/>
      <c r="BC66" s="787"/>
      <c r="BD66" s="787"/>
      <c r="BE66" s="787">
        <v>0</v>
      </c>
      <c r="BF66" s="787"/>
      <c r="BG66" s="787"/>
      <c r="BH66" s="787"/>
      <c r="BI66" s="787"/>
      <c r="BJ66" s="787">
        <f t="shared" si="1"/>
        <v>3291.75</v>
      </c>
      <c r="BK66" s="787"/>
      <c r="BL66" s="787"/>
      <c r="BM66" s="787"/>
      <c r="BN66" s="787">
        <v>4708.75</v>
      </c>
      <c r="BO66" s="787"/>
      <c r="BP66" s="787"/>
      <c r="BQ66" s="787">
        <f t="shared" si="2"/>
        <v>4708.75</v>
      </c>
      <c r="BR66" s="787"/>
      <c r="BS66" s="787"/>
      <c r="BT66" s="787"/>
      <c r="BU66" s="787"/>
      <c r="BV66" s="787"/>
      <c r="BW66" s="787"/>
      <c r="BX66" s="787"/>
      <c r="BY66" s="787"/>
      <c r="BZ66" s="787"/>
      <c r="CA66" s="787"/>
      <c r="CB66" s="787"/>
      <c r="CC66" s="787"/>
      <c r="CD66" s="787"/>
      <c r="CE66" s="787"/>
      <c r="CF66" s="787"/>
      <c r="CG66" s="787"/>
      <c r="CH66" s="787"/>
      <c r="CI66" s="787"/>
      <c r="CJ66" s="787"/>
      <c r="CK66" s="787"/>
      <c r="CL66" s="787"/>
      <c r="CM66" s="787"/>
      <c r="CN66" s="787"/>
      <c r="CO66" s="787"/>
      <c r="CP66" s="787"/>
      <c r="CQ66" s="787"/>
      <c r="CR66" s="787"/>
      <c r="CS66" s="787"/>
      <c r="CT66" s="787"/>
      <c r="CU66" s="787"/>
      <c r="CV66" s="787"/>
      <c r="CW66" s="787"/>
      <c r="CX66" s="787"/>
      <c r="CY66" s="787"/>
      <c r="CZ66" s="787"/>
      <c r="DA66" s="787"/>
      <c r="DB66" s="787"/>
      <c r="DC66" s="787"/>
      <c r="DD66" s="787"/>
      <c r="DE66" s="787"/>
      <c r="DF66" s="787"/>
      <c r="DG66" s="787"/>
      <c r="DH66" s="787"/>
      <c r="DI66" s="787"/>
      <c r="DJ66" s="787"/>
      <c r="DK66" s="787"/>
      <c r="DL66" s="787"/>
      <c r="DM66" s="787"/>
      <c r="DN66" s="787"/>
      <c r="DO66" s="787"/>
      <c r="DP66" s="787"/>
      <c r="DQ66" s="787"/>
      <c r="DR66" s="787"/>
      <c r="DS66" s="787"/>
      <c r="DT66" s="787"/>
      <c r="DU66" s="787"/>
      <c r="DV66" s="787"/>
      <c r="DW66" s="787"/>
      <c r="DX66" s="787"/>
      <c r="DY66" s="787"/>
      <c r="DZ66" s="787"/>
      <c r="EA66" s="787"/>
    </row>
    <row r="67" spans="1:131" ht="15.6">
      <c r="A67" s="782" t="s">
        <v>1360</v>
      </c>
      <c r="B67" s="782" t="s">
        <v>648</v>
      </c>
      <c r="C67" s="783">
        <v>2087</v>
      </c>
      <c r="D67" s="784" t="s">
        <v>649</v>
      </c>
      <c r="E67" s="785" t="s">
        <v>521</v>
      </c>
      <c r="F67" s="786">
        <v>46094</v>
      </c>
      <c r="G67" s="785" t="s">
        <v>5</v>
      </c>
      <c r="H67" s="785" t="s">
        <v>660</v>
      </c>
      <c r="I67" s="787">
        <v>2185131.2484113569</v>
      </c>
      <c r="J67" s="787">
        <v>0</v>
      </c>
      <c r="K67" s="787">
        <v>161355.87333333332</v>
      </c>
      <c r="L67" s="787"/>
      <c r="M67" s="787">
        <v>283305</v>
      </c>
      <c r="N67" s="787">
        <v>46082</v>
      </c>
      <c r="O67" s="787"/>
      <c r="P67" s="787"/>
      <c r="Q67" s="787">
        <v>16294.458795000057</v>
      </c>
      <c r="R67" s="787"/>
      <c r="S67" s="787"/>
      <c r="T67" s="787"/>
      <c r="U67" s="787"/>
      <c r="V67" s="787"/>
      <c r="W67" s="787"/>
      <c r="X67" s="787">
        <f t="shared" si="0"/>
        <v>2692168.5805396903</v>
      </c>
      <c r="Y67" s="787"/>
      <c r="Z67" s="787"/>
      <c r="AA67" s="787"/>
      <c r="AB67" s="787"/>
      <c r="AC67" s="787"/>
      <c r="AD67" s="787"/>
      <c r="AE67" s="787"/>
      <c r="AF67" s="787"/>
      <c r="AG67" s="787"/>
      <c r="AH67" s="787"/>
      <c r="AI67" s="787"/>
      <c r="AJ67" s="787"/>
      <c r="AK67" s="787"/>
      <c r="AL67" s="787"/>
      <c r="AM67" s="787"/>
      <c r="AN67" s="787"/>
      <c r="AO67" s="787">
        <v>25826.990000000009</v>
      </c>
      <c r="AP67" s="787"/>
      <c r="AQ67" s="787"/>
      <c r="AR67" s="787"/>
      <c r="AS67" s="787"/>
      <c r="AT67" s="787"/>
      <c r="AU67" s="787"/>
      <c r="AV67" s="787"/>
      <c r="AW67" s="787"/>
      <c r="AX67" s="787"/>
      <c r="AY67" s="787"/>
      <c r="AZ67" s="787">
        <v>42.77000000000001</v>
      </c>
      <c r="BA67" s="787">
        <v>9471</v>
      </c>
      <c r="BB67" s="787"/>
      <c r="BC67" s="787"/>
      <c r="BD67" s="787"/>
      <c r="BE67" s="787">
        <v>8841.1200000000008</v>
      </c>
      <c r="BF67" s="787"/>
      <c r="BG67" s="787"/>
      <c r="BH67" s="787"/>
      <c r="BI67" s="787"/>
      <c r="BJ67" s="787">
        <f t="shared" si="1"/>
        <v>44181.880000000012</v>
      </c>
      <c r="BK67" s="787"/>
      <c r="BL67" s="787"/>
      <c r="BM67" s="787"/>
      <c r="BN67" s="787">
        <v>8106.25</v>
      </c>
      <c r="BO67" s="787"/>
      <c r="BP67" s="787"/>
      <c r="BQ67" s="787">
        <f t="shared" si="2"/>
        <v>8106.25</v>
      </c>
      <c r="BR67" s="787"/>
      <c r="BS67" s="787"/>
      <c r="BT67" s="787"/>
      <c r="BU67" s="787"/>
      <c r="BV67" s="787"/>
      <c r="BW67" s="787"/>
      <c r="BX67" s="787"/>
      <c r="BY67" s="787"/>
      <c r="BZ67" s="787"/>
      <c r="CA67" s="787"/>
      <c r="CB67" s="787"/>
      <c r="CC67" s="787"/>
      <c r="CD67" s="787"/>
      <c r="CE67" s="787"/>
      <c r="CF67" s="787"/>
      <c r="CG67" s="787"/>
      <c r="CH67" s="787"/>
      <c r="CI67" s="787"/>
      <c r="CJ67" s="787"/>
      <c r="CK67" s="787"/>
      <c r="CL67" s="787"/>
      <c r="CM67" s="787"/>
      <c r="CN67" s="787"/>
      <c r="CO67" s="787"/>
      <c r="CP67" s="787"/>
      <c r="CQ67" s="787"/>
      <c r="CR67" s="787"/>
      <c r="CS67" s="787"/>
      <c r="CT67" s="787"/>
      <c r="CU67" s="787"/>
      <c r="CV67" s="787"/>
      <c r="CW67" s="787"/>
      <c r="CX67" s="787"/>
      <c r="CY67" s="787"/>
      <c r="CZ67" s="787"/>
      <c r="DA67" s="787"/>
      <c r="DB67" s="787"/>
      <c r="DC67" s="787"/>
      <c r="DD67" s="787"/>
      <c r="DE67" s="787"/>
      <c r="DF67" s="787"/>
      <c r="DG67" s="787"/>
      <c r="DH67" s="787"/>
      <c r="DI67" s="787"/>
      <c r="DJ67" s="787"/>
      <c r="DK67" s="787"/>
      <c r="DL67" s="787"/>
      <c r="DM67" s="787"/>
      <c r="DN67" s="787"/>
      <c r="DO67" s="787"/>
      <c r="DP67" s="787"/>
      <c r="DQ67" s="787"/>
      <c r="DR67" s="787"/>
      <c r="DS67" s="787"/>
      <c r="DT67" s="787"/>
      <c r="DU67" s="787"/>
      <c r="DV67" s="787"/>
      <c r="DW67" s="787"/>
      <c r="DX67" s="787"/>
      <c r="DY67" s="787"/>
      <c r="DZ67" s="787"/>
      <c r="EA67" s="787"/>
    </row>
    <row r="68" spans="1:131" ht="15.6">
      <c r="A68" s="782" t="s">
        <v>1361</v>
      </c>
      <c r="B68" s="782" t="s">
        <v>650</v>
      </c>
      <c r="C68" s="783">
        <v>2466</v>
      </c>
      <c r="D68" s="784" t="s">
        <v>651</v>
      </c>
      <c r="E68" s="785" t="s">
        <v>521</v>
      </c>
      <c r="F68" s="786">
        <v>46090</v>
      </c>
      <c r="G68" s="785" t="s">
        <v>5</v>
      </c>
      <c r="H68" s="785" t="s">
        <v>662</v>
      </c>
      <c r="I68" s="787">
        <v>3934757.7949291272</v>
      </c>
      <c r="J68" s="787">
        <v>0</v>
      </c>
      <c r="K68" s="787">
        <v>148548.47666666665</v>
      </c>
      <c r="L68" s="787"/>
      <c r="M68" s="787">
        <v>489345</v>
      </c>
      <c r="N68" s="787">
        <v>76644.72</v>
      </c>
      <c r="O68" s="787"/>
      <c r="P68" s="787"/>
      <c r="Q68" s="787">
        <v>49716.332849999992</v>
      </c>
      <c r="R68" s="787"/>
      <c r="S68" s="787"/>
      <c r="T68" s="787"/>
      <c r="U68" s="787"/>
      <c r="V68" s="787"/>
      <c r="W68" s="787"/>
      <c r="X68" s="787">
        <f t="shared" si="0"/>
        <v>4699012.3244457934</v>
      </c>
      <c r="Y68" s="787"/>
      <c r="Z68" s="787"/>
      <c r="AA68" s="787"/>
      <c r="AB68" s="787"/>
      <c r="AC68" s="787"/>
      <c r="AD68" s="787"/>
      <c r="AE68" s="787"/>
      <c r="AF68" s="787"/>
      <c r="AG68" s="787"/>
      <c r="AH68" s="787"/>
      <c r="AI68" s="787"/>
      <c r="AJ68" s="787"/>
      <c r="AK68" s="787"/>
      <c r="AL68" s="787"/>
      <c r="AM68" s="787"/>
      <c r="AN68" s="787"/>
      <c r="AO68" s="787">
        <v>30739.81</v>
      </c>
      <c r="AP68" s="787"/>
      <c r="AQ68" s="787"/>
      <c r="AR68" s="787"/>
      <c r="AS68" s="787"/>
      <c r="AT68" s="787"/>
      <c r="AU68" s="787"/>
      <c r="AV68" s="787"/>
      <c r="AW68" s="787"/>
      <c r="AX68" s="787"/>
      <c r="AY68" s="787"/>
      <c r="AZ68" s="787">
        <v>39.149999999999991</v>
      </c>
      <c r="BA68" s="787">
        <v>18745.650000000001</v>
      </c>
      <c r="BB68" s="787"/>
      <c r="BC68" s="787"/>
      <c r="BD68" s="787"/>
      <c r="BE68" s="787">
        <v>15752.319999999998</v>
      </c>
      <c r="BF68" s="787"/>
      <c r="BG68" s="787"/>
      <c r="BH68" s="787"/>
      <c r="BI68" s="787"/>
      <c r="BJ68" s="787">
        <f t="shared" si="1"/>
        <v>65276.93</v>
      </c>
      <c r="BK68" s="787"/>
      <c r="BL68" s="787"/>
      <c r="BM68" s="787"/>
      <c r="BN68" s="787">
        <v>11222.5</v>
      </c>
      <c r="BO68" s="787"/>
      <c r="BP68" s="787"/>
      <c r="BQ68" s="787">
        <f t="shared" si="2"/>
        <v>11222.5</v>
      </c>
      <c r="BR68" s="787"/>
      <c r="BS68" s="787"/>
      <c r="BT68" s="787"/>
      <c r="BU68" s="787"/>
      <c r="BV68" s="787"/>
      <c r="BW68" s="787"/>
      <c r="BX68" s="787"/>
      <c r="BY68" s="787"/>
      <c r="BZ68" s="787"/>
      <c r="CA68" s="787"/>
      <c r="CB68" s="787"/>
      <c r="CC68" s="787"/>
      <c r="CD68" s="787"/>
      <c r="CE68" s="787"/>
      <c r="CF68" s="787"/>
      <c r="CG68" s="787"/>
      <c r="CH68" s="787"/>
      <c r="CI68" s="787"/>
      <c r="CJ68" s="787"/>
      <c r="CK68" s="787"/>
      <c r="CL68" s="787"/>
      <c r="CM68" s="787"/>
      <c r="CN68" s="787"/>
      <c r="CO68" s="787"/>
      <c r="CP68" s="787"/>
      <c r="CQ68" s="787"/>
      <c r="CR68" s="787"/>
      <c r="CS68" s="787"/>
      <c r="CT68" s="787"/>
      <c r="CU68" s="787"/>
      <c r="CV68" s="787"/>
      <c r="CW68" s="787"/>
      <c r="CX68" s="787"/>
      <c r="CY68" s="787"/>
      <c r="CZ68" s="787"/>
      <c r="DA68" s="787"/>
      <c r="DB68" s="787"/>
      <c r="DC68" s="787"/>
      <c r="DD68" s="787"/>
      <c r="DE68" s="787"/>
      <c r="DF68" s="787"/>
      <c r="DG68" s="787"/>
      <c r="DH68" s="787"/>
      <c r="DI68" s="787"/>
      <c r="DJ68" s="787"/>
      <c r="DK68" s="787"/>
      <c r="DL68" s="787"/>
      <c r="DM68" s="787"/>
      <c r="DN68" s="787"/>
      <c r="DO68" s="787"/>
      <c r="DP68" s="787"/>
      <c r="DQ68" s="787"/>
      <c r="DR68" s="787"/>
      <c r="DS68" s="787"/>
      <c r="DT68" s="787"/>
      <c r="DU68" s="787"/>
      <c r="DV68" s="787"/>
      <c r="DW68" s="787"/>
      <c r="DX68" s="787"/>
      <c r="DY68" s="787"/>
      <c r="DZ68" s="787"/>
      <c r="EA68" s="787"/>
    </row>
    <row r="69" spans="1:131" ht="15.6">
      <c r="A69" s="782" t="s">
        <v>1362</v>
      </c>
      <c r="B69" s="782" t="s">
        <v>888</v>
      </c>
      <c r="C69" s="783">
        <v>2091</v>
      </c>
      <c r="D69" s="784" t="s">
        <v>889</v>
      </c>
      <c r="E69" s="785" t="s">
        <v>521</v>
      </c>
      <c r="F69" s="786">
        <v>46094</v>
      </c>
      <c r="G69" s="785" t="s">
        <v>5</v>
      </c>
      <c r="H69" s="785" t="s">
        <v>866</v>
      </c>
      <c r="I69" s="787">
        <v>1229242.6831729088</v>
      </c>
      <c r="J69" s="787">
        <v>0</v>
      </c>
      <c r="K69" s="787">
        <v>182190.65333333332</v>
      </c>
      <c r="L69" s="787"/>
      <c r="M69" s="787">
        <v>138980</v>
      </c>
      <c r="N69" s="787">
        <v>36846.86</v>
      </c>
      <c r="O69" s="787"/>
      <c r="P69" s="787"/>
      <c r="Q69" s="787">
        <v>1068.3800000000001</v>
      </c>
      <c r="R69" s="787"/>
      <c r="S69" s="787"/>
      <c r="T69" s="787"/>
      <c r="U69" s="787"/>
      <c r="V69" s="787"/>
      <c r="W69" s="787"/>
      <c r="X69" s="787">
        <f t="shared" si="0"/>
        <v>1588328.5765062422</v>
      </c>
      <c r="Y69" s="787"/>
      <c r="Z69" s="787"/>
      <c r="AA69" s="787"/>
      <c r="AB69" s="787"/>
      <c r="AC69" s="787"/>
      <c r="AD69" s="787"/>
      <c r="AE69" s="787"/>
      <c r="AF69" s="787"/>
      <c r="AG69" s="787"/>
      <c r="AH69" s="787"/>
      <c r="AI69" s="787"/>
      <c r="AJ69" s="787"/>
      <c r="AK69" s="787"/>
      <c r="AL69" s="787"/>
      <c r="AM69" s="787"/>
      <c r="AN69" s="787"/>
      <c r="AO69" s="787">
        <v>16916.68</v>
      </c>
      <c r="AP69" s="787"/>
      <c r="AQ69" s="787"/>
      <c r="AR69" s="787"/>
      <c r="AS69" s="787"/>
      <c r="AT69" s="787"/>
      <c r="AU69" s="787"/>
      <c r="AV69" s="787"/>
      <c r="AW69" s="787"/>
      <c r="AX69" s="787"/>
      <c r="AY69" s="787"/>
      <c r="AZ69" s="787">
        <v>73.019999999999982</v>
      </c>
      <c r="BA69" s="787">
        <v>5139.75</v>
      </c>
      <c r="BB69" s="787"/>
      <c r="BC69" s="787"/>
      <c r="BD69" s="787"/>
      <c r="BE69" s="787">
        <v>4850.8799999999992</v>
      </c>
      <c r="BF69" s="787"/>
      <c r="BG69" s="787"/>
      <c r="BH69" s="787"/>
      <c r="BI69" s="787"/>
      <c r="BJ69" s="787">
        <f t="shared" si="1"/>
        <v>26980.33</v>
      </c>
      <c r="BK69" s="787"/>
      <c r="BL69" s="787"/>
      <c r="BM69" s="787"/>
      <c r="BN69" s="787">
        <v>6120.63</v>
      </c>
      <c r="BO69" s="787"/>
      <c r="BP69" s="787"/>
      <c r="BQ69" s="787">
        <f t="shared" si="2"/>
        <v>6120.63</v>
      </c>
      <c r="BR69" s="787"/>
      <c r="BS69" s="787"/>
      <c r="BT69" s="787"/>
      <c r="BU69" s="787"/>
      <c r="BV69" s="787"/>
      <c r="BW69" s="787"/>
      <c r="BX69" s="787"/>
      <c r="BY69" s="787"/>
      <c r="BZ69" s="787"/>
      <c r="CA69" s="787"/>
      <c r="CB69" s="787"/>
      <c r="CC69" s="787"/>
      <c r="CD69" s="787"/>
      <c r="CE69" s="787"/>
      <c r="CF69" s="787"/>
      <c r="CG69" s="787"/>
      <c r="CH69" s="787"/>
      <c r="CI69" s="787"/>
      <c r="CJ69" s="787"/>
      <c r="CK69" s="787"/>
      <c r="CL69" s="787"/>
      <c r="CM69" s="787"/>
      <c r="CN69" s="787"/>
      <c r="CO69" s="787"/>
      <c r="CP69" s="787"/>
      <c r="CQ69" s="787"/>
      <c r="CR69" s="787"/>
      <c r="CS69" s="787"/>
      <c r="CT69" s="787"/>
      <c r="CU69" s="787"/>
      <c r="CV69" s="787"/>
      <c r="CW69" s="787"/>
      <c r="CX69" s="787"/>
      <c r="CY69" s="787"/>
      <c r="CZ69" s="787"/>
      <c r="DA69" s="787"/>
      <c r="DB69" s="787"/>
      <c r="DC69" s="787"/>
      <c r="DD69" s="787"/>
      <c r="DE69" s="787"/>
      <c r="DF69" s="787"/>
      <c r="DG69" s="787"/>
      <c r="DH69" s="787"/>
      <c r="DI69" s="787"/>
      <c r="DJ69" s="787"/>
      <c r="DK69" s="787"/>
      <c r="DL69" s="787"/>
      <c r="DM69" s="787"/>
      <c r="DN69" s="787"/>
      <c r="DO69" s="787"/>
      <c r="DP69" s="787"/>
      <c r="DQ69" s="787"/>
      <c r="DR69" s="787"/>
      <c r="DS69" s="787"/>
      <c r="DT69" s="787"/>
      <c r="DU69" s="787"/>
      <c r="DV69" s="787"/>
      <c r="DW69" s="787"/>
      <c r="DX69" s="787"/>
      <c r="DY69" s="787"/>
      <c r="DZ69" s="787"/>
      <c r="EA69" s="787"/>
    </row>
    <row r="70" spans="1:131" ht="15.6">
      <c r="A70" s="782" t="s">
        <v>1363</v>
      </c>
      <c r="B70" s="782" t="s">
        <v>652</v>
      </c>
      <c r="C70" s="783">
        <v>2093</v>
      </c>
      <c r="D70" s="784" t="s">
        <v>653</v>
      </c>
      <c r="E70" s="785" t="s">
        <v>521</v>
      </c>
      <c r="F70" s="786">
        <v>46094</v>
      </c>
      <c r="G70" s="785" t="s">
        <v>5</v>
      </c>
      <c r="H70" s="785" t="s">
        <v>664</v>
      </c>
      <c r="I70" s="787">
        <v>2151992.2934089005</v>
      </c>
      <c r="J70" s="787">
        <v>0</v>
      </c>
      <c r="K70" s="787">
        <v>200265.85666666666</v>
      </c>
      <c r="L70" s="787"/>
      <c r="M70" s="787">
        <v>112110</v>
      </c>
      <c r="N70" s="787">
        <v>170057.40000000002</v>
      </c>
      <c r="O70" s="787"/>
      <c r="P70" s="787"/>
      <c r="Q70" s="787">
        <v>25097.728719999985</v>
      </c>
      <c r="R70" s="787"/>
      <c r="S70" s="787"/>
      <c r="T70" s="787"/>
      <c r="U70" s="787"/>
      <c r="V70" s="787"/>
      <c r="W70" s="787"/>
      <c r="X70" s="787">
        <f t="shared" si="0"/>
        <v>2659523.2787955669</v>
      </c>
      <c r="Y70" s="787"/>
      <c r="Z70" s="787"/>
      <c r="AA70" s="787"/>
      <c r="AB70" s="787"/>
      <c r="AC70" s="787"/>
      <c r="AD70" s="787"/>
      <c r="AE70" s="787"/>
      <c r="AF70" s="787"/>
      <c r="AG70" s="787"/>
      <c r="AH70" s="787"/>
      <c r="AI70" s="787"/>
      <c r="AJ70" s="787"/>
      <c r="AK70" s="787"/>
      <c r="AL70" s="787"/>
      <c r="AM70" s="787"/>
      <c r="AN70" s="787"/>
      <c r="AO70" s="787">
        <v>19886.79</v>
      </c>
      <c r="AP70" s="787"/>
      <c r="AQ70" s="787"/>
      <c r="AR70" s="787"/>
      <c r="AS70" s="787"/>
      <c r="AT70" s="787"/>
      <c r="AU70" s="787"/>
      <c r="AV70" s="787"/>
      <c r="AW70" s="787"/>
      <c r="AX70" s="787"/>
      <c r="AY70" s="787"/>
      <c r="AZ70" s="787">
        <v>145.57999999999998</v>
      </c>
      <c r="BA70" s="787">
        <v>0</v>
      </c>
      <c r="BB70" s="787"/>
      <c r="BC70" s="787"/>
      <c r="BD70" s="787"/>
      <c r="BE70" s="787">
        <v>9388.7999999999975</v>
      </c>
      <c r="BF70" s="787"/>
      <c r="BG70" s="787"/>
      <c r="BH70" s="787"/>
      <c r="BI70" s="787"/>
      <c r="BJ70" s="787">
        <f t="shared" si="1"/>
        <v>29421.17</v>
      </c>
      <c r="BK70" s="787"/>
      <c r="BL70" s="787"/>
      <c r="BM70" s="787"/>
      <c r="BN70" s="787">
        <v>8344.75</v>
      </c>
      <c r="BO70" s="787"/>
      <c r="BP70" s="787"/>
      <c r="BQ70" s="787">
        <f t="shared" si="2"/>
        <v>8344.75</v>
      </c>
      <c r="BR70" s="787"/>
      <c r="BS70" s="787"/>
      <c r="BT70" s="787"/>
      <c r="BU70" s="787"/>
      <c r="BV70" s="787"/>
      <c r="BW70" s="787"/>
      <c r="BX70" s="787"/>
      <c r="BY70" s="787"/>
      <c r="BZ70" s="787"/>
      <c r="CA70" s="787"/>
      <c r="CB70" s="787"/>
      <c r="CC70" s="787"/>
      <c r="CD70" s="787"/>
      <c r="CE70" s="787"/>
      <c r="CF70" s="787"/>
      <c r="CG70" s="787"/>
      <c r="CH70" s="787"/>
      <c r="CI70" s="787"/>
      <c r="CJ70" s="787"/>
      <c r="CK70" s="787"/>
      <c r="CL70" s="787"/>
      <c r="CM70" s="787"/>
      <c r="CN70" s="787"/>
      <c r="CO70" s="787"/>
      <c r="CP70" s="787"/>
      <c r="CQ70" s="787"/>
      <c r="CR70" s="787"/>
      <c r="CS70" s="787"/>
      <c r="CT70" s="787"/>
      <c r="CU70" s="787"/>
      <c r="CV70" s="787"/>
      <c r="CW70" s="787"/>
      <c r="CX70" s="787"/>
      <c r="CY70" s="787"/>
      <c r="CZ70" s="787"/>
      <c r="DA70" s="787"/>
      <c r="DB70" s="787"/>
      <c r="DC70" s="787"/>
      <c r="DD70" s="787"/>
      <c r="DE70" s="787"/>
      <c r="DF70" s="787"/>
      <c r="DG70" s="787"/>
      <c r="DH70" s="787"/>
      <c r="DI70" s="787"/>
      <c r="DJ70" s="787"/>
      <c r="DK70" s="787"/>
      <c r="DL70" s="787"/>
      <c r="DM70" s="787"/>
      <c r="DN70" s="787"/>
      <c r="DO70" s="787"/>
      <c r="DP70" s="787"/>
      <c r="DQ70" s="787"/>
      <c r="DR70" s="787"/>
      <c r="DS70" s="787"/>
      <c r="DT70" s="787"/>
      <c r="DU70" s="787"/>
      <c r="DV70" s="787"/>
      <c r="DW70" s="787"/>
      <c r="DX70" s="787"/>
      <c r="DY70" s="787"/>
      <c r="DZ70" s="787"/>
      <c r="EA70" s="787"/>
    </row>
    <row r="71" spans="1:131" ht="15.6">
      <c r="A71" s="782" t="s">
        <v>1364</v>
      </c>
      <c r="B71" s="782" t="s">
        <v>654</v>
      </c>
      <c r="C71" s="783">
        <v>2092</v>
      </c>
      <c r="D71" s="784" t="s">
        <v>655</v>
      </c>
      <c r="E71" s="785" t="s">
        <v>521</v>
      </c>
      <c r="F71" s="786">
        <v>46087</v>
      </c>
      <c r="G71" s="785" t="s">
        <v>5</v>
      </c>
      <c r="H71" s="785" t="s">
        <v>666</v>
      </c>
      <c r="I71" s="787">
        <v>2556997.3999341601</v>
      </c>
      <c r="J71" s="787">
        <v>0</v>
      </c>
      <c r="K71" s="787">
        <v>97211.6</v>
      </c>
      <c r="L71" s="787"/>
      <c r="M71" s="787">
        <v>261645</v>
      </c>
      <c r="N71" s="787">
        <v>23870</v>
      </c>
      <c r="O71" s="787"/>
      <c r="P71" s="787"/>
      <c r="Q71" s="787">
        <v>0</v>
      </c>
      <c r="R71" s="787"/>
      <c r="S71" s="787"/>
      <c r="T71" s="787"/>
      <c r="U71" s="787"/>
      <c r="V71" s="787"/>
      <c r="W71" s="787"/>
      <c r="X71" s="787">
        <f t="shared" si="0"/>
        <v>2939723.9999341602</v>
      </c>
      <c r="Y71" s="787"/>
      <c r="Z71" s="787"/>
      <c r="AA71" s="787"/>
      <c r="AB71" s="787"/>
      <c r="AC71" s="787"/>
      <c r="AD71" s="787"/>
      <c r="AE71" s="787"/>
      <c r="AF71" s="787"/>
      <c r="AG71" s="787"/>
      <c r="AH71" s="787"/>
      <c r="AI71" s="787"/>
      <c r="AJ71" s="787"/>
      <c r="AK71" s="787"/>
      <c r="AL71" s="787"/>
      <c r="AM71" s="787"/>
      <c r="AN71" s="787"/>
      <c r="AO71" s="787">
        <v>27754.63</v>
      </c>
      <c r="AP71" s="787"/>
      <c r="AQ71" s="787"/>
      <c r="AR71" s="787"/>
      <c r="AS71" s="787"/>
      <c r="AT71" s="787"/>
      <c r="AU71" s="787"/>
      <c r="AV71" s="787"/>
      <c r="AW71" s="787"/>
      <c r="AX71" s="787"/>
      <c r="AY71" s="787"/>
      <c r="AZ71" s="787">
        <v>0</v>
      </c>
      <c r="BA71" s="787">
        <v>13068</v>
      </c>
      <c r="BB71" s="787"/>
      <c r="BC71" s="787"/>
      <c r="BD71" s="787"/>
      <c r="BE71" s="787">
        <v>12622.72</v>
      </c>
      <c r="BF71" s="787"/>
      <c r="BG71" s="787"/>
      <c r="BH71" s="787"/>
      <c r="BI71" s="787"/>
      <c r="BJ71" s="787">
        <f t="shared" si="1"/>
        <v>53445.350000000006</v>
      </c>
      <c r="BK71" s="787"/>
      <c r="BL71" s="787"/>
      <c r="BM71" s="787"/>
      <c r="BN71" s="787">
        <v>9422.5</v>
      </c>
      <c r="BO71" s="787"/>
      <c r="BP71" s="787"/>
      <c r="BQ71" s="787">
        <f t="shared" si="2"/>
        <v>9422.5</v>
      </c>
      <c r="BR71" s="787"/>
      <c r="BS71" s="787"/>
      <c r="BT71" s="787"/>
      <c r="BU71" s="787"/>
      <c r="BV71" s="787"/>
      <c r="BW71" s="787"/>
      <c r="BX71" s="787"/>
      <c r="BY71" s="787"/>
      <c r="BZ71" s="787"/>
      <c r="CA71" s="787"/>
      <c r="CB71" s="787"/>
      <c r="CC71" s="787"/>
      <c r="CD71" s="787"/>
      <c r="CE71" s="787"/>
      <c r="CF71" s="787"/>
      <c r="CG71" s="787"/>
      <c r="CH71" s="787"/>
      <c r="CI71" s="787"/>
      <c r="CJ71" s="787"/>
      <c r="CK71" s="787"/>
      <c r="CL71" s="787"/>
      <c r="CM71" s="787"/>
      <c r="CN71" s="787"/>
      <c r="CO71" s="787"/>
      <c r="CP71" s="787"/>
      <c r="CQ71" s="787"/>
      <c r="CR71" s="787"/>
      <c r="CS71" s="787"/>
      <c r="CT71" s="787"/>
      <c r="CU71" s="787"/>
      <c r="CV71" s="787"/>
      <c r="CW71" s="787"/>
      <c r="CX71" s="787"/>
      <c r="CY71" s="787"/>
      <c r="CZ71" s="787"/>
      <c r="DA71" s="787"/>
      <c r="DB71" s="787"/>
      <c r="DC71" s="787"/>
      <c r="DD71" s="787"/>
      <c r="DE71" s="787"/>
      <c r="DF71" s="787"/>
      <c r="DG71" s="787"/>
      <c r="DH71" s="787"/>
      <c r="DI71" s="787"/>
      <c r="DJ71" s="787"/>
      <c r="DK71" s="787"/>
      <c r="DL71" s="787"/>
      <c r="DM71" s="787"/>
      <c r="DN71" s="787"/>
      <c r="DO71" s="787"/>
      <c r="DP71" s="787"/>
      <c r="DQ71" s="787"/>
      <c r="DR71" s="787"/>
      <c r="DS71" s="787"/>
      <c r="DT71" s="787"/>
      <c r="DU71" s="787"/>
      <c r="DV71" s="787"/>
      <c r="DW71" s="787"/>
      <c r="DX71" s="787"/>
      <c r="DY71" s="787"/>
      <c r="DZ71" s="787"/>
      <c r="EA71" s="787"/>
    </row>
    <row r="72" spans="1:131" ht="15.6">
      <c r="A72" s="782" t="s">
        <v>1365</v>
      </c>
      <c r="B72" s="782" t="s">
        <v>656</v>
      </c>
      <c r="C72" s="783">
        <v>7006</v>
      </c>
      <c r="D72" s="784" t="s">
        <v>657</v>
      </c>
      <c r="E72" s="785" t="s">
        <v>521</v>
      </c>
      <c r="F72" s="786">
        <v>46093</v>
      </c>
      <c r="G72" s="785" t="s">
        <v>5</v>
      </c>
      <c r="H72" s="785" t="s">
        <v>668</v>
      </c>
      <c r="I72" s="787">
        <v>2192605.195869565</v>
      </c>
      <c r="J72" s="787">
        <v>0</v>
      </c>
      <c r="K72" s="787">
        <v>3228347.6767214178</v>
      </c>
      <c r="L72" s="787"/>
      <c r="M72" s="787">
        <v>147235</v>
      </c>
      <c r="N72" s="787">
        <v>27478.22</v>
      </c>
      <c r="O72" s="787"/>
      <c r="P72" s="787"/>
      <c r="Q72" s="787">
        <v>0</v>
      </c>
      <c r="R72" s="787"/>
      <c r="S72" s="787"/>
      <c r="T72" s="787"/>
      <c r="U72" s="787"/>
      <c r="V72" s="787"/>
      <c r="W72" s="787"/>
      <c r="X72" s="787">
        <f t="shared" ref="X72:X135" si="3">SUM(I72:W72)</f>
        <v>5595666.092590983</v>
      </c>
      <c r="Y72" s="787"/>
      <c r="Z72" s="787"/>
      <c r="AA72" s="787"/>
      <c r="AB72" s="787"/>
      <c r="AC72" s="787"/>
      <c r="AD72" s="787"/>
      <c r="AE72" s="787"/>
      <c r="AF72" s="787"/>
      <c r="AG72" s="787"/>
      <c r="AH72" s="787"/>
      <c r="AI72" s="787"/>
      <c r="AJ72" s="787"/>
      <c r="AK72" s="787"/>
      <c r="AL72" s="787"/>
      <c r="AM72" s="787"/>
      <c r="AN72" s="787"/>
      <c r="AO72" s="787">
        <v>0</v>
      </c>
      <c r="AP72" s="787"/>
      <c r="AQ72" s="787"/>
      <c r="AR72" s="787"/>
      <c r="AS72" s="787"/>
      <c r="AT72" s="787"/>
      <c r="AU72" s="787"/>
      <c r="AV72" s="787"/>
      <c r="AW72" s="787"/>
      <c r="AX72" s="787"/>
      <c r="AY72" s="787"/>
      <c r="AZ72" s="787">
        <v>0</v>
      </c>
      <c r="BA72" s="787">
        <v>5139.75</v>
      </c>
      <c r="BB72" s="787"/>
      <c r="BC72" s="787"/>
      <c r="BD72" s="787"/>
      <c r="BE72" s="787">
        <v>0</v>
      </c>
      <c r="BF72" s="787"/>
      <c r="BG72" s="787"/>
      <c r="BH72" s="787"/>
      <c r="BI72" s="787"/>
      <c r="BJ72" s="787">
        <f t="shared" ref="BJ72:BJ135" si="4">SUM(Y72:BI72)</f>
        <v>5139.75</v>
      </c>
      <c r="BK72" s="787"/>
      <c r="BL72" s="787"/>
      <c r="BM72" s="787"/>
      <c r="BN72" s="787">
        <v>11796.25</v>
      </c>
      <c r="BO72" s="787"/>
      <c r="BP72" s="787"/>
      <c r="BQ72" s="787">
        <f t="shared" ref="BQ72:BQ135" si="5">SUM(BN72:BP72)</f>
        <v>11796.25</v>
      </c>
      <c r="BR72" s="787"/>
      <c r="BS72" s="787"/>
      <c r="BT72" s="787"/>
      <c r="BU72" s="787"/>
      <c r="BV72" s="787"/>
      <c r="BW72" s="787"/>
      <c r="BX72" s="787"/>
      <c r="BY72" s="787"/>
      <c r="BZ72" s="787"/>
      <c r="CA72" s="787"/>
      <c r="CB72" s="787"/>
      <c r="CC72" s="787"/>
      <c r="CD72" s="787"/>
      <c r="CE72" s="787"/>
      <c r="CF72" s="787"/>
      <c r="CG72" s="787"/>
      <c r="CH72" s="787"/>
      <c r="CI72" s="787"/>
      <c r="CJ72" s="787"/>
      <c r="CK72" s="787"/>
      <c r="CL72" s="787"/>
      <c r="CM72" s="787"/>
      <c r="CN72" s="787"/>
      <c r="CO72" s="787"/>
      <c r="CP72" s="787"/>
      <c r="CQ72" s="787"/>
      <c r="CR72" s="787"/>
      <c r="CS72" s="787"/>
      <c r="CT72" s="787"/>
      <c r="CU72" s="787"/>
      <c r="CV72" s="787"/>
      <c r="CW72" s="787"/>
      <c r="CX72" s="787"/>
      <c r="CY72" s="787"/>
      <c r="CZ72" s="787"/>
      <c r="DA72" s="787"/>
      <c r="DB72" s="787"/>
      <c r="DC72" s="787"/>
      <c r="DD72" s="787"/>
      <c r="DE72" s="787"/>
      <c r="DF72" s="787"/>
      <c r="DG72" s="787"/>
      <c r="DH72" s="787"/>
      <c r="DI72" s="787"/>
      <c r="DJ72" s="787"/>
      <c r="DK72" s="787"/>
      <c r="DL72" s="787"/>
      <c r="DM72" s="787"/>
      <c r="DN72" s="787"/>
      <c r="DO72" s="787"/>
      <c r="DP72" s="787"/>
      <c r="DQ72" s="787"/>
      <c r="DR72" s="787"/>
      <c r="DS72" s="787"/>
      <c r="DT72" s="787"/>
      <c r="DU72" s="787"/>
      <c r="DV72" s="787"/>
      <c r="DW72" s="787"/>
      <c r="DX72" s="787"/>
      <c r="DY72" s="787"/>
      <c r="DZ72" s="787"/>
      <c r="EA72" s="787"/>
    </row>
    <row r="73" spans="1:131" ht="15.6">
      <c r="A73" s="782" t="s">
        <v>1366</v>
      </c>
      <c r="B73" s="782" t="s">
        <v>890</v>
      </c>
      <c r="C73" s="783">
        <v>2477</v>
      </c>
      <c r="D73" s="784" t="s">
        <v>891</v>
      </c>
      <c r="E73" s="785"/>
      <c r="F73" s="786"/>
      <c r="G73" s="785"/>
      <c r="H73" s="785"/>
      <c r="I73" s="787">
        <v>4350806.79</v>
      </c>
      <c r="J73" s="787">
        <v>0</v>
      </c>
      <c r="K73" s="787">
        <v>279543.75</v>
      </c>
      <c r="L73" s="787"/>
      <c r="M73" s="787">
        <v>157825</v>
      </c>
      <c r="N73" s="787">
        <v>187900.15</v>
      </c>
      <c r="O73" s="787"/>
      <c r="P73" s="787"/>
      <c r="Q73" s="787">
        <v>7498.07</v>
      </c>
      <c r="R73" s="787"/>
      <c r="S73" s="787"/>
      <c r="T73" s="787"/>
      <c r="U73" s="787"/>
      <c r="V73" s="787"/>
      <c r="W73" s="787"/>
      <c r="X73" s="787">
        <f t="shared" si="3"/>
        <v>4983573.7600000007</v>
      </c>
      <c r="Y73" s="787"/>
      <c r="Z73" s="787"/>
      <c r="AA73" s="787"/>
      <c r="AB73" s="787"/>
      <c r="AC73" s="787"/>
      <c r="AD73" s="787"/>
      <c r="AE73" s="787"/>
      <c r="AF73" s="787"/>
      <c r="AG73" s="787"/>
      <c r="AH73" s="787"/>
      <c r="AI73" s="787"/>
      <c r="AJ73" s="787"/>
      <c r="AK73" s="787"/>
      <c r="AL73" s="787"/>
      <c r="AM73" s="787"/>
      <c r="AN73" s="787"/>
      <c r="AO73" s="787">
        <v>33389.800000000003</v>
      </c>
      <c r="AP73" s="787"/>
      <c r="AQ73" s="787"/>
      <c r="AR73" s="787"/>
      <c r="AS73" s="787"/>
      <c r="AT73" s="787"/>
      <c r="AU73" s="787"/>
      <c r="AV73" s="787"/>
      <c r="AW73" s="787"/>
      <c r="AX73" s="787"/>
      <c r="AY73" s="787"/>
      <c r="AZ73" s="787">
        <v>96.34</v>
      </c>
      <c r="BA73" s="787">
        <v>24312.75</v>
      </c>
      <c r="BB73" s="787"/>
      <c r="BC73" s="787"/>
      <c r="BD73" s="787"/>
      <c r="BE73" s="787">
        <v>21724.639999999999</v>
      </c>
      <c r="BF73" s="787"/>
      <c r="BG73" s="787"/>
      <c r="BH73" s="787"/>
      <c r="BI73" s="787"/>
      <c r="BJ73" s="787">
        <f t="shared" si="4"/>
        <v>79523.53</v>
      </c>
      <c r="BK73" s="787"/>
      <c r="BL73" s="787"/>
      <c r="BM73" s="787"/>
      <c r="BN73" s="787">
        <v>13067.5</v>
      </c>
      <c r="BO73" s="787"/>
      <c r="BP73" s="787"/>
      <c r="BQ73" s="787">
        <f t="shared" si="5"/>
        <v>13067.5</v>
      </c>
      <c r="BR73" s="787"/>
      <c r="BS73" s="787"/>
      <c r="BT73" s="787"/>
      <c r="BU73" s="787"/>
      <c r="BV73" s="787"/>
      <c r="BW73" s="787"/>
      <c r="BX73" s="787"/>
      <c r="BY73" s="787"/>
      <c r="BZ73" s="787"/>
      <c r="CA73" s="787"/>
      <c r="CB73" s="787"/>
      <c r="CC73" s="787"/>
      <c r="CD73" s="787"/>
      <c r="CE73" s="787"/>
      <c r="CF73" s="787"/>
      <c r="CG73" s="787"/>
      <c r="CH73" s="787"/>
      <c r="CI73" s="787"/>
      <c r="CJ73" s="787"/>
      <c r="CK73" s="787"/>
      <c r="CL73" s="787"/>
      <c r="CM73" s="787"/>
      <c r="CN73" s="787"/>
      <c r="CO73" s="787"/>
      <c r="CP73" s="787"/>
      <c r="CQ73" s="787"/>
      <c r="CR73" s="787"/>
      <c r="CS73" s="787"/>
      <c r="CT73" s="787"/>
      <c r="CU73" s="787"/>
      <c r="CV73" s="787"/>
      <c r="CW73" s="787"/>
      <c r="CX73" s="787"/>
      <c r="CY73" s="787"/>
      <c r="CZ73" s="787"/>
      <c r="DA73" s="787"/>
      <c r="DB73" s="787"/>
      <c r="DC73" s="787"/>
      <c r="DD73" s="787"/>
      <c r="DE73" s="787"/>
      <c r="DF73" s="787"/>
      <c r="DG73" s="787"/>
      <c r="DH73" s="787"/>
      <c r="DI73" s="787"/>
      <c r="DJ73" s="787"/>
      <c r="DK73" s="787"/>
      <c r="DL73" s="787"/>
      <c r="DM73" s="787"/>
      <c r="DN73" s="787"/>
      <c r="DO73" s="787"/>
      <c r="DP73" s="787"/>
      <c r="DQ73" s="787"/>
      <c r="DR73" s="787"/>
      <c r="DS73" s="787"/>
      <c r="DT73" s="787"/>
      <c r="DU73" s="787"/>
      <c r="DV73" s="787"/>
      <c r="DW73" s="787"/>
      <c r="DX73" s="787"/>
      <c r="DY73" s="787"/>
      <c r="DZ73" s="787"/>
      <c r="EA73" s="787"/>
    </row>
    <row r="74" spans="1:131" ht="15.6">
      <c r="A74" s="782" t="s">
        <v>1367</v>
      </c>
      <c r="B74" s="782" t="s">
        <v>892</v>
      </c>
      <c r="C74" s="783">
        <v>3436</v>
      </c>
      <c r="D74" s="784" t="s">
        <v>893</v>
      </c>
      <c r="E74" s="785" t="s">
        <v>521</v>
      </c>
      <c r="F74" s="786">
        <v>46094</v>
      </c>
      <c r="G74" s="785" t="s">
        <v>5</v>
      </c>
      <c r="H74" s="785" t="s">
        <v>900</v>
      </c>
      <c r="I74" s="787">
        <v>1170832.3994420457</v>
      </c>
      <c r="J74" s="787">
        <v>0</v>
      </c>
      <c r="K74" s="787">
        <v>40920</v>
      </c>
      <c r="L74" s="787"/>
      <c r="M74" s="787">
        <v>99590</v>
      </c>
      <c r="N74" s="787">
        <v>40733.64</v>
      </c>
      <c r="O74" s="787"/>
      <c r="P74" s="787"/>
      <c r="Q74" s="787">
        <v>901.71</v>
      </c>
      <c r="R74" s="787"/>
      <c r="S74" s="787"/>
      <c r="T74" s="787"/>
      <c r="U74" s="787"/>
      <c r="V74" s="787"/>
      <c r="W74" s="787"/>
      <c r="X74" s="787">
        <f t="shared" si="3"/>
        <v>1352977.7494420456</v>
      </c>
      <c r="Y74" s="787"/>
      <c r="Z74" s="787"/>
      <c r="AA74" s="787"/>
      <c r="AB74" s="787"/>
      <c r="AC74" s="787"/>
      <c r="AD74" s="787"/>
      <c r="AE74" s="787"/>
      <c r="AF74" s="787"/>
      <c r="AG74" s="787"/>
      <c r="AH74" s="787"/>
      <c r="AI74" s="787"/>
      <c r="AJ74" s="787"/>
      <c r="AK74" s="787"/>
      <c r="AL74" s="787"/>
      <c r="AM74" s="787"/>
      <c r="AN74" s="787"/>
      <c r="AO74" s="787">
        <v>6677.9600000000019</v>
      </c>
      <c r="AP74" s="787"/>
      <c r="AQ74" s="787"/>
      <c r="AR74" s="787"/>
      <c r="AS74" s="787"/>
      <c r="AT74" s="787"/>
      <c r="AU74" s="787"/>
      <c r="AV74" s="787"/>
      <c r="AW74" s="787"/>
      <c r="AX74" s="787"/>
      <c r="AY74" s="787"/>
      <c r="AZ74" s="787">
        <v>2.2800000000000114</v>
      </c>
      <c r="BA74" s="787">
        <v>3500.38</v>
      </c>
      <c r="BB74" s="787"/>
      <c r="BC74" s="787"/>
      <c r="BD74" s="787"/>
      <c r="BE74" s="787">
        <v>4407.5199999999986</v>
      </c>
      <c r="BF74" s="787"/>
      <c r="BG74" s="787"/>
      <c r="BH74" s="787"/>
      <c r="BI74" s="787"/>
      <c r="BJ74" s="787">
        <f t="shared" si="4"/>
        <v>14588.140000000001</v>
      </c>
      <c r="BK74" s="787"/>
      <c r="BL74" s="787"/>
      <c r="BM74" s="787"/>
      <c r="BN74" s="787">
        <v>0</v>
      </c>
      <c r="BO74" s="787"/>
      <c r="BP74" s="787"/>
      <c r="BQ74" s="787">
        <f t="shared" si="5"/>
        <v>0</v>
      </c>
      <c r="BR74" s="787"/>
      <c r="BS74" s="787"/>
      <c r="BT74" s="787"/>
      <c r="BU74" s="787"/>
      <c r="BV74" s="787"/>
      <c r="BW74" s="787"/>
      <c r="BX74" s="787"/>
      <c r="BY74" s="787"/>
      <c r="BZ74" s="787"/>
      <c r="CA74" s="787"/>
      <c r="CB74" s="787"/>
      <c r="CC74" s="787"/>
      <c r="CD74" s="787"/>
      <c r="CE74" s="787"/>
      <c r="CF74" s="787"/>
      <c r="CG74" s="787"/>
      <c r="CH74" s="787"/>
      <c r="CI74" s="787"/>
      <c r="CJ74" s="787"/>
      <c r="CK74" s="787"/>
      <c r="CL74" s="787"/>
      <c r="CM74" s="787"/>
      <c r="CN74" s="787"/>
      <c r="CO74" s="787"/>
      <c r="CP74" s="787"/>
      <c r="CQ74" s="787"/>
      <c r="CR74" s="787"/>
      <c r="CS74" s="787"/>
      <c r="CT74" s="787"/>
      <c r="CU74" s="787"/>
      <c r="CV74" s="787"/>
      <c r="CW74" s="787"/>
      <c r="CX74" s="787"/>
      <c r="CY74" s="787"/>
      <c r="CZ74" s="787"/>
      <c r="DA74" s="787"/>
      <c r="DB74" s="787"/>
      <c r="DC74" s="787"/>
      <c r="DD74" s="787"/>
      <c r="DE74" s="787"/>
      <c r="DF74" s="787"/>
      <c r="DG74" s="787"/>
      <c r="DH74" s="787"/>
      <c r="DI74" s="787"/>
      <c r="DJ74" s="787"/>
      <c r="DK74" s="787"/>
      <c r="DL74" s="787"/>
      <c r="DM74" s="787"/>
      <c r="DN74" s="787"/>
      <c r="DO74" s="787"/>
      <c r="DP74" s="787"/>
      <c r="DQ74" s="787"/>
      <c r="DR74" s="787"/>
      <c r="DS74" s="787"/>
      <c r="DT74" s="787"/>
      <c r="DU74" s="787"/>
      <c r="DV74" s="787"/>
      <c r="DW74" s="787"/>
      <c r="DX74" s="787"/>
      <c r="DY74" s="787"/>
      <c r="DZ74" s="787"/>
      <c r="EA74" s="787"/>
    </row>
    <row r="75" spans="1:131" ht="15.6">
      <c r="A75" s="782" t="s">
        <v>1368</v>
      </c>
      <c r="B75" s="782" t="s">
        <v>658</v>
      </c>
      <c r="C75" s="783">
        <v>2099</v>
      </c>
      <c r="D75" s="784" t="s">
        <v>659</v>
      </c>
      <c r="E75" s="785" t="s">
        <v>521</v>
      </c>
      <c r="F75" s="786">
        <v>46094</v>
      </c>
      <c r="G75" s="785" t="s">
        <v>5</v>
      </c>
      <c r="H75" s="785" t="s">
        <v>670</v>
      </c>
      <c r="I75" s="787">
        <v>1600818.0419765671</v>
      </c>
      <c r="J75" s="787">
        <v>0</v>
      </c>
      <c r="K75" s="787">
        <v>195516.64333333328</v>
      </c>
      <c r="L75" s="787"/>
      <c r="M75" s="787">
        <v>187860</v>
      </c>
      <c r="N75" s="787">
        <v>39904.75</v>
      </c>
      <c r="O75" s="787"/>
      <c r="P75" s="787"/>
      <c r="Q75" s="787">
        <v>9869.4957499999909</v>
      </c>
      <c r="R75" s="787"/>
      <c r="S75" s="787"/>
      <c r="T75" s="787"/>
      <c r="U75" s="787"/>
      <c r="V75" s="787"/>
      <c r="W75" s="787"/>
      <c r="X75" s="787">
        <f t="shared" si="3"/>
        <v>2033968.9310599004</v>
      </c>
      <c r="Y75" s="787"/>
      <c r="Z75" s="787"/>
      <c r="AA75" s="787"/>
      <c r="AB75" s="787"/>
      <c r="AC75" s="787"/>
      <c r="AD75" s="787"/>
      <c r="AE75" s="787"/>
      <c r="AF75" s="787"/>
      <c r="AG75" s="787"/>
      <c r="AH75" s="787"/>
      <c r="AI75" s="787"/>
      <c r="AJ75" s="787"/>
      <c r="AK75" s="787"/>
      <c r="AL75" s="787"/>
      <c r="AM75" s="787"/>
      <c r="AN75" s="787"/>
      <c r="AO75" s="787">
        <v>15883.6</v>
      </c>
      <c r="AP75" s="787"/>
      <c r="AQ75" s="787"/>
      <c r="AR75" s="787"/>
      <c r="AS75" s="787"/>
      <c r="AT75" s="787"/>
      <c r="AU75" s="787"/>
      <c r="AV75" s="787"/>
      <c r="AW75" s="787"/>
      <c r="AX75" s="787"/>
      <c r="AY75" s="787"/>
      <c r="AZ75" s="787">
        <v>68.39</v>
      </c>
      <c r="BA75" s="787">
        <v>5139.75</v>
      </c>
      <c r="BB75" s="787"/>
      <c r="BC75" s="787"/>
      <c r="BD75" s="787"/>
      <c r="BE75" s="787">
        <v>5450.7199999999984</v>
      </c>
      <c r="BF75" s="787"/>
      <c r="BG75" s="787"/>
      <c r="BH75" s="787"/>
      <c r="BI75" s="787"/>
      <c r="BJ75" s="787">
        <f t="shared" si="4"/>
        <v>26542.459999999995</v>
      </c>
      <c r="BK75" s="787"/>
      <c r="BL75" s="787"/>
      <c r="BM75" s="787"/>
      <c r="BN75" s="787">
        <v>6486.25</v>
      </c>
      <c r="BO75" s="787"/>
      <c r="BP75" s="787"/>
      <c r="BQ75" s="787">
        <f t="shared" si="5"/>
        <v>6486.25</v>
      </c>
      <c r="BR75" s="787"/>
      <c r="BS75" s="787"/>
      <c r="BT75" s="787"/>
      <c r="BU75" s="787"/>
      <c r="BV75" s="787"/>
      <c r="BW75" s="787"/>
      <c r="BX75" s="787"/>
      <c r="BY75" s="787"/>
      <c r="BZ75" s="787"/>
      <c r="CA75" s="787"/>
      <c r="CB75" s="787"/>
      <c r="CC75" s="787"/>
      <c r="CD75" s="787"/>
      <c r="CE75" s="787"/>
      <c r="CF75" s="787"/>
      <c r="CG75" s="787"/>
      <c r="CH75" s="787"/>
      <c r="CI75" s="787"/>
      <c r="CJ75" s="787"/>
      <c r="CK75" s="787"/>
      <c r="CL75" s="787"/>
      <c r="CM75" s="787"/>
      <c r="CN75" s="787"/>
      <c r="CO75" s="787"/>
      <c r="CP75" s="787"/>
      <c r="CQ75" s="787"/>
      <c r="CR75" s="787"/>
      <c r="CS75" s="787"/>
      <c r="CT75" s="787"/>
      <c r="CU75" s="787"/>
      <c r="CV75" s="787"/>
      <c r="CW75" s="787"/>
      <c r="CX75" s="787"/>
      <c r="CY75" s="787"/>
      <c r="CZ75" s="787"/>
      <c r="DA75" s="787"/>
      <c r="DB75" s="787"/>
      <c r="DC75" s="787"/>
      <c r="DD75" s="787"/>
      <c r="DE75" s="787"/>
      <c r="DF75" s="787"/>
      <c r="DG75" s="787"/>
      <c r="DH75" s="787"/>
      <c r="DI75" s="787"/>
      <c r="DJ75" s="787"/>
      <c r="DK75" s="787"/>
      <c r="DL75" s="787"/>
      <c r="DM75" s="787"/>
      <c r="DN75" s="787"/>
      <c r="DO75" s="787"/>
      <c r="DP75" s="787"/>
      <c r="DQ75" s="787"/>
      <c r="DR75" s="787"/>
      <c r="DS75" s="787"/>
      <c r="DT75" s="787"/>
      <c r="DU75" s="787"/>
      <c r="DV75" s="787"/>
      <c r="DW75" s="787"/>
      <c r="DX75" s="787"/>
      <c r="DY75" s="787"/>
      <c r="DZ75" s="787"/>
      <c r="EA75" s="787"/>
    </row>
    <row r="76" spans="1:131" ht="15.6">
      <c r="A76" s="782" t="s">
        <v>1369</v>
      </c>
      <c r="B76" s="782" t="s">
        <v>660</v>
      </c>
      <c r="C76" s="783">
        <v>1010</v>
      </c>
      <c r="D76" s="784" t="s">
        <v>661</v>
      </c>
      <c r="E76" s="785" t="s">
        <v>521</v>
      </c>
      <c r="F76" s="786" t="s">
        <v>1305</v>
      </c>
      <c r="G76" s="785" t="s">
        <v>5</v>
      </c>
      <c r="H76" s="785" t="s">
        <v>672</v>
      </c>
      <c r="I76" s="787">
        <v>970344.64994149597</v>
      </c>
      <c r="J76" s="787">
        <v>0</v>
      </c>
      <c r="K76" s="787">
        <v>62448.54059150508</v>
      </c>
      <c r="L76" s="787"/>
      <c r="M76" s="787">
        <v>0</v>
      </c>
      <c r="N76" s="787">
        <v>0</v>
      </c>
      <c r="O76" s="787"/>
      <c r="P76" s="787"/>
      <c r="Q76" s="787">
        <v>0</v>
      </c>
      <c r="R76" s="787"/>
      <c r="S76" s="787"/>
      <c r="T76" s="787"/>
      <c r="U76" s="787"/>
      <c r="V76" s="787"/>
      <c r="W76" s="787"/>
      <c r="X76" s="787">
        <f t="shared" si="3"/>
        <v>1032793.1905330011</v>
      </c>
      <c r="Y76" s="787"/>
      <c r="Z76" s="787"/>
      <c r="AA76" s="787"/>
      <c r="AB76" s="787"/>
      <c r="AC76" s="787"/>
      <c r="AD76" s="787"/>
      <c r="AE76" s="787"/>
      <c r="AF76" s="787"/>
      <c r="AG76" s="787"/>
      <c r="AH76" s="787"/>
      <c r="AI76" s="787"/>
      <c r="AJ76" s="787"/>
      <c r="AK76" s="787"/>
      <c r="AL76" s="787"/>
      <c r="AM76" s="787"/>
      <c r="AN76" s="787"/>
      <c r="AO76" s="787">
        <v>0</v>
      </c>
      <c r="AP76" s="787"/>
      <c r="AQ76" s="787"/>
      <c r="AR76" s="787"/>
      <c r="AS76" s="787"/>
      <c r="AT76" s="787"/>
      <c r="AU76" s="787"/>
      <c r="AV76" s="787"/>
      <c r="AW76" s="787"/>
      <c r="AX76" s="787"/>
      <c r="AY76" s="787"/>
      <c r="AZ76" s="787">
        <v>0</v>
      </c>
      <c r="BA76" s="787">
        <v>3291.75</v>
      </c>
      <c r="BB76" s="787"/>
      <c r="BC76" s="787"/>
      <c r="BD76" s="787"/>
      <c r="BE76" s="787">
        <v>0</v>
      </c>
      <c r="BF76" s="787"/>
      <c r="BG76" s="787"/>
      <c r="BH76" s="787"/>
      <c r="BI76" s="787"/>
      <c r="BJ76" s="787">
        <f t="shared" si="4"/>
        <v>3291.75</v>
      </c>
      <c r="BK76" s="787"/>
      <c r="BL76" s="787"/>
      <c r="BM76" s="787"/>
      <c r="BN76" s="787">
        <v>5120.5</v>
      </c>
      <c r="BO76" s="787"/>
      <c r="BP76" s="787"/>
      <c r="BQ76" s="787">
        <f t="shared" si="5"/>
        <v>5120.5</v>
      </c>
      <c r="BR76" s="787"/>
      <c r="BS76" s="787"/>
      <c r="BT76" s="787"/>
      <c r="BU76" s="787"/>
      <c r="BV76" s="787"/>
      <c r="BW76" s="787"/>
      <c r="BX76" s="787"/>
      <c r="BY76" s="787"/>
      <c r="BZ76" s="787"/>
      <c r="CA76" s="787"/>
      <c r="CB76" s="787"/>
      <c r="CC76" s="787"/>
      <c r="CD76" s="787"/>
      <c r="CE76" s="787"/>
      <c r="CF76" s="787"/>
      <c r="CG76" s="787"/>
      <c r="CH76" s="787"/>
      <c r="CI76" s="787"/>
      <c r="CJ76" s="787"/>
      <c r="CK76" s="787"/>
      <c r="CL76" s="787"/>
      <c r="CM76" s="787"/>
      <c r="CN76" s="787"/>
      <c r="CO76" s="787"/>
      <c r="CP76" s="787"/>
      <c r="CQ76" s="787"/>
      <c r="CR76" s="787"/>
      <c r="CS76" s="787"/>
      <c r="CT76" s="787"/>
      <c r="CU76" s="787"/>
      <c r="CV76" s="787"/>
      <c r="CW76" s="787"/>
      <c r="CX76" s="787"/>
      <c r="CY76" s="787"/>
      <c r="CZ76" s="787"/>
      <c r="DA76" s="787"/>
      <c r="DB76" s="787"/>
      <c r="DC76" s="787"/>
      <c r="DD76" s="787"/>
      <c r="DE76" s="787"/>
      <c r="DF76" s="787"/>
      <c r="DG76" s="787"/>
      <c r="DH76" s="787"/>
      <c r="DI76" s="787"/>
      <c r="DJ76" s="787"/>
      <c r="DK76" s="787"/>
      <c r="DL76" s="787"/>
      <c r="DM76" s="787"/>
      <c r="DN76" s="787"/>
      <c r="DO76" s="787"/>
      <c r="DP76" s="787"/>
      <c r="DQ76" s="787"/>
      <c r="DR76" s="787"/>
      <c r="DS76" s="787"/>
      <c r="DT76" s="787"/>
      <c r="DU76" s="787"/>
      <c r="DV76" s="787"/>
      <c r="DW76" s="787"/>
      <c r="DX76" s="787"/>
      <c r="DY76" s="787"/>
      <c r="DZ76" s="787"/>
      <c r="EA76" s="787"/>
    </row>
    <row r="77" spans="1:131" ht="15.6">
      <c r="A77" s="782" t="s">
        <v>1370</v>
      </c>
      <c r="B77" s="782" t="s">
        <v>662</v>
      </c>
      <c r="C77" s="783">
        <v>1021</v>
      </c>
      <c r="D77" s="784" t="s">
        <v>663</v>
      </c>
      <c r="E77" s="785" t="s">
        <v>521</v>
      </c>
      <c r="F77" s="786">
        <v>46094</v>
      </c>
      <c r="G77" s="785" t="s">
        <v>5</v>
      </c>
      <c r="H77" s="785" t="s">
        <v>674</v>
      </c>
      <c r="I77" s="787">
        <v>470255.07778308482</v>
      </c>
      <c r="J77" s="787">
        <v>0</v>
      </c>
      <c r="K77" s="787">
        <v>13938</v>
      </c>
      <c r="L77" s="787"/>
      <c r="M77" s="787">
        <v>0</v>
      </c>
      <c r="N77" s="787">
        <v>0</v>
      </c>
      <c r="O77" s="787"/>
      <c r="P77" s="787"/>
      <c r="Q77" s="787">
        <v>6492.4080500000064</v>
      </c>
      <c r="R77" s="787"/>
      <c r="S77" s="787"/>
      <c r="T77" s="787"/>
      <c r="U77" s="787"/>
      <c r="V77" s="787"/>
      <c r="W77" s="787"/>
      <c r="X77" s="787">
        <f t="shared" si="3"/>
        <v>490685.48583308485</v>
      </c>
      <c r="Y77" s="787"/>
      <c r="Z77" s="787"/>
      <c r="AA77" s="787"/>
      <c r="AB77" s="787"/>
      <c r="AC77" s="787"/>
      <c r="AD77" s="787"/>
      <c r="AE77" s="787"/>
      <c r="AF77" s="787"/>
      <c r="AG77" s="787"/>
      <c r="AH77" s="787"/>
      <c r="AI77" s="787"/>
      <c r="AJ77" s="787"/>
      <c r="AK77" s="787"/>
      <c r="AL77" s="787"/>
      <c r="AM77" s="787"/>
      <c r="AN77" s="787"/>
      <c r="AO77" s="787">
        <v>0</v>
      </c>
      <c r="AP77" s="787"/>
      <c r="AQ77" s="787"/>
      <c r="AR77" s="787"/>
      <c r="AS77" s="787"/>
      <c r="AT77" s="787"/>
      <c r="AU77" s="787"/>
      <c r="AV77" s="787"/>
      <c r="AW77" s="787"/>
      <c r="AX77" s="787"/>
      <c r="AY77" s="787"/>
      <c r="AZ77" s="787">
        <v>13.820000000000002</v>
      </c>
      <c r="BA77" s="787">
        <v>3291.75</v>
      </c>
      <c r="BB77" s="787"/>
      <c r="BC77" s="787"/>
      <c r="BD77" s="787"/>
      <c r="BE77" s="787">
        <v>0</v>
      </c>
      <c r="BF77" s="787"/>
      <c r="BG77" s="787"/>
      <c r="BH77" s="787"/>
      <c r="BI77" s="787"/>
      <c r="BJ77" s="787">
        <f t="shared" si="4"/>
        <v>3305.57</v>
      </c>
      <c r="BK77" s="787"/>
      <c r="BL77" s="787"/>
      <c r="BM77" s="787"/>
      <c r="BN77" s="787">
        <v>4465.75</v>
      </c>
      <c r="BO77" s="787"/>
      <c r="BP77" s="787"/>
      <c r="BQ77" s="787">
        <f t="shared" si="5"/>
        <v>4465.75</v>
      </c>
      <c r="BR77" s="787"/>
      <c r="BS77" s="787"/>
      <c r="BT77" s="787"/>
      <c r="BU77" s="787"/>
      <c r="BV77" s="787"/>
      <c r="BW77" s="787"/>
      <c r="BX77" s="787"/>
      <c r="BY77" s="787"/>
      <c r="BZ77" s="787"/>
      <c r="CA77" s="787"/>
      <c r="CB77" s="787"/>
      <c r="CC77" s="787"/>
      <c r="CD77" s="787"/>
      <c r="CE77" s="787"/>
      <c r="CF77" s="787"/>
      <c r="CG77" s="787"/>
      <c r="CH77" s="787"/>
      <c r="CI77" s="787"/>
      <c r="CJ77" s="787"/>
      <c r="CK77" s="787"/>
      <c r="CL77" s="787"/>
      <c r="CM77" s="787"/>
      <c r="CN77" s="787"/>
      <c r="CO77" s="787"/>
      <c r="CP77" s="787"/>
      <c r="CQ77" s="787"/>
      <c r="CR77" s="787"/>
      <c r="CS77" s="787"/>
      <c r="CT77" s="787"/>
      <c r="CU77" s="787"/>
      <c r="CV77" s="787"/>
      <c r="CW77" s="787"/>
      <c r="CX77" s="787"/>
      <c r="CY77" s="787"/>
      <c r="CZ77" s="787"/>
      <c r="DA77" s="787"/>
      <c r="DB77" s="787"/>
      <c r="DC77" s="787"/>
      <c r="DD77" s="787"/>
      <c r="DE77" s="787"/>
      <c r="DF77" s="787"/>
      <c r="DG77" s="787"/>
      <c r="DH77" s="787"/>
      <c r="DI77" s="787"/>
      <c r="DJ77" s="787"/>
      <c r="DK77" s="787"/>
      <c r="DL77" s="787"/>
      <c r="DM77" s="787"/>
      <c r="DN77" s="787"/>
      <c r="DO77" s="787"/>
      <c r="DP77" s="787"/>
      <c r="DQ77" s="787"/>
      <c r="DR77" s="787"/>
      <c r="DS77" s="787"/>
      <c r="DT77" s="787"/>
      <c r="DU77" s="787"/>
      <c r="DV77" s="787"/>
      <c r="DW77" s="787"/>
      <c r="DX77" s="787"/>
      <c r="DY77" s="787"/>
      <c r="DZ77" s="787"/>
      <c r="EA77" s="787"/>
    </row>
    <row r="78" spans="1:131" ht="15.6">
      <c r="A78" s="782" t="s">
        <v>1371</v>
      </c>
      <c r="B78" s="782" t="s">
        <v>664</v>
      </c>
      <c r="C78" s="783">
        <v>4201</v>
      </c>
      <c r="D78" s="784" t="s">
        <v>665</v>
      </c>
      <c r="E78" s="785" t="s">
        <v>521</v>
      </c>
      <c r="F78" s="786">
        <v>46093</v>
      </c>
      <c r="G78" s="785" t="s">
        <v>5</v>
      </c>
      <c r="H78" s="785" t="s">
        <v>676</v>
      </c>
      <c r="I78" s="787">
        <v>9846675.0036645997</v>
      </c>
      <c r="J78" s="787">
        <v>0</v>
      </c>
      <c r="K78" s="787">
        <v>92186.66333333333</v>
      </c>
      <c r="L78" s="787"/>
      <c r="M78" s="787">
        <v>683700</v>
      </c>
      <c r="N78" s="787">
        <v>18672.060000000001</v>
      </c>
      <c r="O78" s="787"/>
      <c r="P78" s="787"/>
      <c r="Q78" s="787">
        <v>0</v>
      </c>
      <c r="R78" s="787"/>
      <c r="S78" s="787"/>
      <c r="T78" s="787"/>
      <c r="U78" s="787"/>
      <c r="V78" s="787"/>
      <c r="W78" s="787"/>
      <c r="X78" s="787">
        <f t="shared" si="3"/>
        <v>10641233.726997934</v>
      </c>
      <c r="Y78" s="787"/>
      <c r="Z78" s="787"/>
      <c r="AA78" s="787"/>
      <c r="AB78" s="787"/>
      <c r="AC78" s="787"/>
      <c r="AD78" s="787"/>
      <c r="AE78" s="787"/>
      <c r="AF78" s="787"/>
      <c r="AG78" s="787"/>
      <c r="AH78" s="787"/>
      <c r="AI78" s="787"/>
      <c r="AJ78" s="787"/>
      <c r="AK78" s="787"/>
      <c r="AL78" s="787"/>
      <c r="AM78" s="787"/>
      <c r="AN78" s="787"/>
      <c r="AO78" s="787">
        <v>188038.73999999996</v>
      </c>
      <c r="AP78" s="787"/>
      <c r="AQ78" s="787"/>
      <c r="AR78" s="787"/>
      <c r="AS78" s="787"/>
      <c r="AT78" s="787"/>
      <c r="AU78" s="787"/>
      <c r="AV78" s="787"/>
      <c r="AW78" s="787"/>
      <c r="AX78" s="787"/>
      <c r="AY78" s="787"/>
      <c r="AZ78" s="787">
        <v>0</v>
      </c>
      <c r="BA78" s="787">
        <v>32508.000000000004</v>
      </c>
      <c r="BB78" s="787"/>
      <c r="BC78" s="787"/>
      <c r="BD78" s="787"/>
      <c r="BE78" s="787">
        <v>24236.519999999993</v>
      </c>
      <c r="BF78" s="787"/>
      <c r="BG78" s="787"/>
      <c r="BH78" s="787"/>
      <c r="BI78" s="787"/>
      <c r="BJ78" s="787">
        <f t="shared" si="4"/>
        <v>244783.25999999995</v>
      </c>
      <c r="BK78" s="787"/>
      <c r="BL78" s="787"/>
      <c r="BM78" s="787"/>
      <c r="BN78" s="787">
        <v>24503.13</v>
      </c>
      <c r="BO78" s="787"/>
      <c r="BP78" s="787"/>
      <c r="BQ78" s="787">
        <f t="shared" si="5"/>
        <v>24503.13</v>
      </c>
      <c r="BR78" s="787"/>
      <c r="BS78" s="787"/>
      <c r="BT78" s="787"/>
      <c r="BU78" s="787"/>
      <c r="BV78" s="787"/>
      <c r="BW78" s="787"/>
      <c r="BX78" s="787"/>
      <c r="BY78" s="787"/>
      <c r="BZ78" s="787"/>
      <c r="CA78" s="787"/>
      <c r="CB78" s="787"/>
      <c r="CC78" s="787"/>
      <c r="CD78" s="787"/>
      <c r="CE78" s="787"/>
      <c r="CF78" s="787"/>
      <c r="CG78" s="787"/>
      <c r="CH78" s="787"/>
      <c r="CI78" s="787"/>
      <c r="CJ78" s="787"/>
      <c r="CK78" s="787"/>
      <c r="CL78" s="787"/>
      <c r="CM78" s="787"/>
      <c r="CN78" s="787"/>
      <c r="CO78" s="787"/>
      <c r="CP78" s="787"/>
      <c r="CQ78" s="787"/>
      <c r="CR78" s="787"/>
      <c r="CS78" s="787"/>
      <c r="CT78" s="787"/>
      <c r="CU78" s="787"/>
      <c r="CV78" s="787"/>
      <c r="CW78" s="787"/>
      <c r="CX78" s="787"/>
      <c r="CY78" s="787"/>
      <c r="CZ78" s="787"/>
      <c r="DA78" s="787"/>
      <c r="DB78" s="787"/>
      <c r="DC78" s="787"/>
      <c r="DD78" s="787"/>
      <c r="DE78" s="787"/>
      <c r="DF78" s="787"/>
      <c r="DG78" s="787"/>
      <c r="DH78" s="787"/>
      <c r="DI78" s="787"/>
      <c r="DJ78" s="787"/>
      <c r="DK78" s="787"/>
      <c r="DL78" s="787"/>
      <c r="DM78" s="787"/>
      <c r="DN78" s="787"/>
      <c r="DO78" s="787"/>
      <c r="DP78" s="787"/>
      <c r="DQ78" s="787"/>
      <c r="DR78" s="787"/>
      <c r="DS78" s="787"/>
      <c r="DT78" s="787"/>
      <c r="DU78" s="787"/>
      <c r="DV78" s="787"/>
      <c r="DW78" s="787"/>
      <c r="DX78" s="787"/>
      <c r="DY78" s="787"/>
      <c r="DZ78" s="787"/>
      <c r="EA78" s="787"/>
    </row>
    <row r="79" spans="1:131" ht="15.6">
      <c r="A79" s="782" t="s">
        <v>1372</v>
      </c>
      <c r="B79" s="782" t="s">
        <v>666</v>
      </c>
      <c r="C79" s="783">
        <v>4015</v>
      </c>
      <c r="D79" s="784" t="s">
        <v>667</v>
      </c>
      <c r="E79" s="785" t="s">
        <v>521</v>
      </c>
      <c r="F79" s="786">
        <v>46093</v>
      </c>
      <c r="G79" s="785" t="s">
        <v>5</v>
      </c>
      <c r="H79" s="785" t="s">
        <v>678</v>
      </c>
      <c r="I79" s="787">
        <v>6052734.1970598893</v>
      </c>
      <c r="J79" s="787">
        <v>0</v>
      </c>
      <c r="K79" s="787">
        <v>46419.05</v>
      </c>
      <c r="L79" s="787"/>
      <c r="M79" s="787">
        <v>413760</v>
      </c>
      <c r="N79" s="787">
        <v>3256.93</v>
      </c>
      <c r="O79" s="787"/>
      <c r="P79" s="787"/>
      <c r="Q79" s="787">
        <v>0</v>
      </c>
      <c r="R79" s="787"/>
      <c r="S79" s="787"/>
      <c r="T79" s="787"/>
      <c r="U79" s="787"/>
      <c r="V79" s="787"/>
      <c r="W79" s="787"/>
      <c r="X79" s="787">
        <f t="shared" si="3"/>
        <v>6516170.1770598888</v>
      </c>
      <c r="Y79" s="787"/>
      <c r="Z79" s="787"/>
      <c r="AA79" s="787"/>
      <c r="AB79" s="787"/>
      <c r="AC79" s="787"/>
      <c r="AD79" s="787"/>
      <c r="AE79" s="787"/>
      <c r="AF79" s="787"/>
      <c r="AG79" s="787"/>
      <c r="AH79" s="787"/>
      <c r="AI79" s="787"/>
      <c r="AJ79" s="787"/>
      <c r="AK79" s="787"/>
      <c r="AL79" s="787"/>
      <c r="AM79" s="787"/>
      <c r="AN79" s="787"/>
      <c r="AO79" s="787">
        <v>78092.089999999982</v>
      </c>
      <c r="AP79" s="787"/>
      <c r="AQ79" s="787"/>
      <c r="AR79" s="787"/>
      <c r="AS79" s="787"/>
      <c r="AT79" s="787"/>
      <c r="AU79" s="787"/>
      <c r="AV79" s="787"/>
      <c r="AW79" s="787"/>
      <c r="AX79" s="787"/>
      <c r="AY79" s="787"/>
      <c r="AZ79" s="787">
        <v>0</v>
      </c>
      <c r="BA79" s="787">
        <v>20331</v>
      </c>
      <c r="BB79" s="787"/>
      <c r="BC79" s="787"/>
      <c r="BD79" s="787"/>
      <c r="BE79" s="787">
        <v>15157.889999999998</v>
      </c>
      <c r="BF79" s="787"/>
      <c r="BG79" s="787"/>
      <c r="BH79" s="787"/>
      <c r="BI79" s="787"/>
      <c r="BJ79" s="787">
        <f t="shared" si="4"/>
        <v>113580.97999999998</v>
      </c>
      <c r="BK79" s="787"/>
      <c r="BL79" s="787"/>
      <c r="BM79" s="787"/>
      <c r="BN79" s="787">
        <v>16571.88</v>
      </c>
      <c r="BO79" s="787"/>
      <c r="BP79" s="787"/>
      <c r="BQ79" s="787">
        <f t="shared" si="5"/>
        <v>16571.88</v>
      </c>
      <c r="BR79" s="787"/>
      <c r="BS79" s="787"/>
      <c r="BT79" s="787"/>
      <c r="BU79" s="787"/>
      <c r="BV79" s="787"/>
      <c r="BW79" s="787"/>
      <c r="BX79" s="787"/>
      <c r="BY79" s="787"/>
      <c r="BZ79" s="787"/>
      <c r="CA79" s="787"/>
      <c r="CB79" s="787"/>
      <c r="CC79" s="787"/>
      <c r="CD79" s="787"/>
      <c r="CE79" s="787"/>
      <c r="CF79" s="787"/>
      <c r="CG79" s="787"/>
      <c r="CH79" s="787"/>
      <c r="CI79" s="787"/>
      <c r="CJ79" s="787"/>
      <c r="CK79" s="787"/>
      <c r="CL79" s="787"/>
      <c r="CM79" s="787"/>
      <c r="CN79" s="787"/>
      <c r="CO79" s="787"/>
      <c r="CP79" s="787"/>
      <c r="CQ79" s="787"/>
      <c r="CR79" s="787"/>
      <c r="CS79" s="787"/>
      <c r="CT79" s="787"/>
      <c r="CU79" s="787"/>
      <c r="CV79" s="787"/>
      <c r="CW79" s="787"/>
      <c r="CX79" s="787"/>
      <c r="CY79" s="787"/>
      <c r="CZ79" s="787"/>
      <c r="DA79" s="787"/>
      <c r="DB79" s="787"/>
      <c r="DC79" s="787"/>
      <c r="DD79" s="787"/>
      <c r="DE79" s="787"/>
      <c r="DF79" s="787"/>
      <c r="DG79" s="787"/>
      <c r="DH79" s="787"/>
      <c r="DI79" s="787"/>
      <c r="DJ79" s="787"/>
      <c r="DK79" s="787"/>
      <c r="DL79" s="787"/>
      <c r="DM79" s="787"/>
      <c r="DN79" s="787"/>
      <c r="DO79" s="787"/>
      <c r="DP79" s="787"/>
      <c r="DQ79" s="787"/>
      <c r="DR79" s="787"/>
      <c r="DS79" s="787"/>
      <c r="DT79" s="787"/>
      <c r="DU79" s="787"/>
      <c r="DV79" s="787"/>
      <c r="DW79" s="787"/>
      <c r="DX79" s="787"/>
      <c r="DY79" s="787"/>
      <c r="DZ79" s="787"/>
      <c r="EA79" s="787"/>
    </row>
    <row r="80" spans="1:131" ht="15.6">
      <c r="A80" s="782" t="s">
        <v>1373</v>
      </c>
      <c r="B80" s="782" t="s">
        <v>668</v>
      </c>
      <c r="C80" s="783">
        <v>3411</v>
      </c>
      <c r="D80" s="784" t="s">
        <v>669</v>
      </c>
      <c r="E80" s="785" t="s">
        <v>521</v>
      </c>
      <c r="F80" s="786">
        <v>46094</v>
      </c>
      <c r="G80" s="785" t="s">
        <v>5</v>
      </c>
      <c r="H80" s="785" t="s">
        <v>680</v>
      </c>
      <c r="I80" s="787">
        <v>1266749.5692608766</v>
      </c>
      <c r="J80" s="787">
        <v>0</v>
      </c>
      <c r="K80" s="787">
        <v>444870.02333333332</v>
      </c>
      <c r="L80" s="787"/>
      <c r="M80" s="787">
        <v>145740</v>
      </c>
      <c r="N80" s="787">
        <v>37171</v>
      </c>
      <c r="O80" s="787"/>
      <c r="P80" s="787"/>
      <c r="Q80" s="787">
        <v>0</v>
      </c>
      <c r="R80" s="787"/>
      <c r="S80" s="787"/>
      <c r="T80" s="787"/>
      <c r="U80" s="787"/>
      <c r="V80" s="787"/>
      <c r="W80" s="787"/>
      <c r="X80" s="787">
        <f t="shared" si="3"/>
        <v>1894530.5925942101</v>
      </c>
      <c r="Y80" s="787"/>
      <c r="Z80" s="787"/>
      <c r="AA80" s="787"/>
      <c r="AB80" s="787"/>
      <c r="AC80" s="787"/>
      <c r="AD80" s="787"/>
      <c r="AE80" s="787"/>
      <c r="AF80" s="787"/>
      <c r="AG80" s="787"/>
      <c r="AH80" s="787"/>
      <c r="AI80" s="787"/>
      <c r="AJ80" s="787"/>
      <c r="AK80" s="787"/>
      <c r="AL80" s="787"/>
      <c r="AM80" s="787"/>
      <c r="AN80" s="787"/>
      <c r="AO80" s="787">
        <v>33654.799999999996</v>
      </c>
      <c r="AP80" s="787"/>
      <c r="AQ80" s="787"/>
      <c r="AR80" s="787"/>
      <c r="AS80" s="787"/>
      <c r="AT80" s="787"/>
      <c r="AU80" s="787"/>
      <c r="AV80" s="787"/>
      <c r="AW80" s="787"/>
      <c r="AX80" s="787"/>
      <c r="AY80" s="787"/>
      <c r="AZ80" s="787">
        <v>0</v>
      </c>
      <c r="BA80" s="787">
        <v>4347</v>
      </c>
      <c r="BB80" s="787"/>
      <c r="BC80" s="787"/>
      <c r="BD80" s="787"/>
      <c r="BE80" s="787">
        <v>3703.3599999999992</v>
      </c>
      <c r="BF80" s="787"/>
      <c r="BG80" s="787"/>
      <c r="BH80" s="787"/>
      <c r="BI80" s="787"/>
      <c r="BJ80" s="787">
        <f t="shared" si="4"/>
        <v>41705.159999999996</v>
      </c>
      <c r="BK80" s="787"/>
      <c r="BL80" s="787"/>
      <c r="BM80" s="787"/>
      <c r="BN80" s="787">
        <v>0</v>
      </c>
      <c r="BO80" s="787"/>
      <c r="BP80" s="787"/>
      <c r="BQ80" s="787">
        <f t="shared" si="5"/>
        <v>0</v>
      </c>
      <c r="BR80" s="787"/>
      <c r="BS80" s="787"/>
      <c r="BT80" s="787"/>
      <c r="BU80" s="787"/>
      <c r="BV80" s="787"/>
      <c r="BW80" s="787"/>
      <c r="BX80" s="787"/>
      <c r="BY80" s="787"/>
      <c r="BZ80" s="787"/>
      <c r="CA80" s="787"/>
      <c r="CB80" s="787"/>
      <c r="CC80" s="787"/>
      <c r="CD80" s="787"/>
      <c r="CE80" s="787"/>
      <c r="CF80" s="787"/>
      <c r="CG80" s="787"/>
      <c r="CH80" s="787"/>
      <c r="CI80" s="787"/>
      <c r="CJ80" s="787"/>
      <c r="CK80" s="787"/>
      <c r="CL80" s="787"/>
      <c r="CM80" s="787"/>
      <c r="CN80" s="787"/>
      <c r="CO80" s="787"/>
      <c r="CP80" s="787"/>
      <c r="CQ80" s="787"/>
      <c r="CR80" s="787"/>
      <c r="CS80" s="787"/>
      <c r="CT80" s="787"/>
      <c r="CU80" s="787"/>
      <c r="CV80" s="787"/>
      <c r="CW80" s="787"/>
      <c r="CX80" s="787"/>
      <c r="CY80" s="787"/>
      <c r="CZ80" s="787"/>
      <c r="DA80" s="787"/>
      <c r="DB80" s="787"/>
      <c r="DC80" s="787"/>
      <c r="DD80" s="787"/>
      <c r="DE80" s="787"/>
      <c r="DF80" s="787"/>
      <c r="DG80" s="787"/>
      <c r="DH80" s="787"/>
      <c r="DI80" s="787"/>
      <c r="DJ80" s="787"/>
      <c r="DK80" s="787"/>
      <c r="DL80" s="787"/>
      <c r="DM80" s="787"/>
      <c r="DN80" s="787"/>
      <c r="DO80" s="787"/>
      <c r="DP80" s="787"/>
      <c r="DQ80" s="787"/>
      <c r="DR80" s="787"/>
      <c r="DS80" s="787"/>
      <c r="DT80" s="787"/>
      <c r="DU80" s="787"/>
      <c r="DV80" s="787"/>
      <c r="DW80" s="787"/>
      <c r="DX80" s="787"/>
      <c r="DY80" s="787"/>
      <c r="DZ80" s="787"/>
      <c r="EA80" s="787"/>
    </row>
    <row r="81" spans="1:131" ht="15.6">
      <c r="A81" s="782" t="s">
        <v>1374</v>
      </c>
      <c r="B81" s="782" t="s">
        <v>894</v>
      </c>
      <c r="C81" s="783">
        <v>2474</v>
      </c>
      <c r="D81" s="784" t="s">
        <v>895</v>
      </c>
      <c r="E81" s="785" t="s">
        <v>521</v>
      </c>
      <c r="F81" s="786">
        <v>46094</v>
      </c>
      <c r="G81" s="785" t="s">
        <v>5</v>
      </c>
      <c r="H81" s="785" t="s">
        <v>902</v>
      </c>
      <c r="I81" s="787">
        <v>2267713.0705624702</v>
      </c>
      <c r="J81" s="787">
        <v>0</v>
      </c>
      <c r="K81" s="787">
        <v>44320.263333333336</v>
      </c>
      <c r="L81" s="787"/>
      <c r="M81" s="787">
        <v>205240</v>
      </c>
      <c r="N81" s="787">
        <v>71696</v>
      </c>
      <c r="O81" s="787"/>
      <c r="P81" s="787"/>
      <c r="Q81" s="787">
        <v>2399.4499999999998</v>
      </c>
      <c r="R81" s="787"/>
      <c r="S81" s="787"/>
      <c r="T81" s="787"/>
      <c r="U81" s="787"/>
      <c r="V81" s="787"/>
      <c r="W81" s="787"/>
      <c r="X81" s="787">
        <f t="shared" si="3"/>
        <v>2591368.7838958036</v>
      </c>
      <c r="Y81" s="787"/>
      <c r="Z81" s="787"/>
      <c r="AA81" s="787"/>
      <c r="AB81" s="787"/>
      <c r="AC81" s="787"/>
      <c r="AD81" s="787"/>
      <c r="AE81" s="787"/>
      <c r="AF81" s="787"/>
      <c r="AG81" s="787"/>
      <c r="AH81" s="787"/>
      <c r="AI81" s="787"/>
      <c r="AJ81" s="787"/>
      <c r="AK81" s="787"/>
      <c r="AL81" s="787"/>
      <c r="AM81" s="787"/>
      <c r="AN81" s="787"/>
      <c r="AO81" s="787">
        <v>33857.499999999993</v>
      </c>
      <c r="AP81" s="787"/>
      <c r="AQ81" s="787"/>
      <c r="AR81" s="787"/>
      <c r="AS81" s="787"/>
      <c r="AT81" s="787"/>
      <c r="AU81" s="787"/>
      <c r="AV81" s="787"/>
      <c r="AW81" s="787"/>
      <c r="AX81" s="787"/>
      <c r="AY81" s="787"/>
      <c r="AZ81" s="787">
        <v>115.16</v>
      </c>
      <c r="BA81" s="787">
        <v>11151</v>
      </c>
      <c r="BB81" s="787"/>
      <c r="BC81" s="787"/>
      <c r="BD81" s="787"/>
      <c r="BE81" s="787">
        <v>10771.039999999995</v>
      </c>
      <c r="BF81" s="787"/>
      <c r="BG81" s="787"/>
      <c r="BH81" s="787"/>
      <c r="BI81" s="787"/>
      <c r="BJ81" s="787">
        <f t="shared" si="4"/>
        <v>55894.69999999999</v>
      </c>
      <c r="BK81" s="787"/>
      <c r="BL81" s="787"/>
      <c r="BM81" s="787"/>
      <c r="BN81" s="787">
        <v>8668.75</v>
      </c>
      <c r="BO81" s="787"/>
      <c r="BP81" s="787"/>
      <c r="BQ81" s="787">
        <f t="shared" si="5"/>
        <v>8668.75</v>
      </c>
      <c r="BR81" s="787"/>
      <c r="BS81" s="787"/>
      <c r="BT81" s="787"/>
      <c r="BU81" s="787"/>
      <c r="BV81" s="787"/>
      <c r="BW81" s="787"/>
      <c r="BX81" s="787"/>
      <c r="BY81" s="787"/>
      <c r="BZ81" s="787"/>
      <c r="CA81" s="787"/>
      <c r="CB81" s="787"/>
      <c r="CC81" s="787"/>
      <c r="CD81" s="787"/>
      <c r="CE81" s="787"/>
      <c r="CF81" s="787"/>
      <c r="CG81" s="787"/>
      <c r="CH81" s="787"/>
      <c r="CI81" s="787"/>
      <c r="CJ81" s="787"/>
      <c r="CK81" s="787"/>
      <c r="CL81" s="787"/>
      <c r="CM81" s="787"/>
      <c r="CN81" s="787"/>
      <c r="CO81" s="787"/>
      <c r="CP81" s="787"/>
      <c r="CQ81" s="787"/>
      <c r="CR81" s="787"/>
      <c r="CS81" s="787"/>
      <c r="CT81" s="787"/>
      <c r="CU81" s="787"/>
      <c r="CV81" s="787"/>
      <c r="CW81" s="787"/>
      <c r="CX81" s="787"/>
      <c r="CY81" s="787"/>
      <c r="CZ81" s="787"/>
      <c r="DA81" s="787"/>
      <c r="DB81" s="787"/>
      <c r="DC81" s="787"/>
      <c r="DD81" s="787"/>
      <c r="DE81" s="787"/>
      <c r="DF81" s="787"/>
      <c r="DG81" s="787"/>
      <c r="DH81" s="787"/>
      <c r="DI81" s="787"/>
      <c r="DJ81" s="787"/>
      <c r="DK81" s="787"/>
      <c r="DL81" s="787"/>
      <c r="DM81" s="787"/>
      <c r="DN81" s="787"/>
      <c r="DO81" s="787"/>
      <c r="DP81" s="787"/>
      <c r="DQ81" s="787"/>
      <c r="DR81" s="787"/>
      <c r="DS81" s="787"/>
      <c r="DT81" s="787"/>
      <c r="DU81" s="787"/>
      <c r="DV81" s="787"/>
      <c r="DW81" s="787"/>
      <c r="DX81" s="787"/>
      <c r="DY81" s="787"/>
      <c r="DZ81" s="787"/>
      <c r="EA81" s="787"/>
    </row>
    <row r="82" spans="1:131" ht="15.6">
      <c r="A82" s="782" t="s">
        <v>1375</v>
      </c>
      <c r="B82" s="782" t="s">
        <v>670</v>
      </c>
      <c r="C82" s="783">
        <v>4223</v>
      </c>
      <c r="D82" s="784" t="s">
        <v>671</v>
      </c>
      <c r="E82" s="785" t="s">
        <v>521</v>
      </c>
      <c r="F82" s="786">
        <v>46093</v>
      </c>
      <c r="G82" s="785" t="s">
        <v>5</v>
      </c>
      <c r="H82" s="785" t="s">
        <v>682</v>
      </c>
      <c r="I82" s="787">
        <v>8658203.3026285898</v>
      </c>
      <c r="J82" s="787">
        <v>1244904.2933333335</v>
      </c>
      <c r="K82" s="787">
        <v>101653.00000000001</v>
      </c>
      <c r="L82" s="787"/>
      <c r="M82" s="787">
        <v>648200</v>
      </c>
      <c r="N82" s="787">
        <v>39055.86</v>
      </c>
      <c r="O82" s="787"/>
      <c r="P82" s="787"/>
      <c r="Q82" s="787">
        <v>0</v>
      </c>
      <c r="R82" s="787"/>
      <c r="S82" s="787"/>
      <c r="T82" s="787"/>
      <c r="U82" s="787"/>
      <c r="V82" s="787"/>
      <c r="W82" s="787"/>
      <c r="X82" s="787">
        <f t="shared" si="3"/>
        <v>10692016.455961922</v>
      </c>
      <c r="Y82" s="787"/>
      <c r="Z82" s="787"/>
      <c r="AA82" s="787"/>
      <c r="AB82" s="787"/>
      <c r="AC82" s="787"/>
      <c r="AD82" s="787"/>
      <c r="AE82" s="787"/>
      <c r="AF82" s="787"/>
      <c r="AG82" s="787"/>
      <c r="AH82" s="787"/>
      <c r="AI82" s="787"/>
      <c r="AJ82" s="787"/>
      <c r="AK82" s="787"/>
      <c r="AL82" s="787"/>
      <c r="AM82" s="787"/>
      <c r="AN82" s="787"/>
      <c r="AO82" s="787">
        <v>186512.22999999998</v>
      </c>
      <c r="AP82" s="787"/>
      <c r="AQ82" s="787"/>
      <c r="AR82" s="787"/>
      <c r="AS82" s="787"/>
      <c r="AT82" s="787"/>
      <c r="AU82" s="787"/>
      <c r="AV82" s="787"/>
      <c r="AW82" s="787"/>
      <c r="AX82" s="787"/>
      <c r="AY82" s="787"/>
      <c r="AZ82" s="787">
        <v>0</v>
      </c>
      <c r="BA82" s="787">
        <v>0</v>
      </c>
      <c r="BB82" s="787"/>
      <c r="BC82" s="787"/>
      <c r="BD82" s="787"/>
      <c r="BE82" s="787">
        <v>20069.61</v>
      </c>
      <c r="BF82" s="787"/>
      <c r="BG82" s="787"/>
      <c r="BH82" s="787"/>
      <c r="BI82" s="787"/>
      <c r="BJ82" s="787">
        <f t="shared" si="4"/>
        <v>206581.83999999997</v>
      </c>
      <c r="BK82" s="787"/>
      <c r="BL82" s="787"/>
      <c r="BM82" s="787"/>
      <c r="BN82" s="787">
        <v>24410.31</v>
      </c>
      <c r="BO82" s="787"/>
      <c r="BP82" s="787"/>
      <c r="BQ82" s="787">
        <f t="shared" si="5"/>
        <v>24410.31</v>
      </c>
      <c r="BR82" s="787"/>
      <c r="BS82" s="787"/>
      <c r="BT82" s="787"/>
      <c r="BU82" s="787"/>
      <c r="BV82" s="787"/>
      <c r="BW82" s="787"/>
      <c r="BX82" s="787"/>
      <c r="BY82" s="787"/>
      <c r="BZ82" s="787"/>
      <c r="CA82" s="787"/>
      <c r="CB82" s="787"/>
      <c r="CC82" s="787"/>
      <c r="CD82" s="787"/>
      <c r="CE82" s="787"/>
      <c r="CF82" s="787"/>
      <c r="CG82" s="787"/>
      <c r="CH82" s="787"/>
      <c r="CI82" s="787"/>
      <c r="CJ82" s="787"/>
      <c r="CK82" s="787"/>
      <c r="CL82" s="787"/>
      <c r="CM82" s="787"/>
      <c r="CN82" s="787"/>
      <c r="CO82" s="787"/>
      <c r="CP82" s="787"/>
      <c r="CQ82" s="787"/>
      <c r="CR82" s="787"/>
      <c r="CS82" s="787"/>
      <c r="CT82" s="787"/>
      <c r="CU82" s="787"/>
      <c r="CV82" s="787"/>
      <c r="CW82" s="787"/>
      <c r="CX82" s="787"/>
      <c r="CY82" s="787"/>
      <c r="CZ82" s="787"/>
      <c r="DA82" s="787"/>
      <c r="DB82" s="787"/>
      <c r="DC82" s="787"/>
      <c r="DD82" s="787"/>
      <c r="DE82" s="787"/>
      <c r="DF82" s="787"/>
      <c r="DG82" s="787"/>
      <c r="DH82" s="787"/>
      <c r="DI82" s="787"/>
      <c r="DJ82" s="787"/>
      <c r="DK82" s="787"/>
      <c r="DL82" s="787"/>
      <c r="DM82" s="787"/>
      <c r="DN82" s="787"/>
      <c r="DO82" s="787"/>
      <c r="DP82" s="787"/>
      <c r="DQ82" s="787"/>
      <c r="DR82" s="787"/>
      <c r="DS82" s="787"/>
      <c r="DT82" s="787"/>
      <c r="DU82" s="787"/>
      <c r="DV82" s="787"/>
      <c r="DW82" s="787"/>
      <c r="DX82" s="787"/>
      <c r="DY82" s="787"/>
      <c r="DZ82" s="787"/>
      <c r="EA82" s="787"/>
    </row>
    <row r="83" spans="1:131" ht="15.6">
      <c r="A83" s="782" t="s">
        <v>1376</v>
      </c>
      <c r="B83" s="782" t="s">
        <v>672</v>
      </c>
      <c r="C83" s="783">
        <v>3317</v>
      </c>
      <c r="D83" s="784" t="s">
        <v>673</v>
      </c>
      <c r="E83" s="785" t="s">
        <v>521</v>
      </c>
      <c r="F83" s="786" t="s">
        <v>1305</v>
      </c>
      <c r="G83" s="785" t="s">
        <v>5</v>
      </c>
      <c r="H83" s="785" t="s">
        <v>684</v>
      </c>
      <c r="I83" s="787">
        <v>1477111.756746287</v>
      </c>
      <c r="J83" s="787">
        <v>0</v>
      </c>
      <c r="K83" s="787">
        <v>71910.346666666665</v>
      </c>
      <c r="L83" s="787"/>
      <c r="M83" s="787">
        <v>165850</v>
      </c>
      <c r="N83" s="787">
        <v>42647.5</v>
      </c>
      <c r="O83" s="787"/>
      <c r="P83" s="787"/>
      <c r="Q83" s="787">
        <v>4190.0715200000159</v>
      </c>
      <c r="R83" s="787"/>
      <c r="S83" s="787"/>
      <c r="T83" s="787"/>
      <c r="U83" s="787"/>
      <c r="V83" s="787"/>
      <c r="W83" s="787"/>
      <c r="X83" s="787">
        <f t="shared" si="3"/>
        <v>1761709.6749329537</v>
      </c>
      <c r="Y83" s="787"/>
      <c r="Z83" s="787"/>
      <c r="AA83" s="787"/>
      <c r="AB83" s="787"/>
      <c r="AC83" s="787"/>
      <c r="AD83" s="787"/>
      <c r="AE83" s="787"/>
      <c r="AF83" s="787"/>
      <c r="AG83" s="787"/>
      <c r="AH83" s="787"/>
      <c r="AI83" s="787"/>
      <c r="AJ83" s="787"/>
      <c r="AK83" s="787"/>
      <c r="AL83" s="787"/>
      <c r="AM83" s="787"/>
      <c r="AN83" s="787"/>
      <c r="AO83" s="787">
        <v>5246.9600000000019</v>
      </c>
      <c r="AP83" s="787"/>
      <c r="AQ83" s="787"/>
      <c r="AR83" s="787"/>
      <c r="AS83" s="787"/>
      <c r="AT83" s="787"/>
      <c r="AU83" s="787"/>
      <c r="AV83" s="787"/>
      <c r="AW83" s="787"/>
      <c r="AX83" s="787"/>
      <c r="AY83" s="787"/>
      <c r="AZ83" s="787">
        <v>83.97</v>
      </c>
      <c r="BA83" s="787">
        <v>0</v>
      </c>
      <c r="BB83" s="787"/>
      <c r="BC83" s="787"/>
      <c r="BD83" s="787"/>
      <c r="BE83" s="787">
        <v>5398.56</v>
      </c>
      <c r="BF83" s="787"/>
      <c r="BG83" s="787"/>
      <c r="BH83" s="787"/>
      <c r="BI83" s="787"/>
      <c r="BJ83" s="787">
        <f t="shared" si="4"/>
        <v>10729.490000000002</v>
      </c>
      <c r="BK83" s="787"/>
      <c r="BL83" s="787"/>
      <c r="BM83" s="787"/>
      <c r="BN83" s="787">
        <v>0</v>
      </c>
      <c r="BO83" s="787"/>
      <c r="BP83" s="787"/>
      <c r="BQ83" s="787">
        <f t="shared" si="5"/>
        <v>0</v>
      </c>
      <c r="BR83" s="787"/>
      <c r="BS83" s="787"/>
      <c r="BT83" s="787"/>
      <c r="BU83" s="787"/>
      <c r="BV83" s="787"/>
      <c r="BW83" s="787"/>
      <c r="BX83" s="787"/>
      <c r="BY83" s="787"/>
      <c r="BZ83" s="787"/>
      <c r="CA83" s="787"/>
      <c r="CB83" s="787"/>
      <c r="CC83" s="787"/>
      <c r="CD83" s="787"/>
      <c r="CE83" s="787"/>
      <c r="CF83" s="787"/>
      <c r="CG83" s="787"/>
      <c r="CH83" s="787"/>
      <c r="CI83" s="787"/>
      <c r="CJ83" s="787"/>
      <c r="CK83" s="787"/>
      <c r="CL83" s="787"/>
      <c r="CM83" s="787"/>
      <c r="CN83" s="787"/>
      <c r="CO83" s="787"/>
      <c r="CP83" s="787"/>
      <c r="CQ83" s="787"/>
      <c r="CR83" s="787"/>
      <c r="CS83" s="787"/>
      <c r="CT83" s="787"/>
      <c r="CU83" s="787"/>
      <c r="CV83" s="787"/>
      <c r="CW83" s="787"/>
      <c r="CX83" s="787"/>
      <c r="CY83" s="787"/>
      <c r="CZ83" s="787"/>
      <c r="DA83" s="787"/>
      <c r="DB83" s="787"/>
      <c r="DC83" s="787"/>
      <c r="DD83" s="787"/>
      <c r="DE83" s="787"/>
      <c r="DF83" s="787"/>
      <c r="DG83" s="787"/>
      <c r="DH83" s="787"/>
      <c r="DI83" s="787"/>
      <c r="DJ83" s="787"/>
      <c r="DK83" s="787"/>
      <c r="DL83" s="787"/>
      <c r="DM83" s="787"/>
      <c r="DN83" s="787"/>
      <c r="DO83" s="787"/>
      <c r="DP83" s="787"/>
      <c r="DQ83" s="787"/>
      <c r="DR83" s="787"/>
      <c r="DS83" s="787"/>
      <c r="DT83" s="787"/>
      <c r="DU83" s="787"/>
      <c r="DV83" s="787"/>
      <c r="DW83" s="787"/>
      <c r="DX83" s="787"/>
      <c r="DY83" s="787"/>
      <c r="DZ83" s="787"/>
      <c r="EA83" s="787"/>
    </row>
    <row r="84" spans="1:131" ht="15.6">
      <c r="A84" s="782" t="s">
        <v>1377</v>
      </c>
      <c r="B84" s="782" t="s">
        <v>674</v>
      </c>
      <c r="C84" s="783">
        <v>1023</v>
      </c>
      <c r="D84" s="784" t="s">
        <v>675</v>
      </c>
      <c r="E84" s="785" t="s">
        <v>521</v>
      </c>
      <c r="F84" s="786">
        <v>46094</v>
      </c>
      <c r="G84" s="785" t="s">
        <v>5</v>
      </c>
      <c r="H84" s="785" t="s">
        <v>686</v>
      </c>
      <c r="I84" s="787">
        <v>592295.18235693534</v>
      </c>
      <c r="J84" s="787">
        <v>0</v>
      </c>
      <c r="K84" s="787">
        <v>46242.095060018473</v>
      </c>
      <c r="L84" s="787"/>
      <c r="M84" s="787">
        <v>0</v>
      </c>
      <c r="N84" s="787">
        <v>0</v>
      </c>
      <c r="O84" s="787"/>
      <c r="P84" s="787"/>
      <c r="Q84" s="787">
        <v>0</v>
      </c>
      <c r="R84" s="787"/>
      <c r="S84" s="787"/>
      <c r="T84" s="787"/>
      <c r="U84" s="787"/>
      <c r="V84" s="787"/>
      <c r="W84" s="787"/>
      <c r="X84" s="787">
        <f t="shared" si="3"/>
        <v>638537.27741695382</v>
      </c>
      <c r="Y84" s="787"/>
      <c r="Z84" s="787"/>
      <c r="AA84" s="787"/>
      <c r="AB84" s="787"/>
      <c r="AC84" s="787"/>
      <c r="AD84" s="787"/>
      <c r="AE84" s="787"/>
      <c r="AF84" s="787"/>
      <c r="AG84" s="787"/>
      <c r="AH84" s="787"/>
      <c r="AI84" s="787"/>
      <c r="AJ84" s="787"/>
      <c r="AK84" s="787"/>
      <c r="AL84" s="787"/>
      <c r="AM84" s="787"/>
      <c r="AN84" s="787"/>
      <c r="AO84" s="787">
        <v>0</v>
      </c>
      <c r="AP84" s="787"/>
      <c r="AQ84" s="787"/>
      <c r="AR84" s="787"/>
      <c r="AS84" s="787"/>
      <c r="AT84" s="787"/>
      <c r="AU84" s="787"/>
      <c r="AV84" s="787"/>
      <c r="AW84" s="787"/>
      <c r="AX84" s="787"/>
      <c r="AY84" s="787"/>
      <c r="AZ84" s="787">
        <v>0</v>
      </c>
      <c r="BA84" s="787">
        <v>3291.75</v>
      </c>
      <c r="BB84" s="787"/>
      <c r="BC84" s="787"/>
      <c r="BD84" s="787"/>
      <c r="BE84" s="787">
        <v>0</v>
      </c>
      <c r="BF84" s="787"/>
      <c r="BG84" s="787"/>
      <c r="BH84" s="787"/>
      <c r="BI84" s="787"/>
      <c r="BJ84" s="787">
        <f t="shared" si="4"/>
        <v>3291.75</v>
      </c>
      <c r="BK84" s="787"/>
      <c r="BL84" s="787"/>
      <c r="BM84" s="787"/>
      <c r="BN84" s="787">
        <v>4540</v>
      </c>
      <c r="BO84" s="787"/>
      <c r="BP84" s="787"/>
      <c r="BQ84" s="787">
        <f t="shared" si="5"/>
        <v>4540</v>
      </c>
      <c r="BR84" s="787"/>
      <c r="BS84" s="787"/>
      <c r="BT84" s="787"/>
      <c r="BU84" s="787"/>
      <c r="BV84" s="787"/>
      <c r="BW84" s="787"/>
      <c r="BX84" s="787"/>
      <c r="BY84" s="787"/>
      <c r="BZ84" s="787"/>
      <c r="CA84" s="787"/>
      <c r="CB84" s="787"/>
      <c r="CC84" s="787"/>
      <c r="CD84" s="787"/>
      <c r="CE84" s="787"/>
      <c r="CF84" s="787"/>
      <c r="CG84" s="787"/>
      <c r="CH84" s="787"/>
      <c r="CI84" s="787"/>
      <c r="CJ84" s="787"/>
      <c r="CK84" s="787"/>
      <c r="CL84" s="787"/>
      <c r="CM84" s="787"/>
      <c r="CN84" s="787"/>
      <c r="CO84" s="787"/>
      <c r="CP84" s="787"/>
      <c r="CQ84" s="787"/>
      <c r="CR84" s="787"/>
      <c r="CS84" s="787"/>
      <c r="CT84" s="787"/>
      <c r="CU84" s="787"/>
      <c r="CV84" s="787"/>
      <c r="CW84" s="787"/>
      <c r="CX84" s="787"/>
      <c r="CY84" s="787"/>
      <c r="CZ84" s="787"/>
      <c r="DA84" s="787"/>
      <c r="DB84" s="787"/>
      <c r="DC84" s="787"/>
      <c r="DD84" s="787"/>
      <c r="DE84" s="787"/>
      <c r="DF84" s="787"/>
      <c r="DG84" s="787"/>
      <c r="DH84" s="787"/>
      <c r="DI84" s="787"/>
      <c r="DJ84" s="787"/>
      <c r="DK84" s="787"/>
      <c r="DL84" s="787"/>
      <c r="DM84" s="787"/>
      <c r="DN84" s="787"/>
      <c r="DO84" s="787"/>
      <c r="DP84" s="787"/>
      <c r="DQ84" s="787"/>
      <c r="DR84" s="787"/>
      <c r="DS84" s="787"/>
      <c r="DT84" s="787"/>
      <c r="DU84" s="787"/>
      <c r="DV84" s="787"/>
      <c r="DW84" s="787"/>
      <c r="DX84" s="787"/>
      <c r="DY84" s="787"/>
      <c r="DZ84" s="787"/>
      <c r="EA84" s="787"/>
    </row>
    <row r="85" spans="1:131" ht="15.6">
      <c r="A85" s="782" t="s">
        <v>1378</v>
      </c>
      <c r="B85" s="782" t="s">
        <v>676</v>
      </c>
      <c r="C85" s="783">
        <v>2015</v>
      </c>
      <c r="D85" s="784" t="s">
        <v>677</v>
      </c>
      <c r="E85" s="785" t="s">
        <v>521</v>
      </c>
      <c r="F85" s="786">
        <v>46094</v>
      </c>
      <c r="G85" s="785" t="s">
        <v>5</v>
      </c>
      <c r="H85" s="785" t="s">
        <v>688</v>
      </c>
      <c r="I85" s="787">
        <v>2679507.7922208118</v>
      </c>
      <c r="J85" s="787">
        <v>0</v>
      </c>
      <c r="K85" s="787">
        <v>124291.6204</v>
      </c>
      <c r="L85" s="787"/>
      <c r="M85" s="787">
        <v>299970</v>
      </c>
      <c r="N85" s="787">
        <v>61173</v>
      </c>
      <c r="O85" s="787"/>
      <c r="P85" s="787"/>
      <c r="Q85" s="787">
        <v>0</v>
      </c>
      <c r="R85" s="787"/>
      <c r="S85" s="787"/>
      <c r="T85" s="787"/>
      <c r="U85" s="787"/>
      <c r="V85" s="787"/>
      <c r="W85" s="787"/>
      <c r="X85" s="787">
        <f t="shared" si="3"/>
        <v>3164942.4126208117</v>
      </c>
      <c r="Y85" s="787"/>
      <c r="Z85" s="787"/>
      <c r="AA85" s="787"/>
      <c r="AB85" s="787"/>
      <c r="AC85" s="787"/>
      <c r="AD85" s="787"/>
      <c r="AE85" s="787"/>
      <c r="AF85" s="787"/>
      <c r="AG85" s="787"/>
      <c r="AH85" s="787"/>
      <c r="AI85" s="787"/>
      <c r="AJ85" s="787"/>
      <c r="AK85" s="787"/>
      <c r="AL85" s="787"/>
      <c r="AM85" s="787"/>
      <c r="AN85" s="787"/>
      <c r="AO85" s="787">
        <v>41332.1</v>
      </c>
      <c r="AP85" s="787"/>
      <c r="AQ85" s="787"/>
      <c r="AR85" s="787"/>
      <c r="AS85" s="787"/>
      <c r="AT85" s="787"/>
      <c r="AU85" s="787"/>
      <c r="AV85" s="787"/>
      <c r="AW85" s="787"/>
      <c r="AX85" s="787"/>
      <c r="AY85" s="787"/>
      <c r="AZ85" s="787">
        <v>0</v>
      </c>
      <c r="BA85" s="787">
        <v>9471</v>
      </c>
      <c r="BB85" s="787"/>
      <c r="BC85" s="787"/>
      <c r="BD85" s="787"/>
      <c r="BE85" s="787">
        <v>10223.359999999999</v>
      </c>
      <c r="BF85" s="787"/>
      <c r="BG85" s="787"/>
      <c r="BH85" s="787"/>
      <c r="BI85" s="787"/>
      <c r="BJ85" s="787">
        <f t="shared" si="4"/>
        <v>61026.46</v>
      </c>
      <c r="BK85" s="787"/>
      <c r="BL85" s="787"/>
      <c r="BM85" s="787"/>
      <c r="BN85" s="787">
        <v>8845.3799999999992</v>
      </c>
      <c r="BO85" s="787"/>
      <c r="BP85" s="787"/>
      <c r="BQ85" s="787">
        <f t="shared" si="5"/>
        <v>8845.3799999999992</v>
      </c>
      <c r="BR85" s="787"/>
      <c r="BS85" s="787"/>
      <c r="BT85" s="787"/>
      <c r="BU85" s="787"/>
      <c r="BV85" s="787"/>
      <c r="BW85" s="787"/>
      <c r="BX85" s="787"/>
      <c r="BY85" s="787"/>
      <c r="BZ85" s="787"/>
      <c r="CA85" s="787"/>
      <c r="CB85" s="787"/>
      <c r="CC85" s="787"/>
      <c r="CD85" s="787"/>
      <c r="CE85" s="787"/>
      <c r="CF85" s="787"/>
      <c r="CG85" s="787"/>
      <c r="CH85" s="787"/>
      <c r="CI85" s="787"/>
      <c r="CJ85" s="787"/>
      <c r="CK85" s="787"/>
      <c r="CL85" s="787"/>
      <c r="CM85" s="787"/>
      <c r="CN85" s="787"/>
      <c r="CO85" s="787"/>
      <c r="CP85" s="787"/>
      <c r="CQ85" s="787"/>
      <c r="CR85" s="787"/>
      <c r="CS85" s="787"/>
      <c r="CT85" s="787"/>
      <c r="CU85" s="787"/>
      <c r="CV85" s="787"/>
      <c r="CW85" s="787"/>
      <c r="CX85" s="787"/>
      <c r="CY85" s="787"/>
      <c r="CZ85" s="787"/>
      <c r="DA85" s="787"/>
      <c r="DB85" s="787"/>
      <c r="DC85" s="787"/>
      <c r="DD85" s="787"/>
      <c r="DE85" s="787"/>
      <c r="DF85" s="787"/>
      <c r="DG85" s="787"/>
      <c r="DH85" s="787"/>
      <c r="DI85" s="787"/>
      <c r="DJ85" s="787"/>
      <c r="DK85" s="787"/>
      <c r="DL85" s="787"/>
      <c r="DM85" s="787"/>
      <c r="DN85" s="787"/>
      <c r="DO85" s="787"/>
      <c r="DP85" s="787"/>
      <c r="DQ85" s="787"/>
      <c r="DR85" s="787"/>
      <c r="DS85" s="787"/>
      <c r="DT85" s="787"/>
      <c r="DU85" s="787"/>
      <c r="DV85" s="787"/>
      <c r="DW85" s="787"/>
      <c r="DX85" s="787"/>
      <c r="DY85" s="787"/>
      <c r="DZ85" s="787"/>
      <c r="EA85" s="787"/>
    </row>
    <row r="86" spans="1:131" ht="15.6">
      <c r="A86" s="782" t="s">
        <v>1379</v>
      </c>
      <c r="B86" s="782" t="s">
        <v>896</v>
      </c>
      <c r="C86" s="783">
        <v>3352</v>
      </c>
      <c r="D86" s="784" t="s">
        <v>897</v>
      </c>
      <c r="E86" s="785" t="s">
        <v>521</v>
      </c>
      <c r="F86" s="786" t="s">
        <v>1315</v>
      </c>
      <c r="G86" s="785" t="s">
        <v>5</v>
      </c>
      <c r="H86" s="785" t="s">
        <v>906</v>
      </c>
      <c r="I86" s="787">
        <v>1003303.6823757245</v>
      </c>
      <c r="J86" s="787">
        <v>0</v>
      </c>
      <c r="K86" s="787">
        <v>75034.263333333336</v>
      </c>
      <c r="L86" s="787"/>
      <c r="M86" s="787">
        <v>74235</v>
      </c>
      <c r="N86" s="787">
        <v>33898</v>
      </c>
      <c r="O86" s="787"/>
      <c r="P86" s="787"/>
      <c r="Q86" s="787">
        <v>838.70999999999992</v>
      </c>
      <c r="R86" s="787"/>
      <c r="S86" s="787"/>
      <c r="T86" s="787"/>
      <c r="U86" s="787"/>
      <c r="V86" s="787"/>
      <c r="W86" s="787"/>
      <c r="X86" s="787">
        <f t="shared" si="3"/>
        <v>1187309.6557090578</v>
      </c>
      <c r="Y86" s="787"/>
      <c r="Z86" s="787"/>
      <c r="AA86" s="787"/>
      <c r="AB86" s="787"/>
      <c r="AC86" s="787"/>
      <c r="AD86" s="787"/>
      <c r="AE86" s="787"/>
      <c r="AF86" s="787"/>
      <c r="AG86" s="787"/>
      <c r="AH86" s="787"/>
      <c r="AI86" s="787"/>
      <c r="AJ86" s="787"/>
      <c r="AK86" s="787"/>
      <c r="AL86" s="787"/>
      <c r="AM86" s="787"/>
      <c r="AN86" s="787"/>
      <c r="AO86" s="787">
        <v>7207.9599999999982</v>
      </c>
      <c r="AP86" s="787"/>
      <c r="AQ86" s="787"/>
      <c r="AR86" s="787"/>
      <c r="AS86" s="787"/>
      <c r="AT86" s="787"/>
      <c r="AU86" s="787"/>
      <c r="AV86" s="787"/>
      <c r="AW86" s="787"/>
      <c r="AX86" s="787"/>
      <c r="AY86" s="787"/>
      <c r="AZ86" s="787">
        <v>3.3200000000000003</v>
      </c>
      <c r="BA86" s="787">
        <v>5139.75</v>
      </c>
      <c r="BB86" s="787"/>
      <c r="BC86" s="787"/>
      <c r="BD86" s="787"/>
      <c r="BE86" s="787">
        <v>3938.0799999999995</v>
      </c>
      <c r="BF86" s="787"/>
      <c r="BG86" s="787"/>
      <c r="BH86" s="787"/>
      <c r="BI86" s="787"/>
      <c r="BJ86" s="787">
        <f t="shared" si="4"/>
        <v>16289.109999999999</v>
      </c>
      <c r="BK86" s="787"/>
      <c r="BL86" s="787"/>
      <c r="BM86" s="787"/>
      <c r="BN86" s="787">
        <v>0</v>
      </c>
      <c r="BO86" s="787"/>
      <c r="BP86" s="787"/>
      <c r="BQ86" s="787">
        <f t="shared" si="5"/>
        <v>0</v>
      </c>
      <c r="BR86" s="787"/>
      <c r="BS86" s="787"/>
      <c r="BT86" s="787"/>
      <c r="BU86" s="787"/>
      <c r="BV86" s="787"/>
      <c r="BW86" s="787"/>
      <c r="BX86" s="787"/>
      <c r="BY86" s="787"/>
      <c r="BZ86" s="787"/>
      <c r="CA86" s="787"/>
      <c r="CB86" s="787"/>
      <c r="CC86" s="787"/>
      <c r="CD86" s="787"/>
      <c r="CE86" s="787"/>
      <c r="CF86" s="787"/>
      <c r="CG86" s="787"/>
      <c r="CH86" s="787"/>
      <c r="CI86" s="787"/>
      <c r="CJ86" s="787"/>
      <c r="CK86" s="787"/>
      <c r="CL86" s="787"/>
      <c r="CM86" s="787"/>
      <c r="CN86" s="787"/>
      <c r="CO86" s="787"/>
      <c r="CP86" s="787"/>
      <c r="CQ86" s="787"/>
      <c r="CR86" s="787"/>
      <c r="CS86" s="787"/>
      <c r="CT86" s="787"/>
      <c r="CU86" s="787"/>
      <c r="CV86" s="787"/>
      <c r="CW86" s="787"/>
      <c r="CX86" s="787"/>
      <c r="CY86" s="787"/>
      <c r="CZ86" s="787"/>
      <c r="DA86" s="787"/>
      <c r="DB86" s="787"/>
      <c r="DC86" s="787"/>
      <c r="DD86" s="787"/>
      <c r="DE86" s="787"/>
      <c r="DF86" s="787"/>
      <c r="DG86" s="787"/>
      <c r="DH86" s="787"/>
      <c r="DI86" s="787"/>
      <c r="DJ86" s="787"/>
      <c r="DK86" s="787"/>
      <c r="DL86" s="787"/>
      <c r="DM86" s="787"/>
      <c r="DN86" s="787"/>
      <c r="DO86" s="787"/>
      <c r="DP86" s="787"/>
      <c r="DQ86" s="787"/>
      <c r="DR86" s="787"/>
      <c r="DS86" s="787"/>
      <c r="DT86" s="787"/>
      <c r="DU86" s="787"/>
      <c r="DV86" s="787"/>
      <c r="DW86" s="787"/>
      <c r="DX86" s="787"/>
      <c r="DY86" s="787"/>
      <c r="DZ86" s="787"/>
      <c r="EA86" s="787"/>
    </row>
    <row r="87" spans="1:131" ht="15.6">
      <c r="A87" s="782" t="s">
        <v>1380</v>
      </c>
      <c r="B87" s="782" t="s">
        <v>678</v>
      </c>
      <c r="C87" s="783">
        <v>4063</v>
      </c>
      <c r="D87" s="784" t="s">
        <v>1261</v>
      </c>
      <c r="E87" s="785" t="s">
        <v>521</v>
      </c>
      <c r="F87" s="786">
        <v>0</v>
      </c>
      <c r="G87" s="785" t="s">
        <v>5</v>
      </c>
      <c r="H87" s="785" t="s">
        <v>690</v>
      </c>
      <c r="I87" s="787">
        <v>6872294.3300577477</v>
      </c>
      <c r="J87" s="787">
        <v>0</v>
      </c>
      <c r="K87" s="787">
        <v>204722.33666666664</v>
      </c>
      <c r="L87" s="787"/>
      <c r="M87" s="787">
        <v>418175</v>
      </c>
      <c r="N87" s="787">
        <v>9199.5</v>
      </c>
      <c r="O87" s="787"/>
      <c r="P87" s="787"/>
      <c r="Q87" s="787">
        <v>0</v>
      </c>
      <c r="R87" s="787"/>
      <c r="S87" s="787"/>
      <c r="T87" s="787"/>
      <c r="U87" s="787"/>
      <c r="V87" s="787"/>
      <c r="W87" s="787"/>
      <c r="X87" s="787">
        <f t="shared" si="3"/>
        <v>7504391.1667244146</v>
      </c>
      <c r="Y87" s="787"/>
      <c r="Z87" s="787"/>
      <c r="AA87" s="787"/>
      <c r="AB87" s="787"/>
      <c r="AC87" s="787"/>
      <c r="AD87" s="787"/>
      <c r="AE87" s="787"/>
      <c r="AF87" s="787"/>
      <c r="AG87" s="787"/>
      <c r="AH87" s="787"/>
      <c r="AI87" s="787"/>
      <c r="AJ87" s="787"/>
      <c r="AK87" s="787"/>
      <c r="AL87" s="787"/>
      <c r="AM87" s="787"/>
      <c r="AN87" s="787"/>
      <c r="AO87" s="787">
        <v>120950.36000000003</v>
      </c>
      <c r="AP87" s="787"/>
      <c r="AQ87" s="787"/>
      <c r="AR87" s="787"/>
      <c r="AS87" s="787"/>
      <c r="AT87" s="787"/>
      <c r="AU87" s="787"/>
      <c r="AV87" s="787"/>
      <c r="AW87" s="787"/>
      <c r="AX87" s="787"/>
      <c r="AY87" s="787"/>
      <c r="AZ87" s="787">
        <v>0</v>
      </c>
      <c r="BA87" s="787">
        <v>24312.75</v>
      </c>
      <c r="BB87" s="787"/>
      <c r="BC87" s="787"/>
      <c r="BD87" s="787"/>
      <c r="BE87" s="787">
        <v>15842.309999999996</v>
      </c>
      <c r="BF87" s="787"/>
      <c r="BG87" s="787"/>
      <c r="BH87" s="787"/>
      <c r="BI87" s="787"/>
      <c r="BJ87" s="787">
        <f t="shared" si="4"/>
        <v>161105.42000000004</v>
      </c>
      <c r="BK87" s="787"/>
      <c r="BL87" s="787"/>
      <c r="BM87" s="787"/>
      <c r="BN87" s="787">
        <v>17066.87</v>
      </c>
      <c r="BO87" s="787"/>
      <c r="BP87" s="787"/>
      <c r="BQ87" s="787">
        <f t="shared" si="5"/>
        <v>17066.87</v>
      </c>
      <c r="BR87" s="787"/>
      <c r="BS87" s="787"/>
      <c r="BT87" s="787"/>
      <c r="BU87" s="787"/>
      <c r="BV87" s="787"/>
      <c r="BW87" s="787"/>
      <c r="BX87" s="787"/>
      <c r="BY87" s="787"/>
      <c r="BZ87" s="787"/>
      <c r="CA87" s="787"/>
      <c r="CB87" s="787"/>
      <c r="CC87" s="787"/>
      <c r="CD87" s="787"/>
      <c r="CE87" s="787"/>
      <c r="CF87" s="787"/>
      <c r="CG87" s="787"/>
      <c r="CH87" s="787"/>
      <c r="CI87" s="787"/>
      <c r="CJ87" s="787"/>
      <c r="CK87" s="787"/>
      <c r="CL87" s="787"/>
      <c r="CM87" s="787"/>
      <c r="CN87" s="787"/>
      <c r="CO87" s="787"/>
      <c r="CP87" s="787"/>
      <c r="CQ87" s="787"/>
      <c r="CR87" s="787"/>
      <c r="CS87" s="787"/>
      <c r="CT87" s="787"/>
      <c r="CU87" s="787"/>
      <c r="CV87" s="787"/>
      <c r="CW87" s="787"/>
      <c r="CX87" s="787"/>
      <c r="CY87" s="787"/>
      <c r="CZ87" s="787"/>
      <c r="DA87" s="787"/>
      <c r="DB87" s="787"/>
      <c r="DC87" s="787"/>
      <c r="DD87" s="787"/>
      <c r="DE87" s="787"/>
      <c r="DF87" s="787"/>
      <c r="DG87" s="787"/>
      <c r="DH87" s="787"/>
      <c r="DI87" s="787"/>
      <c r="DJ87" s="787"/>
      <c r="DK87" s="787"/>
      <c r="DL87" s="787"/>
      <c r="DM87" s="787"/>
      <c r="DN87" s="787"/>
      <c r="DO87" s="787"/>
      <c r="DP87" s="787"/>
      <c r="DQ87" s="787"/>
      <c r="DR87" s="787"/>
      <c r="DS87" s="787"/>
      <c r="DT87" s="787"/>
      <c r="DU87" s="787"/>
      <c r="DV87" s="787"/>
      <c r="DW87" s="787"/>
      <c r="DX87" s="787"/>
      <c r="DY87" s="787"/>
      <c r="DZ87" s="787"/>
      <c r="EA87" s="787"/>
    </row>
    <row r="88" spans="1:131" ht="15.6">
      <c r="A88" s="782" t="s">
        <v>1381</v>
      </c>
      <c r="B88" s="782" t="s">
        <v>898</v>
      </c>
      <c r="C88" s="783">
        <v>2005</v>
      </c>
      <c r="D88" s="784" t="s">
        <v>899</v>
      </c>
      <c r="E88" s="785" t="s">
        <v>521</v>
      </c>
      <c r="F88" s="786">
        <v>46094</v>
      </c>
      <c r="G88" s="785" t="s">
        <v>5</v>
      </c>
      <c r="H88" s="785" t="s">
        <v>908</v>
      </c>
      <c r="I88" s="787">
        <v>3367924.1474803332</v>
      </c>
      <c r="J88" s="787">
        <v>0</v>
      </c>
      <c r="K88" s="787">
        <v>125484.553</v>
      </c>
      <c r="L88" s="787"/>
      <c r="M88" s="787">
        <v>235985</v>
      </c>
      <c r="N88" s="787">
        <v>117735.2</v>
      </c>
      <c r="O88" s="787"/>
      <c r="P88" s="787"/>
      <c r="Q88" s="787">
        <v>7962.457290000084</v>
      </c>
      <c r="R88" s="787"/>
      <c r="S88" s="787"/>
      <c r="T88" s="787"/>
      <c r="U88" s="787"/>
      <c r="V88" s="787"/>
      <c r="W88" s="787"/>
      <c r="X88" s="787">
        <f t="shared" si="3"/>
        <v>3855091.3577703335</v>
      </c>
      <c r="Y88" s="787"/>
      <c r="Z88" s="787"/>
      <c r="AA88" s="787"/>
      <c r="AB88" s="787"/>
      <c r="AC88" s="787"/>
      <c r="AD88" s="787"/>
      <c r="AE88" s="787"/>
      <c r="AF88" s="787"/>
      <c r="AG88" s="787"/>
      <c r="AH88" s="787"/>
      <c r="AI88" s="787"/>
      <c r="AJ88" s="787"/>
      <c r="AK88" s="787"/>
      <c r="AL88" s="787"/>
      <c r="AM88" s="787"/>
      <c r="AN88" s="787"/>
      <c r="AO88" s="787">
        <v>59344.80000000001</v>
      </c>
      <c r="AP88" s="787"/>
      <c r="AQ88" s="787"/>
      <c r="AR88" s="787"/>
      <c r="AS88" s="787"/>
      <c r="AT88" s="787"/>
      <c r="AU88" s="787"/>
      <c r="AV88" s="787"/>
      <c r="AW88" s="787"/>
      <c r="AX88" s="787"/>
      <c r="AY88" s="787"/>
      <c r="AZ88" s="787">
        <v>96.740000000000009</v>
      </c>
      <c r="BA88" s="787">
        <v>18745.650000000001</v>
      </c>
      <c r="BB88" s="787"/>
      <c r="BC88" s="787"/>
      <c r="BD88" s="787"/>
      <c r="BE88" s="787">
        <v>16326.079999999996</v>
      </c>
      <c r="BF88" s="787"/>
      <c r="BG88" s="787"/>
      <c r="BH88" s="787"/>
      <c r="BI88" s="787"/>
      <c r="BJ88" s="787">
        <f t="shared" si="4"/>
        <v>94513.27</v>
      </c>
      <c r="BK88" s="787"/>
      <c r="BL88" s="787"/>
      <c r="BM88" s="787"/>
      <c r="BN88" s="787">
        <v>11383.38</v>
      </c>
      <c r="BO88" s="787"/>
      <c r="BP88" s="787"/>
      <c r="BQ88" s="787">
        <f t="shared" si="5"/>
        <v>11383.38</v>
      </c>
      <c r="BR88" s="787"/>
      <c r="BS88" s="787"/>
      <c r="BT88" s="787"/>
      <c r="BU88" s="787"/>
      <c r="BV88" s="787"/>
      <c r="BW88" s="787"/>
      <c r="BX88" s="787"/>
      <c r="BY88" s="787"/>
      <c r="BZ88" s="787"/>
      <c r="CA88" s="787"/>
      <c r="CB88" s="787"/>
      <c r="CC88" s="787"/>
      <c r="CD88" s="787"/>
      <c r="CE88" s="787"/>
      <c r="CF88" s="787"/>
      <c r="CG88" s="787"/>
      <c r="CH88" s="787"/>
      <c r="CI88" s="787"/>
      <c r="CJ88" s="787"/>
      <c r="CK88" s="787"/>
      <c r="CL88" s="787"/>
      <c r="CM88" s="787"/>
      <c r="CN88" s="787"/>
      <c r="CO88" s="787"/>
      <c r="CP88" s="787"/>
      <c r="CQ88" s="787"/>
      <c r="CR88" s="787"/>
      <c r="CS88" s="787"/>
      <c r="CT88" s="787"/>
      <c r="CU88" s="787"/>
      <c r="CV88" s="787"/>
      <c r="CW88" s="787"/>
      <c r="CX88" s="787"/>
      <c r="CY88" s="787"/>
      <c r="CZ88" s="787"/>
      <c r="DA88" s="787"/>
      <c r="DB88" s="787"/>
      <c r="DC88" s="787"/>
      <c r="DD88" s="787"/>
      <c r="DE88" s="787"/>
      <c r="DF88" s="787"/>
      <c r="DG88" s="787"/>
      <c r="DH88" s="787"/>
      <c r="DI88" s="787"/>
      <c r="DJ88" s="787"/>
      <c r="DK88" s="787"/>
      <c r="DL88" s="787"/>
      <c r="DM88" s="787"/>
      <c r="DN88" s="787"/>
      <c r="DO88" s="787"/>
      <c r="DP88" s="787"/>
      <c r="DQ88" s="787"/>
      <c r="DR88" s="787"/>
      <c r="DS88" s="787"/>
      <c r="DT88" s="787"/>
      <c r="DU88" s="787"/>
      <c r="DV88" s="787"/>
      <c r="DW88" s="787"/>
      <c r="DX88" s="787"/>
      <c r="DY88" s="787"/>
      <c r="DZ88" s="787"/>
      <c r="EA88" s="787"/>
    </row>
    <row r="89" spans="1:131" ht="15.6">
      <c r="A89" s="782" t="s">
        <v>1382</v>
      </c>
      <c r="B89" s="782" t="s">
        <v>680</v>
      </c>
      <c r="C89" s="783">
        <v>1016</v>
      </c>
      <c r="D89" s="784" t="s">
        <v>681</v>
      </c>
      <c r="E89" s="785" t="s">
        <v>521</v>
      </c>
      <c r="F89" s="786">
        <v>46094</v>
      </c>
      <c r="G89" s="785" t="s">
        <v>5</v>
      </c>
      <c r="H89" s="785" t="s">
        <v>692</v>
      </c>
      <c r="I89" s="787">
        <v>626841.30279732822</v>
      </c>
      <c r="J89" s="787">
        <v>0</v>
      </c>
      <c r="K89" s="787">
        <v>40242.73333333333</v>
      </c>
      <c r="L89" s="787"/>
      <c r="M89" s="787">
        <v>0</v>
      </c>
      <c r="N89" s="787">
        <v>0</v>
      </c>
      <c r="O89" s="787"/>
      <c r="P89" s="787"/>
      <c r="Q89" s="787">
        <v>8514.5544750000263</v>
      </c>
      <c r="R89" s="787"/>
      <c r="S89" s="787"/>
      <c r="T89" s="787"/>
      <c r="U89" s="787"/>
      <c r="V89" s="787"/>
      <c r="W89" s="787"/>
      <c r="X89" s="787">
        <f t="shared" si="3"/>
        <v>675598.59060566151</v>
      </c>
      <c r="Y89" s="787"/>
      <c r="Z89" s="787"/>
      <c r="AA89" s="787"/>
      <c r="AB89" s="787"/>
      <c r="AC89" s="787"/>
      <c r="AD89" s="787"/>
      <c r="AE89" s="787"/>
      <c r="AF89" s="787"/>
      <c r="AG89" s="787"/>
      <c r="AH89" s="787"/>
      <c r="AI89" s="787"/>
      <c r="AJ89" s="787"/>
      <c r="AK89" s="787"/>
      <c r="AL89" s="787"/>
      <c r="AM89" s="787"/>
      <c r="AN89" s="787"/>
      <c r="AO89" s="787">
        <v>0</v>
      </c>
      <c r="AP89" s="787"/>
      <c r="AQ89" s="787"/>
      <c r="AR89" s="787"/>
      <c r="AS89" s="787"/>
      <c r="AT89" s="787"/>
      <c r="AU89" s="787"/>
      <c r="AV89" s="787"/>
      <c r="AW89" s="787"/>
      <c r="AX89" s="787"/>
      <c r="AY89" s="787"/>
      <c r="AZ89" s="787">
        <v>12.280000000000001</v>
      </c>
      <c r="BA89" s="787">
        <v>3291.75</v>
      </c>
      <c r="BB89" s="787"/>
      <c r="BC89" s="787"/>
      <c r="BD89" s="787"/>
      <c r="BE89" s="787">
        <v>0</v>
      </c>
      <c r="BF89" s="787"/>
      <c r="BG89" s="787"/>
      <c r="BH89" s="787"/>
      <c r="BI89" s="787"/>
      <c r="BJ89" s="787">
        <f t="shared" si="4"/>
        <v>3304.03</v>
      </c>
      <c r="BK89" s="787"/>
      <c r="BL89" s="787"/>
      <c r="BM89" s="787"/>
      <c r="BN89" s="787">
        <v>4810</v>
      </c>
      <c r="BO89" s="787"/>
      <c r="BP89" s="787"/>
      <c r="BQ89" s="787">
        <f t="shared" si="5"/>
        <v>4810</v>
      </c>
      <c r="BR89" s="787"/>
      <c r="BS89" s="787"/>
      <c r="BT89" s="787"/>
      <c r="BU89" s="787"/>
      <c r="BV89" s="787"/>
      <c r="BW89" s="787"/>
      <c r="BX89" s="787"/>
      <c r="BY89" s="787"/>
      <c r="BZ89" s="787"/>
      <c r="CA89" s="787"/>
      <c r="CB89" s="787"/>
      <c r="CC89" s="787"/>
      <c r="CD89" s="787"/>
      <c r="CE89" s="787"/>
      <c r="CF89" s="787"/>
      <c r="CG89" s="787"/>
      <c r="CH89" s="787"/>
      <c r="CI89" s="787"/>
      <c r="CJ89" s="787"/>
      <c r="CK89" s="787"/>
      <c r="CL89" s="787"/>
      <c r="CM89" s="787"/>
      <c r="CN89" s="787"/>
      <c r="CO89" s="787"/>
      <c r="CP89" s="787"/>
      <c r="CQ89" s="787"/>
      <c r="CR89" s="787"/>
      <c r="CS89" s="787"/>
      <c r="CT89" s="787"/>
      <c r="CU89" s="787"/>
      <c r="CV89" s="787"/>
      <c r="CW89" s="787"/>
      <c r="CX89" s="787"/>
      <c r="CY89" s="787"/>
      <c r="CZ89" s="787"/>
      <c r="DA89" s="787"/>
      <c r="DB89" s="787"/>
      <c r="DC89" s="787"/>
      <c r="DD89" s="787"/>
      <c r="DE89" s="787"/>
      <c r="DF89" s="787"/>
      <c r="DG89" s="787"/>
      <c r="DH89" s="787"/>
      <c r="DI89" s="787"/>
      <c r="DJ89" s="787"/>
      <c r="DK89" s="787"/>
      <c r="DL89" s="787"/>
      <c r="DM89" s="787"/>
      <c r="DN89" s="787"/>
      <c r="DO89" s="787"/>
      <c r="DP89" s="787"/>
      <c r="DQ89" s="787"/>
      <c r="DR89" s="787"/>
      <c r="DS89" s="787"/>
      <c r="DT89" s="787"/>
      <c r="DU89" s="787"/>
      <c r="DV89" s="787"/>
      <c r="DW89" s="787"/>
      <c r="DX89" s="787"/>
      <c r="DY89" s="787"/>
      <c r="DZ89" s="787"/>
      <c r="EA89" s="787"/>
    </row>
    <row r="90" spans="1:131" ht="15.6">
      <c r="A90" s="782" t="s">
        <v>1383</v>
      </c>
      <c r="B90" s="782" t="s">
        <v>682</v>
      </c>
      <c r="C90" s="783">
        <v>2115</v>
      </c>
      <c r="D90" s="784" t="s">
        <v>683</v>
      </c>
      <c r="E90" s="785" t="s">
        <v>521</v>
      </c>
      <c r="F90" s="786">
        <v>46093</v>
      </c>
      <c r="G90" s="785" t="s">
        <v>5</v>
      </c>
      <c r="H90" s="785" t="s">
        <v>694</v>
      </c>
      <c r="I90" s="787">
        <v>1877937.9358337836</v>
      </c>
      <c r="J90" s="787">
        <v>0</v>
      </c>
      <c r="K90" s="787">
        <v>110817.78333333333</v>
      </c>
      <c r="L90" s="787"/>
      <c r="M90" s="787">
        <v>233975</v>
      </c>
      <c r="N90" s="787">
        <v>41031.64</v>
      </c>
      <c r="O90" s="787"/>
      <c r="P90" s="787"/>
      <c r="Q90" s="787">
        <v>13310.374070000005</v>
      </c>
      <c r="R90" s="787"/>
      <c r="S90" s="787"/>
      <c r="T90" s="787"/>
      <c r="U90" s="787"/>
      <c r="V90" s="787"/>
      <c r="W90" s="787"/>
      <c r="X90" s="787">
        <f t="shared" si="3"/>
        <v>2277072.7332371171</v>
      </c>
      <c r="Y90" s="787"/>
      <c r="Z90" s="787"/>
      <c r="AA90" s="787"/>
      <c r="AB90" s="787"/>
      <c r="AC90" s="787"/>
      <c r="AD90" s="787"/>
      <c r="AE90" s="787"/>
      <c r="AF90" s="787"/>
      <c r="AG90" s="787"/>
      <c r="AH90" s="787"/>
      <c r="AI90" s="787"/>
      <c r="AJ90" s="787"/>
      <c r="AK90" s="787"/>
      <c r="AL90" s="787"/>
      <c r="AM90" s="787"/>
      <c r="AN90" s="787"/>
      <c r="AO90" s="787">
        <v>41869.75</v>
      </c>
      <c r="AP90" s="787"/>
      <c r="AQ90" s="787"/>
      <c r="AR90" s="787"/>
      <c r="AS90" s="787"/>
      <c r="AT90" s="787"/>
      <c r="AU90" s="787"/>
      <c r="AV90" s="787"/>
      <c r="AW90" s="787"/>
      <c r="AX90" s="787"/>
      <c r="AY90" s="787"/>
      <c r="AZ90" s="787">
        <v>10.31</v>
      </c>
      <c r="BA90" s="787">
        <v>5139.75</v>
      </c>
      <c r="BB90" s="787"/>
      <c r="BC90" s="787"/>
      <c r="BD90" s="787"/>
      <c r="BE90" s="787">
        <v>7276.3199999999988</v>
      </c>
      <c r="BF90" s="787"/>
      <c r="BG90" s="787"/>
      <c r="BH90" s="787"/>
      <c r="BI90" s="787"/>
      <c r="BJ90" s="787">
        <f t="shared" si="4"/>
        <v>54296.13</v>
      </c>
      <c r="BK90" s="787"/>
      <c r="BL90" s="787"/>
      <c r="BM90" s="787"/>
      <c r="BN90" s="787">
        <v>7737.25</v>
      </c>
      <c r="BO90" s="787"/>
      <c r="BP90" s="787"/>
      <c r="BQ90" s="787">
        <f t="shared" si="5"/>
        <v>7737.25</v>
      </c>
      <c r="BR90" s="787"/>
      <c r="BS90" s="787"/>
      <c r="BT90" s="787"/>
      <c r="BU90" s="787"/>
      <c r="BV90" s="787"/>
      <c r="BW90" s="787"/>
      <c r="BX90" s="787"/>
      <c r="BY90" s="787"/>
      <c r="BZ90" s="787"/>
      <c r="CA90" s="787"/>
      <c r="CB90" s="787"/>
      <c r="CC90" s="787"/>
      <c r="CD90" s="787"/>
      <c r="CE90" s="787"/>
      <c r="CF90" s="787"/>
      <c r="CG90" s="787"/>
      <c r="CH90" s="787"/>
      <c r="CI90" s="787"/>
      <c r="CJ90" s="787"/>
      <c r="CK90" s="787"/>
      <c r="CL90" s="787"/>
      <c r="CM90" s="787"/>
      <c r="CN90" s="787"/>
      <c r="CO90" s="787"/>
      <c r="CP90" s="787"/>
      <c r="CQ90" s="787"/>
      <c r="CR90" s="787"/>
      <c r="CS90" s="787"/>
      <c r="CT90" s="787"/>
      <c r="CU90" s="787"/>
      <c r="CV90" s="787"/>
      <c r="CW90" s="787"/>
      <c r="CX90" s="787"/>
      <c r="CY90" s="787"/>
      <c r="CZ90" s="787"/>
      <c r="DA90" s="787"/>
      <c r="DB90" s="787"/>
      <c r="DC90" s="787"/>
      <c r="DD90" s="787"/>
      <c r="DE90" s="787"/>
      <c r="DF90" s="787"/>
      <c r="DG90" s="787"/>
      <c r="DH90" s="787"/>
      <c r="DI90" s="787"/>
      <c r="DJ90" s="787"/>
      <c r="DK90" s="787"/>
      <c r="DL90" s="787"/>
      <c r="DM90" s="787"/>
      <c r="DN90" s="787"/>
      <c r="DO90" s="787"/>
      <c r="DP90" s="787"/>
      <c r="DQ90" s="787"/>
      <c r="DR90" s="787"/>
      <c r="DS90" s="787"/>
      <c r="DT90" s="787"/>
      <c r="DU90" s="787"/>
      <c r="DV90" s="787"/>
      <c r="DW90" s="787"/>
      <c r="DX90" s="787"/>
      <c r="DY90" s="787"/>
      <c r="DZ90" s="787"/>
      <c r="EA90" s="787"/>
    </row>
    <row r="91" spans="1:131" ht="15.6">
      <c r="A91" s="782" t="s">
        <v>1384</v>
      </c>
      <c r="B91" s="782" t="s">
        <v>684</v>
      </c>
      <c r="C91" s="783">
        <v>2441</v>
      </c>
      <c r="D91" s="784" t="s">
        <v>685</v>
      </c>
      <c r="E91" s="785" t="s">
        <v>521</v>
      </c>
      <c r="F91" s="786">
        <v>46094</v>
      </c>
      <c r="G91" s="785" t="s">
        <v>5</v>
      </c>
      <c r="H91" s="785" t="s">
        <v>696</v>
      </c>
      <c r="I91" s="787">
        <v>2286612.4722151789</v>
      </c>
      <c r="J91" s="787">
        <v>0</v>
      </c>
      <c r="K91" s="787">
        <v>126557.89000000001</v>
      </c>
      <c r="L91" s="787"/>
      <c r="M91" s="787">
        <v>308660</v>
      </c>
      <c r="N91" s="787">
        <v>42054.93</v>
      </c>
      <c r="O91" s="787"/>
      <c r="P91" s="787"/>
      <c r="Q91" s="787">
        <v>14545.497580000072</v>
      </c>
      <c r="R91" s="787"/>
      <c r="S91" s="787"/>
      <c r="T91" s="787"/>
      <c r="U91" s="787"/>
      <c r="V91" s="787"/>
      <c r="W91" s="787"/>
      <c r="X91" s="787">
        <f t="shared" si="3"/>
        <v>2778430.7897951794</v>
      </c>
      <c r="Y91" s="787"/>
      <c r="Z91" s="787"/>
      <c r="AA91" s="787"/>
      <c r="AB91" s="787"/>
      <c r="AC91" s="787"/>
      <c r="AD91" s="787"/>
      <c r="AE91" s="787"/>
      <c r="AF91" s="787"/>
      <c r="AG91" s="787"/>
      <c r="AH91" s="787"/>
      <c r="AI91" s="787"/>
      <c r="AJ91" s="787"/>
      <c r="AK91" s="787"/>
      <c r="AL91" s="787"/>
      <c r="AM91" s="787"/>
      <c r="AN91" s="787"/>
      <c r="AO91" s="787">
        <v>14333.979999999998</v>
      </c>
      <c r="AP91" s="787"/>
      <c r="AQ91" s="787"/>
      <c r="AR91" s="787"/>
      <c r="AS91" s="787"/>
      <c r="AT91" s="787"/>
      <c r="AU91" s="787"/>
      <c r="AV91" s="787"/>
      <c r="AW91" s="787"/>
      <c r="AX91" s="787"/>
      <c r="AY91" s="787"/>
      <c r="AZ91" s="787">
        <v>17.12</v>
      </c>
      <c r="BA91" s="787">
        <v>9471</v>
      </c>
      <c r="BB91" s="787"/>
      <c r="BC91" s="787"/>
      <c r="BD91" s="787"/>
      <c r="BE91" s="787">
        <v>8919.3599999999988</v>
      </c>
      <c r="BF91" s="787"/>
      <c r="BG91" s="787"/>
      <c r="BH91" s="787"/>
      <c r="BI91" s="787"/>
      <c r="BJ91" s="787">
        <f t="shared" si="4"/>
        <v>32741.46</v>
      </c>
      <c r="BK91" s="787"/>
      <c r="BL91" s="787"/>
      <c r="BM91" s="787"/>
      <c r="BN91" s="787">
        <v>8136.63</v>
      </c>
      <c r="BO91" s="787"/>
      <c r="BP91" s="787"/>
      <c r="BQ91" s="787">
        <f t="shared" si="5"/>
        <v>8136.63</v>
      </c>
      <c r="BR91" s="787"/>
      <c r="BS91" s="787"/>
      <c r="BT91" s="787"/>
      <c r="BU91" s="787"/>
      <c r="BV91" s="787"/>
      <c r="BW91" s="787"/>
      <c r="BX91" s="787"/>
      <c r="BY91" s="787"/>
      <c r="BZ91" s="787"/>
      <c r="CA91" s="787"/>
      <c r="CB91" s="787"/>
      <c r="CC91" s="787"/>
      <c r="CD91" s="787"/>
      <c r="CE91" s="787"/>
      <c r="CF91" s="787"/>
      <c r="CG91" s="787"/>
      <c r="CH91" s="787"/>
      <c r="CI91" s="787"/>
      <c r="CJ91" s="787"/>
      <c r="CK91" s="787"/>
      <c r="CL91" s="787"/>
      <c r="CM91" s="787"/>
      <c r="CN91" s="787"/>
      <c r="CO91" s="787"/>
      <c r="CP91" s="787"/>
      <c r="CQ91" s="787"/>
      <c r="CR91" s="787"/>
      <c r="CS91" s="787"/>
      <c r="CT91" s="787"/>
      <c r="CU91" s="787"/>
      <c r="CV91" s="787"/>
      <c r="CW91" s="787"/>
      <c r="CX91" s="787"/>
      <c r="CY91" s="787"/>
      <c r="CZ91" s="787"/>
      <c r="DA91" s="787"/>
      <c r="DB91" s="787"/>
      <c r="DC91" s="787"/>
      <c r="DD91" s="787"/>
      <c r="DE91" s="787"/>
      <c r="DF91" s="787"/>
      <c r="DG91" s="787"/>
      <c r="DH91" s="787"/>
      <c r="DI91" s="787"/>
      <c r="DJ91" s="787"/>
      <c r="DK91" s="787"/>
      <c r="DL91" s="787"/>
      <c r="DM91" s="787"/>
      <c r="DN91" s="787"/>
      <c r="DO91" s="787"/>
      <c r="DP91" s="787"/>
      <c r="DQ91" s="787"/>
      <c r="DR91" s="787"/>
      <c r="DS91" s="787"/>
      <c r="DT91" s="787"/>
      <c r="DU91" s="787"/>
      <c r="DV91" s="787"/>
      <c r="DW91" s="787"/>
      <c r="DX91" s="787"/>
      <c r="DY91" s="787"/>
      <c r="DZ91" s="787"/>
      <c r="EA91" s="787"/>
    </row>
    <row r="92" spans="1:131" ht="15.6">
      <c r="A92" s="782" t="s">
        <v>1385</v>
      </c>
      <c r="B92" s="782" t="s">
        <v>686</v>
      </c>
      <c r="C92" s="783">
        <v>2321</v>
      </c>
      <c r="D92" s="784" t="s">
        <v>687</v>
      </c>
      <c r="E92" s="785" t="s">
        <v>521</v>
      </c>
      <c r="F92" s="786">
        <v>46094</v>
      </c>
      <c r="G92" s="785" t="s">
        <v>5</v>
      </c>
      <c r="H92" s="785" t="s">
        <v>698</v>
      </c>
      <c r="I92" s="787">
        <v>1253029.0623890988</v>
      </c>
      <c r="J92" s="787">
        <v>0</v>
      </c>
      <c r="K92" s="787">
        <v>173754.75666666665</v>
      </c>
      <c r="L92" s="787"/>
      <c r="M92" s="787">
        <v>176855</v>
      </c>
      <c r="N92" s="787">
        <v>22644.29</v>
      </c>
      <c r="O92" s="787"/>
      <c r="P92" s="787"/>
      <c r="Q92" s="787">
        <v>16456.226979999981</v>
      </c>
      <c r="R92" s="787"/>
      <c r="S92" s="787"/>
      <c r="T92" s="787"/>
      <c r="U92" s="787"/>
      <c r="V92" s="787"/>
      <c r="W92" s="787"/>
      <c r="X92" s="787">
        <f t="shared" si="3"/>
        <v>1642739.3360357655</v>
      </c>
      <c r="Y92" s="787"/>
      <c r="Z92" s="787"/>
      <c r="AA92" s="787"/>
      <c r="AB92" s="787"/>
      <c r="AC92" s="787"/>
      <c r="AD92" s="787"/>
      <c r="AE92" s="787"/>
      <c r="AF92" s="787"/>
      <c r="AG92" s="787"/>
      <c r="AH92" s="787"/>
      <c r="AI92" s="787"/>
      <c r="AJ92" s="787"/>
      <c r="AK92" s="787"/>
      <c r="AL92" s="787"/>
      <c r="AM92" s="787"/>
      <c r="AN92" s="787"/>
      <c r="AO92" s="787">
        <v>15754.469999999996</v>
      </c>
      <c r="AP92" s="787"/>
      <c r="AQ92" s="787"/>
      <c r="AR92" s="787"/>
      <c r="AS92" s="787"/>
      <c r="AT92" s="787"/>
      <c r="AU92" s="787"/>
      <c r="AV92" s="787"/>
      <c r="AW92" s="787"/>
      <c r="AX92" s="787"/>
      <c r="AY92" s="787"/>
      <c r="AZ92" s="787">
        <v>27.68</v>
      </c>
      <c r="BA92" s="787">
        <v>5139.75</v>
      </c>
      <c r="BB92" s="787"/>
      <c r="BC92" s="787"/>
      <c r="BD92" s="787"/>
      <c r="BE92" s="787">
        <v>4668.32</v>
      </c>
      <c r="BF92" s="787"/>
      <c r="BG92" s="787"/>
      <c r="BH92" s="787"/>
      <c r="BI92" s="787"/>
      <c r="BJ92" s="787">
        <f t="shared" si="4"/>
        <v>25590.219999999994</v>
      </c>
      <c r="BK92" s="787"/>
      <c r="BL92" s="787"/>
      <c r="BM92" s="787"/>
      <c r="BN92" s="787">
        <v>6047.5</v>
      </c>
      <c r="BO92" s="787"/>
      <c r="BP92" s="787"/>
      <c r="BQ92" s="787">
        <f t="shared" si="5"/>
        <v>6047.5</v>
      </c>
      <c r="BR92" s="787"/>
      <c r="BS92" s="787"/>
      <c r="BT92" s="787"/>
      <c r="BU92" s="787"/>
      <c r="BV92" s="787"/>
      <c r="BW92" s="787"/>
      <c r="BX92" s="787"/>
      <c r="BY92" s="787"/>
      <c r="BZ92" s="787"/>
      <c r="CA92" s="787"/>
      <c r="CB92" s="787"/>
      <c r="CC92" s="787"/>
      <c r="CD92" s="787"/>
      <c r="CE92" s="787"/>
      <c r="CF92" s="787"/>
      <c r="CG92" s="787"/>
      <c r="CH92" s="787"/>
      <c r="CI92" s="787"/>
      <c r="CJ92" s="787"/>
      <c r="CK92" s="787"/>
      <c r="CL92" s="787"/>
      <c r="CM92" s="787"/>
      <c r="CN92" s="787"/>
      <c r="CO92" s="787"/>
      <c r="CP92" s="787"/>
      <c r="CQ92" s="787"/>
      <c r="CR92" s="787"/>
      <c r="CS92" s="787"/>
      <c r="CT92" s="787"/>
      <c r="CU92" s="787"/>
      <c r="CV92" s="787"/>
      <c r="CW92" s="787"/>
      <c r="CX92" s="787"/>
      <c r="CY92" s="787"/>
      <c r="CZ92" s="787"/>
      <c r="DA92" s="787"/>
      <c r="DB92" s="787"/>
      <c r="DC92" s="787"/>
      <c r="DD92" s="787"/>
      <c r="DE92" s="787"/>
      <c r="DF92" s="787"/>
      <c r="DG92" s="787"/>
      <c r="DH92" s="787"/>
      <c r="DI92" s="787"/>
      <c r="DJ92" s="787"/>
      <c r="DK92" s="787"/>
      <c r="DL92" s="787"/>
      <c r="DM92" s="787"/>
      <c r="DN92" s="787"/>
      <c r="DO92" s="787"/>
      <c r="DP92" s="787"/>
      <c r="DQ92" s="787"/>
      <c r="DR92" s="787"/>
      <c r="DS92" s="787"/>
      <c r="DT92" s="787"/>
      <c r="DU92" s="787"/>
      <c r="DV92" s="787"/>
      <c r="DW92" s="787"/>
      <c r="DX92" s="787"/>
      <c r="DY92" s="787"/>
      <c r="DZ92" s="787"/>
      <c r="EA92" s="787"/>
    </row>
    <row r="93" spans="1:131" ht="15.6">
      <c r="A93" s="782" t="s">
        <v>1386</v>
      </c>
      <c r="B93" s="782" t="s">
        <v>866</v>
      </c>
      <c r="C93" s="783">
        <v>2189</v>
      </c>
      <c r="D93" s="784" t="s">
        <v>867</v>
      </c>
      <c r="E93" s="785" t="s">
        <v>521</v>
      </c>
      <c r="F93" s="786" t="s">
        <v>1315</v>
      </c>
      <c r="G93" s="785" t="s">
        <v>5</v>
      </c>
      <c r="H93" s="785" t="s">
        <v>910</v>
      </c>
      <c r="I93" s="787">
        <v>1581906.1980181492</v>
      </c>
      <c r="J93" s="787">
        <v>0</v>
      </c>
      <c r="K93" s="787">
        <v>66088.796666666662</v>
      </c>
      <c r="L93" s="787"/>
      <c r="M93" s="787">
        <v>181800</v>
      </c>
      <c r="N93" s="787">
        <v>49365.57</v>
      </c>
      <c r="O93" s="787"/>
      <c r="P93" s="787"/>
      <c r="Q93" s="787">
        <v>637.57000000000005</v>
      </c>
      <c r="R93" s="787"/>
      <c r="S93" s="787"/>
      <c r="T93" s="787"/>
      <c r="U93" s="787"/>
      <c r="V93" s="787"/>
      <c r="W93" s="787"/>
      <c r="X93" s="787">
        <f t="shared" si="3"/>
        <v>1879798.134684816</v>
      </c>
      <c r="Y93" s="787"/>
      <c r="Z93" s="787"/>
      <c r="AA93" s="787"/>
      <c r="AB93" s="787"/>
      <c r="AC93" s="787"/>
      <c r="AD93" s="787"/>
      <c r="AE93" s="787"/>
      <c r="AF93" s="787"/>
      <c r="AG93" s="787"/>
      <c r="AH93" s="787"/>
      <c r="AI93" s="787"/>
      <c r="AJ93" s="787"/>
      <c r="AK93" s="787"/>
      <c r="AL93" s="787"/>
      <c r="AM93" s="787"/>
      <c r="AN93" s="787"/>
      <c r="AO93" s="787">
        <v>31534.81</v>
      </c>
      <c r="AP93" s="787"/>
      <c r="AQ93" s="787"/>
      <c r="AR93" s="787"/>
      <c r="AS93" s="787"/>
      <c r="AT93" s="787"/>
      <c r="AU93" s="787"/>
      <c r="AV93" s="787"/>
      <c r="AW93" s="787"/>
      <c r="AX93" s="787"/>
      <c r="AY93" s="787"/>
      <c r="AZ93" s="787">
        <v>139</v>
      </c>
      <c r="BA93" s="787">
        <v>5139.75</v>
      </c>
      <c r="BB93" s="787"/>
      <c r="BC93" s="787"/>
      <c r="BD93" s="787"/>
      <c r="BE93" s="787">
        <v>5737.5999999999995</v>
      </c>
      <c r="BF93" s="787"/>
      <c r="BG93" s="787"/>
      <c r="BH93" s="787"/>
      <c r="BI93" s="787"/>
      <c r="BJ93" s="787">
        <f t="shared" si="4"/>
        <v>42551.159999999996</v>
      </c>
      <c r="BK93" s="787"/>
      <c r="BL93" s="787"/>
      <c r="BM93" s="787"/>
      <c r="BN93" s="787">
        <v>6724.75</v>
      </c>
      <c r="BO93" s="787"/>
      <c r="BP93" s="787"/>
      <c r="BQ93" s="787">
        <f t="shared" si="5"/>
        <v>6724.75</v>
      </c>
      <c r="BR93" s="787"/>
      <c r="BS93" s="787"/>
      <c r="BT93" s="787"/>
      <c r="BU93" s="787"/>
      <c r="BV93" s="787"/>
      <c r="BW93" s="787"/>
      <c r="BX93" s="787"/>
      <c r="BY93" s="787"/>
      <c r="BZ93" s="787"/>
      <c r="CA93" s="787"/>
      <c r="CB93" s="787"/>
      <c r="CC93" s="787"/>
      <c r="CD93" s="787"/>
      <c r="CE93" s="787"/>
      <c r="CF93" s="787"/>
      <c r="CG93" s="787"/>
      <c r="CH93" s="787"/>
      <c r="CI93" s="787"/>
      <c r="CJ93" s="787"/>
      <c r="CK93" s="787"/>
      <c r="CL93" s="787"/>
      <c r="CM93" s="787"/>
      <c r="CN93" s="787"/>
      <c r="CO93" s="787"/>
      <c r="CP93" s="787"/>
      <c r="CQ93" s="787"/>
      <c r="CR93" s="787"/>
      <c r="CS93" s="787"/>
      <c r="CT93" s="787"/>
      <c r="CU93" s="787"/>
      <c r="CV93" s="787"/>
      <c r="CW93" s="787"/>
      <c r="CX93" s="787"/>
      <c r="CY93" s="787"/>
      <c r="CZ93" s="787"/>
      <c r="DA93" s="787"/>
      <c r="DB93" s="787"/>
      <c r="DC93" s="787"/>
      <c r="DD93" s="787"/>
      <c r="DE93" s="787"/>
      <c r="DF93" s="787"/>
      <c r="DG93" s="787"/>
      <c r="DH93" s="787"/>
      <c r="DI93" s="787"/>
      <c r="DJ93" s="787"/>
      <c r="DK93" s="787"/>
      <c r="DL93" s="787"/>
      <c r="DM93" s="787"/>
      <c r="DN93" s="787"/>
      <c r="DO93" s="787"/>
      <c r="DP93" s="787"/>
      <c r="DQ93" s="787"/>
      <c r="DR93" s="787"/>
      <c r="DS93" s="787"/>
      <c r="DT93" s="787"/>
      <c r="DU93" s="787"/>
      <c r="DV93" s="787"/>
      <c r="DW93" s="787"/>
      <c r="DX93" s="787"/>
      <c r="DY93" s="787"/>
      <c r="DZ93" s="787"/>
      <c r="EA93" s="787"/>
    </row>
    <row r="94" spans="1:131" ht="15.6">
      <c r="A94" s="782" t="s">
        <v>1387</v>
      </c>
      <c r="B94" s="782" t="s">
        <v>868</v>
      </c>
      <c r="C94" s="783">
        <v>7060</v>
      </c>
      <c r="D94" s="784" t="s">
        <v>869</v>
      </c>
      <c r="E94" s="785" t="s">
        <v>521</v>
      </c>
      <c r="F94" s="786">
        <v>46094</v>
      </c>
      <c r="G94" s="785" t="s">
        <v>5</v>
      </c>
      <c r="H94" s="785" t="s">
        <v>912</v>
      </c>
      <c r="I94" s="787">
        <v>1376632.2884782609</v>
      </c>
      <c r="J94" s="787">
        <v>0</v>
      </c>
      <c r="K94" s="787">
        <v>2298655.8765342683</v>
      </c>
      <c r="L94" s="787"/>
      <c r="M94" s="787">
        <v>104535</v>
      </c>
      <c r="N94" s="787">
        <v>90374.3</v>
      </c>
      <c r="O94" s="787"/>
      <c r="P94" s="787"/>
      <c r="Q94" s="787">
        <v>11063.74</v>
      </c>
      <c r="R94" s="787"/>
      <c r="S94" s="787"/>
      <c r="T94" s="787"/>
      <c r="U94" s="787"/>
      <c r="V94" s="787"/>
      <c r="W94" s="787"/>
      <c r="X94" s="787">
        <f t="shared" si="3"/>
        <v>3881261.2050125292</v>
      </c>
      <c r="Y94" s="787"/>
      <c r="Z94" s="787"/>
      <c r="AA94" s="787"/>
      <c r="AB94" s="787"/>
      <c r="AC94" s="787"/>
      <c r="AD94" s="787"/>
      <c r="AE94" s="787"/>
      <c r="AF94" s="787"/>
      <c r="AG94" s="787"/>
      <c r="AH94" s="787"/>
      <c r="AI94" s="787"/>
      <c r="AJ94" s="787"/>
      <c r="AK94" s="787"/>
      <c r="AL94" s="787"/>
      <c r="AM94" s="787"/>
      <c r="AN94" s="787"/>
      <c r="AO94" s="787">
        <v>0</v>
      </c>
      <c r="AP94" s="787"/>
      <c r="AQ94" s="787"/>
      <c r="AR94" s="787"/>
      <c r="AS94" s="787"/>
      <c r="AT94" s="787"/>
      <c r="AU94" s="787"/>
      <c r="AV94" s="787"/>
      <c r="AW94" s="787"/>
      <c r="AX94" s="787"/>
      <c r="AY94" s="787"/>
      <c r="AZ94" s="787">
        <v>73.109999999999985</v>
      </c>
      <c r="BA94" s="787">
        <v>3375</v>
      </c>
      <c r="BB94" s="787"/>
      <c r="BC94" s="787"/>
      <c r="BD94" s="787"/>
      <c r="BE94" s="787">
        <v>0</v>
      </c>
      <c r="BF94" s="787"/>
      <c r="BG94" s="787"/>
      <c r="BH94" s="787"/>
      <c r="BI94" s="787"/>
      <c r="BJ94" s="787">
        <f t="shared" si="4"/>
        <v>3448.11</v>
      </c>
      <c r="BK94" s="787"/>
      <c r="BL94" s="787"/>
      <c r="BM94" s="787"/>
      <c r="BN94" s="787">
        <v>9214.3799999999992</v>
      </c>
      <c r="BO94" s="787"/>
      <c r="BP94" s="787"/>
      <c r="BQ94" s="787">
        <f t="shared" si="5"/>
        <v>9214.3799999999992</v>
      </c>
      <c r="BR94" s="787"/>
      <c r="BS94" s="787"/>
      <c r="BT94" s="787"/>
      <c r="BU94" s="787"/>
      <c r="BV94" s="787"/>
      <c r="BW94" s="787"/>
      <c r="BX94" s="787"/>
      <c r="BY94" s="787"/>
      <c r="BZ94" s="787"/>
      <c r="CA94" s="787"/>
      <c r="CB94" s="787"/>
      <c r="CC94" s="787"/>
      <c r="CD94" s="787"/>
      <c r="CE94" s="787"/>
      <c r="CF94" s="787"/>
      <c r="CG94" s="787"/>
      <c r="CH94" s="787"/>
      <c r="CI94" s="787"/>
      <c r="CJ94" s="787"/>
      <c r="CK94" s="787"/>
      <c r="CL94" s="787"/>
      <c r="CM94" s="787"/>
      <c r="CN94" s="787"/>
      <c r="CO94" s="787"/>
      <c r="CP94" s="787"/>
      <c r="CQ94" s="787"/>
      <c r="CR94" s="787"/>
      <c r="CS94" s="787"/>
      <c r="CT94" s="787"/>
      <c r="CU94" s="787"/>
      <c r="CV94" s="787"/>
      <c r="CW94" s="787"/>
      <c r="CX94" s="787"/>
      <c r="CY94" s="787"/>
      <c r="CZ94" s="787"/>
      <c r="DA94" s="787"/>
      <c r="DB94" s="787"/>
      <c r="DC94" s="787"/>
      <c r="DD94" s="787"/>
      <c r="DE94" s="787"/>
      <c r="DF94" s="787"/>
      <c r="DG94" s="787"/>
      <c r="DH94" s="787"/>
      <c r="DI94" s="787"/>
      <c r="DJ94" s="787"/>
      <c r="DK94" s="787"/>
      <c r="DL94" s="787"/>
      <c r="DM94" s="787"/>
      <c r="DN94" s="787"/>
      <c r="DO94" s="787"/>
      <c r="DP94" s="787"/>
      <c r="DQ94" s="787"/>
      <c r="DR94" s="787"/>
      <c r="DS94" s="787"/>
      <c r="DT94" s="787"/>
      <c r="DU94" s="787"/>
      <c r="DV94" s="787"/>
      <c r="DW94" s="787"/>
      <c r="DX94" s="787"/>
      <c r="DY94" s="787"/>
      <c r="DZ94" s="787"/>
      <c r="EA94" s="787"/>
    </row>
    <row r="95" spans="1:131" ht="15.6">
      <c r="A95" s="782" t="s">
        <v>1388</v>
      </c>
      <c r="B95" s="782" t="s">
        <v>900</v>
      </c>
      <c r="C95" s="783">
        <v>1024</v>
      </c>
      <c r="D95" s="784" t="s">
        <v>901</v>
      </c>
      <c r="E95" s="785" t="s">
        <v>521</v>
      </c>
      <c r="F95" s="786" t="s">
        <v>1305</v>
      </c>
      <c r="G95" s="785" t="s">
        <v>5</v>
      </c>
      <c r="H95" s="785" t="s">
        <v>916</v>
      </c>
      <c r="I95" s="787">
        <v>602975.22846703755</v>
      </c>
      <c r="J95" s="787">
        <v>0</v>
      </c>
      <c r="K95" s="787">
        <v>9337.1633999999995</v>
      </c>
      <c r="L95" s="787"/>
      <c r="M95" s="787">
        <v>0</v>
      </c>
      <c r="N95" s="787">
        <v>0</v>
      </c>
      <c r="O95" s="787"/>
      <c r="P95" s="787"/>
      <c r="Q95" s="787">
        <v>0</v>
      </c>
      <c r="R95" s="787"/>
      <c r="S95" s="787"/>
      <c r="T95" s="787"/>
      <c r="U95" s="787"/>
      <c r="V95" s="787"/>
      <c r="W95" s="787"/>
      <c r="X95" s="787">
        <f t="shared" si="3"/>
        <v>612312.39186703751</v>
      </c>
      <c r="Y95" s="787"/>
      <c r="Z95" s="787"/>
      <c r="AA95" s="787"/>
      <c r="AB95" s="787"/>
      <c r="AC95" s="787"/>
      <c r="AD95" s="787"/>
      <c r="AE95" s="787"/>
      <c r="AF95" s="787"/>
      <c r="AG95" s="787"/>
      <c r="AH95" s="787"/>
      <c r="AI95" s="787"/>
      <c r="AJ95" s="787"/>
      <c r="AK95" s="787"/>
      <c r="AL95" s="787"/>
      <c r="AM95" s="787"/>
      <c r="AN95" s="787"/>
      <c r="AO95" s="787">
        <v>0</v>
      </c>
      <c r="AP95" s="787"/>
      <c r="AQ95" s="787"/>
      <c r="AR95" s="787"/>
      <c r="AS95" s="787"/>
      <c r="AT95" s="787"/>
      <c r="AU95" s="787"/>
      <c r="AV95" s="787"/>
      <c r="AW95" s="787"/>
      <c r="AX95" s="787"/>
      <c r="AY95" s="787"/>
      <c r="AZ95" s="787">
        <v>0</v>
      </c>
      <c r="BA95" s="787">
        <v>3291.75</v>
      </c>
      <c r="BB95" s="787"/>
      <c r="BC95" s="787"/>
      <c r="BD95" s="787"/>
      <c r="BE95" s="787">
        <v>0</v>
      </c>
      <c r="BF95" s="787"/>
      <c r="BG95" s="787"/>
      <c r="BH95" s="787"/>
      <c r="BI95" s="787"/>
      <c r="BJ95" s="787">
        <f t="shared" si="4"/>
        <v>3291.75</v>
      </c>
      <c r="BK95" s="787"/>
      <c r="BL95" s="787"/>
      <c r="BM95" s="787"/>
      <c r="BN95" s="787">
        <v>4556.88</v>
      </c>
      <c r="BO95" s="787"/>
      <c r="BP95" s="787"/>
      <c r="BQ95" s="787">
        <f t="shared" si="5"/>
        <v>4556.88</v>
      </c>
      <c r="BR95" s="787"/>
      <c r="BS95" s="787"/>
      <c r="BT95" s="787"/>
      <c r="BU95" s="787"/>
      <c r="BV95" s="787"/>
      <c r="BW95" s="787"/>
      <c r="BX95" s="787"/>
      <c r="BY95" s="787"/>
      <c r="BZ95" s="787"/>
      <c r="CA95" s="787"/>
      <c r="CB95" s="787"/>
      <c r="CC95" s="787"/>
      <c r="CD95" s="787"/>
      <c r="CE95" s="787"/>
      <c r="CF95" s="787"/>
      <c r="CG95" s="787"/>
      <c r="CH95" s="787"/>
      <c r="CI95" s="787"/>
      <c r="CJ95" s="787"/>
      <c r="CK95" s="787"/>
      <c r="CL95" s="787"/>
      <c r="CM95" s="787"/>
      <c r="CN95" s="787"/>
      <c r="CO95" s="787"/>
      <c r="CP95" s="787"/>
      <c r="CQ95" s="787"/>
      <c r="CR95" s="787"/>
      <c r="CS95" s="787"/>
      <c r="CT95" s="787"/>
      <c r="CU95" s="787"/>
      <c r="CV95" s="787"/>
      <c r="CW95" s="787"/>
      <c r="CX95" s="787"/>
      <c r="CY95" s="787"/>
      <c r="CZ95" s="787"/>
      <c r="DA95" s="787"/>
      <c r="DB95" s="787"/>
      <c r="DC95" s="787"/>
      <c r="DD95" s="787"/>
      <c r="DE95" s="787"/>
      <c r="DF95" s="787"/>
      <c r="DG95" s="787"/>
      <c r="DH95" s="787"/>
      <c r="DI95" s="787"/>
      <c r="DJ95" s="787"/>
      <c r="DK95" s="787"/>
      <c r="DL95" s="787"/>
      <c r="DM95" s="787"/>
      <c r="DN95" s="787"/>
      <c r="DO95" s="787"/>
      <c r="DP95" s="787"/>
      <c r="DQ95" s="787"/>
      <c r="DR95" s="787"/>
      <c r="DS95" s="787"/>
      <c r="DT95" s="787"/>
      <c r="DU95" s="787"/>
      <c r="DV95" s="787"/>
      <c r="DW95" s="787"/>
      <c r="DX95" s="787"/>
      <c r="DY95" s="787"/>
      <c r="DZ95" s="787"/>
      <c r="EA95" s="787"/>
    </row>
    <row r="96" spans="1:131" ht="15.6">
      <c r="A96" s="782" t="s">
        <v>1389</v>
      </c>
      <c r="B96" s="782" t="s">
        <v>688</v>
      </c>
      <c r="C96" s="783">
        <v>7062</v>
      </c>
      <c r="D96" s="784" t="s">
        <v>689</v>
      </c>
      <c r="E96" s="785" t="s">
        <v>521</v>
      </c>
      <c r="F96" s="786">
        <v>46094</v>
      </c>
      <c r="G96" s="785" t="s">
        <v>5</v>
      </c>
      <c r="H96" s="785" t="s">
        <v>700</v>
      </c>
      <c r="I96" s="787">
        <v>1563938.1586956519</v>
      </c>
      <c r="J96" s="787">
        <v>0</v>
      </c>
      <c r="K96" s="787">
        <v>3715089.5537355398</v>
      </c>
      <c r="L96" s="787"/>
      <c r="M96" s="787">
        <v>126125</v>
      </c>
      <c r="N96" s="787">
        <v>14849</v>
      </c>
      <c r="O96" s="787"/>
      <c r="P96" s="787"/>
      <c r="Q96" s="787">
        <v>40965.284489999969</v>
      </c>
      <c r="R96" s="787"/>
      <c r="S96" s="787"/>
      <c r="T96" s="787"/>
      <c r="U96" s="787"/>
      <c r="V96" s="787"/>
      <c r="W96" s="787"/>
      <c r="X96" s="787">
        <f t="shared" si="3"/>
        <v>5460966.996921191</v>
      </c>
      <c r="Y96" s="787"/>
      <c r="Z96" s="787"/>
      <c r="AA96" s="787"/>
      <c r="AB96" s="787"/>
      <c r="AC96" s="787"/>
      <c r="AD96" s="787"/>
      <c r="AE96" s="787"/>
      <c r="AF96" s="787"/>
      <c r="AG96" s="787"/>
      <c r="AH96" s="787"/>
      <c r="AI96" s="787"/>
      <c r="AJ96" s="787"/>
      <c r="AK96" s="787"/>
      <c r="AL96" s="787"/>
      <c r="AM96" s="787"/>
      <c r="AN96" s="787"/>
      <c r="AO96" s="787">
        <v>0</v>
      </c>
      <c r="AP96" s="787"/>
      <c r="AQ96" s="787"/>
      <c r="AR96" s="787"/>
      <c r="AS96" s="787"/>
      <c r="AT96" s="787"/>
      <c r="AU96" s="787"/>
      <c r="AV96" s="787"/>
      <c r="AW96" s="787"/>
      <c r="AX96" s="787"/>
      <c r="AY96" s="787"/>
      <c r="AZ96" s="787">
        <v>151.66000000000003</v>
      </c>
      <c r="BA96" s="787">
        <v>3291.75</v>
      </c>
      <c r="BB96" s="787"/>
      <c r="BC96" s="787"/>
      <c r="BD96" s="787"/>
      <c r="BE96" s="787">
        <v>0</v>
      </c>
      <c r="BF96" s="787"/>
      <c r="BG96" s="787"/>
      <c r="BH96" s="787"/>
      <c r="BI96" s="787"/>
      <c r="BJ96" s="787">
        <f t="shared" si="4"/>
        <v>3443.41</v>
      </c>
      <c r="BK96" s="787"/>
      <c r="BL96" s="787"/>
      <c r="BM96" s="787"/>
      <c r="BN96" s="787">
        <v>10935.63</v>
      </c>
      <c r="BO96" s="787"/>
      <c r="BP96" s="787"/>
      <c r="BQ96" s="787">
        <f t="shared" si="5"/>
        <v>10935.63</v>
      </c>
      <c r="BR96" s="787"/>
      <c r="BS96" s="787"/>
      <c r="BT96" s="787"/>
      <c r="BU96" s="787"/>
      <c r="BV96" s="787"/>
      <c r="BW96" s="787"/>
      <c r="BX96" s="787"/>
      <c r="BY96" s="787"/>
      <c r="BZ96" s="787"/>
      <c r="CA96" s="787"/>
      <c r="CB96" s="787"/>
      <c r="CC96" s="787"/>
      <c r="CD96" s="787"/>
      <c r="CE96" s="787"/>
      <c r="CF96" s="787"/>
      <c r="CG96" s="787"/>
      <c r="CH96" s="787"/>
      <c r="CI96" s="787"/>
      <c r="CJ96" s="787"/>
      <c r="CK96" s="787"/>
      <c r="CL96" s="787"/>
      <c r="CM96" s="787"/>
      <c r="CN96" s="787"/>
      <c r="CO96" s="787"/>
      <c r="CP96" s="787"/>
      <c r="CQ96" s="787"/>
      <c r="CR96" s="787"/>
      <c r="CS96" s="787"/>
      <c r="CT96" s="787"/>
      <c r="CU96" s="787"/>
      <c r="CV96" s="787"/>
      <c r="CW96" s="787"/>
      <c r="CX96" s="787"/>
      <c r="CY96" s="787"/>
      <c r="CZ96" s="787"/>
      <c r="DA96" s="787"/>
      <c r="DB96" s="787"/>
      <c r="DC96" s="787"/>
      <c r="DD96" s="787"/>
      <c r="DE96" s="787"/>
      <c r="DF96" s="787"/>
      <c r="DG96" s="787"/>
      <c r="DH96" s="787"/>
      <c r="DI96" s="787"/>
      <c r="DJ96" s="787"/>
      <c r="DK96" s="787"/>
      <c r="DL96" s="787"/>
      <c r="DM96" s="787"/>
      <c r="DN96" s="787"/>
      <c r="DO96" s="787"/>
      <c r="DP96" s="787"/>
      <c r="DQ96" s="787"/>
      <c r="DR96" s="787"/>
      <c r="DS96" s="787"/>
      <c r="DT96" s="787"/>
      <c r="DU96" s="787"/>
      <c r="DV96" s="787"/>
      <c r="DW96" s="787"/>
      <c r="DX96" s="787"/>
      <c r="DY96" s="787"/>
      <c r="DZ96" s="787"/>
      <c r="EA96" s="787"/>
    </row>
    <row r="97" spans="1:131" ht="15.6">
      <c r="A97" s="782" t="s">
        <v>1390</v>
      </c>
      <c r="B97" s="782" t="s">
        <v>690</v>
      </c>
      <c r="C97" s="783">
        <v>2462</v>
      </c>
      <c r="D97" s="784" t="s">
        <v>691</v>
      </c>
      <c r="E97" s="785" t="s">
        <v>521</v>
      </c>
      <c r="F97" s="786">
        <v>46094</v>
      </c>
      <c r="G97" s="785" t="s">
        <v>5</v>
      </c>
      <c r="H97" s="785" t="s">
        <v>702</v>
      </c>
      <c r="I97" s="787">
        <v>2204716.4199999995</v>
      </c>
      <c r="J97" s="787">
        <v>0</v>
      </c>
      <c r="K97" s="787">
        <v>60872.800000000003</v>
      </c>
      <c r="L97" s="787"/>
      <c r="M97" s="787">
        <v>49445</v>
      </c>
      <c r="N97" s="787">
        <v>106872</v>
      </c>
      <c r="O97" s="787"/>
      <c r="P97" s="787"/>
      <c r="Q97" s="787">
        <v>0</v>
      </c>
      <c r="R97" s="787"/>
      <c r="S97" s="787"/>
      <c r="T97" s="787"/>
      <c r="U97" s="787"/>
      <c r="V97" s="787"/>
      <c r="W97" s="787"/>
      <c r="X97" s="787">
        <f t="shared" si="3"/>
        <v>2421906.2199999993</v>
      </c>
      <c r="Y97" s="787"/>
      <c r="Z97" s="787"/>
      <c r="AA97" s="787"/>
      <c r="AB97" s="787"/>
      <c r="AC97" s="787"/>
      <c r="AD97" s="787"/>
      <c r="AE97" s="787"/>
      <c r="AF97" s="787"/>
      <c r="AG97" s="787"/>
      <c r="AH97" s="787"/>
      <c r="AI97" s="787"/>
      <c r="AJ97" s="787"/>
      <c r="AK97" s="787"/>
      <c r="AL97" s="787"/>
      <c r="AM97" s="787"/>
      <c r="AN97" s="787"/>
      <c r="AO97" s="787">
        <v>58214.420000000006</v>
      </c>
      <c r="AP97" s="787"/>
      <c r="AQ97" s="787"/>
      <c r="AR97" s="787"/>
      <c r="AS97" s="787"/>
      <c r="AT97" s="787"/>
      <c r="AU97" s="787"/>
      <c r="AV97" s="787"/>
      <c r="AW97" s="787"/>
      <c r="AX97" s="787"/>
      <c r="AY97" s="787"/>
      <c r="AZ97" s="787">
        <v>0</v>
      </c>
      <c r="BA97" s="787">
        <v>11394</v>
      </c>
      <c r="BB97" s="787"/>
      <c r="BC97" s="787"/>
      <c r="BD97" s="787"/>
      <c r="BE97" s="787">
        <v>11005.760000000002</v>
      </c>
      <c r="BF97" s="787"/>
      <c r="BG97" s="787"/>
      <c r="BH97" s="787"/>
      <c r="BI97" s="787"/>
      <c r="BJ97" s="787">
        <f t="shared" si="4"/>
        <v>80614.180000000022</v>
      </c>
      <c r="BK97" s="787"/>
      <c r="BL97" s="787"/>
      <c r="BM97" s="787"/>
      <c r="BN97" s="787">
        <v>8770</v>
      </c>
      <c r="BO97" s="787"/>
      <c r="BP97" s="787"/>
      <c r="BQ97" s="787">
        <f t="shared" si="5"/>
        <v>8770</v>
      </c>
      <c r="BR97" s="787"/>
      <c r="BS97" s="787"/>
      <c r="BT97" s="787"/>
      <c r="BU97" s="787"/>
      <c r="BV97" s="787"/>
      <c r="BW97" s="787"/>
      <c r="BX97" s="787"/>
      <c r="BY97" s="787"/>
      <c r="BZ97" s="787"/>
      <c r="CA97" s="787"/>
      <c r="CB97" s="787"/>
      <c r="CC97" s="787"/>
      <c r="CD97" s="787"/>
      <c r="CE97" s="787"/>
      <c r="CF97" s="787"/>
      <c r="CG97" s="787"/>
      <c r="CH97" s="787"/>
      <c r="CI97" s="787"/>
      <c r="CJ97" s="787"/>
      <c r="CK97" s="787"/>
      <c r="CL97" s="787"/>
      <c r="CM97" s="787"/>
      <c r="CN97" s="787"/>
      <c r="CO97" s="787"/>
      <c r="CP97" s="787"/>
      <c r="CQ97" s="787"/>
      <c r="CR97" s="787"/>
      <c r="CS97" s="787"/>
      <c r="CT97" s="787"/>
      <c r="CU97" s="787"/>
      <c r="CV97" s="787"/>
      <c r="CW97" s="787"/>
      <c r="CX97" s="787"/>
      <c r="CY97" s="787"/>
      <c r="CZ97" s="787"/>
      <c r="DA97" s="787"/>
      <c r="DB97" s="787"/>
      <c r="DC97" s="787"/>
      <c r="DD97" s="787"/>
      <c r="DE97" s="787"/>
      <c r="DF97" s="787"/>
      <c r="DG97" s="787"/>
      <c r="DH97" s="787"/>
      <c r="DI97" s="787"/>
      <c r="DJ97" s="787"/>
      <c r="DK97" s="787"/>
      <c r="DL97" s="787"/>
      <c r="DM97" s="787"/>
      <c r="DN97" s="787"/>
      <c r="DO97" s="787"/>
      <c r="DP97" s="787"/>
      <c r="DQ97" s="787"/>
      <c r="DR97" s="787"/>
      <c r="DS97" s="787"/>
      <c r="DT97" s="787"/>
      <c r="DU97" s="787"/>
      <c r="DV97" s="787"/>
      <c r="DW97" s="787"/>
      <c r="DX97" s="787"/>
      <c r="DY97" s="787"/>
      <c r="DZ97" s="787"/>
      <c r="EA97" s="787"/>
    </row>
    <row r="98" spans="1:131" ht="15.6">
      <c r="A98" s="782" t="s">
        <v>1391</v>
      </c>
      <c r="B98" s="782" t="s">
        <v>692</v>
      </c>
      <c r="C98" s="783">
        <v>7012</v>
      </c>
      <c r="D98" s="784" t="s">
        <v>693</v>
      </c>
      <c r="E98" s="785" t="s">
        <v>521</v>
      </c>
      <c r="F98" s="786" t="s">
        <v>1310</v>
      </c>
      <c r="G98" s="785" t="s">
        <v>5</v>
      </c>
      <c r="H98" s="785" t="s">
        <v>704</v>
      </c>
      <c r="I98" s="787">
        <v>716036.79760869569</v>
      </c>
      <c r="J98" s="787">
        <v>0</v>
      </c>
      <c r="K98" s="787">
        <v>842916.07459745416</v>
      </c>
      <c r="L98" s="787"/>
      <c r="M98" s="787">
        <v>51510</v>
      </c>
      <c r="N98" s="787">
        <v>18532</v>
      </c>
      <c r="O98" s="787"/>
      <c r="P98" s="787"/>
      <c r="Q98" s="787">
        <v>4386.9400000000005</v>
      </c>
      <c r="R98" s="787"/>
      <c r="S98" s="787"/>
      <c r="T98" s="787"/>
      <c r="U98" s="787"/>
      <c r="V98" s="787"/>
      <c r="W98" s="787"/>
      <c r="X98" s="787">
        <f t="shared" si="3"/>
        <v>1633381.8122061498</v>
      </c>
      <c r="Y98" s="787"/>
      <c r="Z98" s="787"/>
      <c r="AA98" s="787"/>
      <c r="AB98" s="787"/>
      <c r="AC98" s="787"/>
      <c r="AD98" s="787"/>
      <c r="AE98" s="787"/>
      <c r="AF98" s="787"/>
      <c r="AG98" s="787"/>
      <c r="AH98" s="787"/>
      <c r="AI98" s="787"/>
      <c r="AJ98" s="787"/>
      <c r="AK98" s="787"/>
      <c r="AL98" s="787"/>
      <c r="AM98" s="787"/>
      <c r="AN98" s="787"/>
      <c r="AO98" s="787">
        <v>0</v>
      </c>
      <c r="AP98" s="787"/>
      <c r="AQ98" s="787"/>
      <c r="AR98" s="787"/>
      <c r="AS98" s="787"/>
      <c r="AT98" s="787"/>
      <c r="AU98" s="787"/>
      <c r="AV98" s="787"/>
      <c r="AW98" s="787"/>
      <c r="AX98" s="787"/>
      <c r="AY98" s="787"/>
      <c r="AZ98" s="787">
        <v>115.61000000000001</v>
      </c>
      <c r="BA98" s="787">
        <v>3291.75</v>
      </c>
      <c r="BB98" s="787"/>
      <c r="BC98" s="787"/>
      <c r="BD98" s="787"/>
      <c r="BE98" s="787">
        <v>0</v>
      </c>
      <c r="BF98" s="787"/>
      <c r="BG98" s="787"/>
      <c r="BH98" s="787"/>
      <c r="BI98" s="787"/>
      <c r="BJ98" s="787">
        <f t="shared" si="4"/>
        <v>3407.36</v>
      </c>
      <c r="BK98" s="787"/>
      <c r="BL98" s="787"/>
      <c r="BM98" s="787"/>
      <c r="BN98" s="787">
        <v>7098.25</v>
      </c>
      <c r="BO98" s="787"/>
      <c r="BP98" s="787"/>
      <c r="BQ98" s="787">
        <f t="shared" si="5"/>
        <v>7098.25</v>
      </c>
      <c r="BR98" s="787"/>
      <c r="BS98" s="787"/>
      <c r="BT98" s="787"/>
      <c r="BU98" s="787"/>
      <c r="BV98" s="787"/>
      <c r="BW98" s="787"/>
      <c r="BX98" s="787"/>
      <c r="BY98" s="787"/>
      <c r="BZ98" s="787"/>
      <c r="CA98" s="787"/>
      <c r="CB98" s="787"/>
      <c r="CC98" s="787"/>
      <c r="CD98" s="787"/>
      <c r="CE98" s="787"/>
      <c r="CF98" s="787"/>
      <c r="CG98" s="787"/>
      <c r="CH98" s="787"/>
      <c r="CI98" s="787"/>
      <c r="CJ98" s="787"/>
      <c r="CK98" s="787"/>
      <c r="CL98" s="787"/>
      <c r="CM98" s="787"/>
      <c r="CN98" s="787"/>
      <c r="CO98" s="787"/>
      <c r="CP98" s="787"/>
      <c r="CQ98" s="787"/>
      <c r="CR98" s="787"/>
      <c r="CS98" s="787"/>
      <c r="CT98" s="787"/>
      <c r="CU98" s="787"/>
      <c r="CV98" s="787"/>
      <c r="CW98" s="787"/>
      <c r="CX98" s="787"/>
      <c r="CY98" s="787"/>
      <c r="CZ98" s="787"/>
      <c r="DA98" s="787"/>
      <c r="DB98" s="787"/>
      <c r="DC98" s="787"/>
      <c r="DD98" s="787"/>
      <c r="DE98" s="787"/>
      <c r="DF98" s="787"/>
      <c r="DG98" s="787"/>
      <c r="DH98" s="787"/>
      <c r="DI98" s="787"/>
      <c r="DJ98" s="787"/>
      <c r="DK98" s="787"/>
      <c r="DL98" s="787"/>
      <c r="DM98" s="787"/>
      <c r="DN98" s="787"/>
      <c r="DO98" s="787"/>
      <c r="DP98" s="787"/>
      <c r="DQ98" s="787"/>
      <c r="DR98" s="787"/>
      <c r="DS98" s="787"/>
      <c r="DT98" s="787"/>
      <c r="DU98" s="787"/>
      <c r="DV98" s="787"/>
      <c r="DW98" s="787"/>
      <c r="DX98" s="787"/>
      <c r="DY98" s="787"/>
      <c r="DZ98" s="787"/>
      <c r="EA98" s="787"/>
    </row>
    <row r="99" spans="1:131" ht="15.6">
      <c r="A99" s="782" t="s">
        <v>1392</v>
      </c>
      <c r="B99" s="782" t="s">
        <v>694</v>
      </c>
      <c r="C99" s="783">
        <v>2127</v>
      </c>
      <c r="D99" s="784" t="s">
        <v>695</v>
      </c>
      <c r="E99" s="785" t="s">
        <v>521</v>
      </c>
      <c r="F99" s="786">
        <v>46091</v>
      </c>
      <c r="G99" s="785" t="s">
        <v>5</v>
      </c>
      <c r="H99" s="785" t="s">
        <v>708</v>
      </c>
      <c r="I99" s="787">
        <v>2889375.915215339</v>
      </c>
      <c r="J99" s="787">
        <v>0</v>
      </c>
      <c r="K99" s="787">
        <v>274963.11213296402</v>
      </c>
      <c r="L99" s="787"/>
      <c r="M99" s="787">
        <v>406735</v>
      </c>
      <c r="N99" s="787">
        <v>82239.820000000007</v>
      </c>
      <c r="O99" s="787"/>
      <c r="P99" s="787"/>
      <c r="Q99" s="787">
        <v>0</v>
      </c>
      <c r="R99" s="787"/>
      <c r="S99" s="787"/>
      <c r="T99" s="787"/>
      <c r="U99" s="787"/>
      <c r="V99" s="787"/>
      <c r="W99" s="787"/>
      <c r="X99" s="787">
        <f t="shared" si="3"/>
        <v>3653313.8473483031</v>
      </c>
      <c r="Y99" s="787"/>
      <c r="Z99" s="787"/>
      <c r="AA99" s="787"/>
      <c r="AB99" s="787"/>
      <c r="AC99" s="787"/>
      <c r="AD99" s="787"/>
      <c r="AE99" s="787"/>
      <c r="AF99" s="787"/>
      <c r="AG99" s="787"/>
      <c r="AH99" s="787"/>
      <c r="AI99" s="787"/>
      <c r="AJ99" s="787"/>
      <c r="AK99" s="787"/>
      <c r="AL99" s="787"/>
      <c r="AM99" s="787"/>
      <c r="AN99" s="787"/>
      <c r="AO99" s="787">
        <v>62170.739999999983</v>
      </c>
      <c r="AP99" s="787"/>
      <c r="AQ99" s="787"/>
      <c r="AR99" s="787"/>
      <c r="AS99" s="787"/>
      <c r="AT99" s="787"/>
      <c r="AU99" s="787"/>
      <c r="AV99" s="787"/>
      <c r="AW99" s="787"/>
      <c r="AX99" s="787"/>
      <c r="AY99" s="787"/>
      <c r="AZ99" s="787">
        <v>0</v>
      </c>
      <c r="BA99" s="787">
        <v>0</v>
      </c>
      <c r="BB99" s="787"/>
      <c r="BC99" s="787"/>
      <c r="BD99" s="787"/>
      <c r="BE99" s="787">
        <v>10953.599999999997</v>
      </c>
      <c r="BF99" s="787"/>
      <c r="BG99" s="787"/>
      <c r="BH99" s="787"/>
      <c r="BI99" s="787"/>
      <c r="BJ99" s="787">
        <f t="shared" si="4"/>
        <v>73124.339999999982</v>
      </c>
      <c r="BK99" s="787"/>
      <c r="BL99" s="787"/>
      <c r="BM99" s="787"/>
      <c r="BN99" s="787">
        <v>9059.1299999999992</v>
      </c>
      <c r="BO99" s="787"/>
      <c r="BP99" s="787"/>
      <c r="BQ99" s="787">
        <f t="shared" si="5"/>
        <v>9059.1299999999992</v>
      </c>
      <c r="BR99" s="787"/>
      <c r="BS99" s="787"/>
      <c r="BT99" s="787"/>
      <c r="BU99" s="787"/>
      <c r="BV99" s="787"/>
      <c r="BW99" s="787"/>
      <c r="BX99" s="787"/>
      <c r="BY99" s="787"/>
      <c r="BZ99" s="787"/>
      <c r="CA99" s="787"/>
      <c r="CB99" s="787"/>
      <c r="CC99" s="787"/>
      <c r="CD99" s="787"/>
      <c r="CE99" s="787"/>
      <c r="CF99" s="787"/>
      <c r="CG99" s="787"/>
      <c r="CH99" s="787"/>
      <c r="CI99" s="787"/>
      <c r="CJ99" s="787"/>
      <c r="CK99" s="787"/>
      <c r="CL99" s="787"/>
      <c r="CM99" s="787"/>
      <c r="CN99" s="787"/>
      <c r="CO99" s="787"/>
      <c r="CP99" s="787"/>
      <c r="CQ99" s="787"/>
      <c r="CR99" s="787"/>
      <c r="CS99" s="787"/>
      <c r="CT99" s="787"/>
      <c r="CU99" s="787"/>
      <c r="CV99" s="787"/>
      <c r="CW99" s="787"/>
      <c r="CX99" s="787"/>
      <c r="CY99" s="787"/>
      <c r="CZ99" s="787"/>
      <c r="DA99" s="787"/>
      <c r="DB99" s="787"/>
      <c r="DC99" s="787"/>
      <c r="DD99" s="787"/>
      <c r="DE99" s="787"/>
      <c r="DF99" s="787"/>
      <c r="DG99" s="787"/>
      <c r="DH99" s="787"/>
      <c r="DI99" s="787"/>
      <c r="DJ99" s="787"/>
      <c r="DK99" s="787"/>
      <c r="DL99" s="787"/>
      <c r="DM99" s="787"/>
      <c r="DN99" s="787"/>
      <c r="DO99" s="787"/>
      <c r="DP99" s="787"/>
      <c r="DQ99" s="787"/>
      <c r="DR99" s="787"/>
      <c r="DS99" s="787"/>
      <c r="DT99" s="787"/>
      <c r="DU99" s="787"/>
      <c r="DV99" s="787"/>
      <c r="DW99" s="787"/>
      <c r="DX99" s="787"/>
      <c r="DY99" s="787"/>
      <c r="DZ99" s="787"/>
      <c r="EA99" s="787"/>
    </row>
    <row r="100" spans="1:131" ht="15.6">
      <c r="A100" s="782" t="s">
        <v>1393</v>
      </c>
      <c r="B100" s="782" t="s">
        <v>696</v>
      </c>
      <c r="C100" s="783">
        <v>2129</v>
      </c>
      <c r="D100" s="784" t="s">
        <v>697</v>
      </c>
      <c r="E100" s="785" t="s">
        <v>521</v>
      </c>
      <c r="F100" s="786">
        <v>46094</v>
      </c>
      <c r="G100" s="785" t="s">
        <v>5</v>
      </c>
      <c r="H100" s="785" t="s">
        <v>710</v>
      </c>
      <c r="I100" s="787">
        <v>1563132.8585769134</v>
      </c>
      <c r="J100" s="787">
        <v>0</v>
      </c>
      <c r="K100" s="787">
        <v>216098.36</v>
      </c>
      <c r="L100" s="787"/>
      <c r="M100" s="787">
        <v>112060</v>
      </c>
      <c r="N100" s="787">
        <v>105749.86</v>
      </c>
      <c r="O100" s="787"/>
      <c r="P100" s="787"/>
      <c r="Q100" s="787">
        <v>0</v>
      </c>
      <c r="R100" s="787"/>
      <c r="S100" s="787"/>
      <c r="T100" s="787"/>
      <c r="U100" s="787"/>
      <c r="V100" s="787"/>
      <c r="W100" s="787"/>
      <c r="X100" s="787">
        <f t="shared" si="3"/>
        <v>1997041.0785769133</v>
      </c>
      <c r="Y100" s="787"/>
      <c r="Z100" s="787"/>
      <c r="AA100" s="787"/>
      <c r="AB100" s="787"/>
      <c r="AC100" s="787"/>
      <c r="AD100" s="787"/>
      <c r="AE100" s="787"/>
      <c r="AF100" s="787"/>
      <c r="AG100" s="787"/>
      <c r="AH100" s="787"/>
      <c r="AI100" s="787"/>
      <c r="AJ100" s="787"/>
      <c r="AK100" s="787"/>
      <c r="AL100" s="787"/>
      <c r="AM100" s="787"/>
      <c r="AN100" s="787"/>
      <c r="AO100" s="787">
        <v>17553.499999999996</v>
      </c>
      <c r="AP100" s="787"/>
      <c r="AQ100" s="787"/>
      <c r="AR100" s="787"/>
      <c r="AS100" s="787"/>
      <c r="AT100" s="787"/>
      <c r="AU100" s="787"/>
      <c r="AV100" s="787"/>
      <c r="AW100" s="787"/>
      <c r="AX100" s="787"/>
      <c r="AY100" s="787"/>
      <c r="AZ100" s="787">
        <v>0</v>
      </c>
      <c r="BA100" s="787">
        <v>7128</v>
      </c>
      <c r="BB100" s="787"/>
      <c r="BC100" s="787"/>
      <c r="BD100" s="787"/>
      <c r="BE100" s="787">
        <v>6885.1200000000017</v>
      </c>
      <c r="BF100" s="787"/>
      <c r="BG100" s="787"/>
      <c r="BH100" s="787"/>
      <c r="BI100" s="787"/>
      <c r="BJ100" s="787">
        <f t="shared" si="4"/>
        <v>31566.62</v>
      </c>
      <c r="BK100" s="787"/>
      <c r="BL100" s="787"/>
      <c r="BM100" s="787"/>
      <c r="BN100" s="787">
        <v>6970</v>
      </c>
      <c r="BO100" s="787"/>
      <c r="BP100" s="787"/>
      <c r="BQ100" s="787">
        <f t="shared" si="5"/>
        <v>6970</v>
      </c>
      <c r="BR100" s="787"/>
      <c r="BS100" s="787"/>
      <c r="BT100" s="787"/>
      <c r="BU100" s="787"/>
      <c r="BV100" s="787"/>
      <c r="BW100" s="787"/>
      <c r="BX100" s="787"/>
      <c r="BY100" s="787"/>
      <c r="BZ100" s="787"/>
      <c r="CA100" s="787"/>
      <c r="CB100" s="787"/>
      <c r="CC100" s="787"/>
      <c r="CD100" s="787"/>
      <c r="CE100" s="787"/>
      <c r="CF100" s="787"/>
      <c r="CG100" s="787"/>
      <c r="CH100" s="787"/>
      <c r="CI100" s="787"/>
      <c r="CJ100" s="787"/>
      <c r="CK100" s="787"/>
      <c r="CL100" s="787"/>
      <c r="CM100" s="787"/>
      <c r="CN100" s="787"/>
      <c r="CO100" s="787"/>
      <c r="CP100" s="787"/>
      <c r="CQ100" s="787"/>
      <c r="CR100" s="787"/>
      <c r="CS100" s="787"/>
      <c r="CT100" s="787"/>
      <c r="CU100" s="787"/>
      <c r="CV100" s="787"/>
      <c r="CW100" s="787"/>
      <c r="CX100" s="787"/>
      <c r="CY100" s="787"/>
      <c r="CZ100" s="787"/>
      <c r="DA100" s="787"/>
      <c r="DB100" s="787"/>
      <c r="DC100" s="787"/>
      <c r="DD100" s="787"/>
      <c r="DE100" s="787"/>
      <c r="DF100" s="787"/>
      <c r="DG100" s="787"/>
      <c r="DH100" s="787"/>
      <c r="DI100" s="787"/>
      <c r="DJ100" s="787"/>
      <c r="DK100" s="787"/>
      <c r="DL100" s="787"/>
      <c r="DM100" s="787"/>
      <c r="DN100" s="787"/>
      <c r="DO100" s="787"/>
      <c r="DP100" s="787"/>
      <c r="DQ100" s="787"/>
      <c r="DR100" s="787"/>
      <c r="DS100" s="787"/>
      <c r="DT100" s="787"/>
      <c r="DU100" s="787"/>
      <c r="DV100" s="787"/>
      <c r="DW100" s="787"/>
      <c r="DX100" s="787"/>
      <c r="DY100" s="787"/>
      <c r="DZ100" s="787"/>
      <c r="EA100" s="787"/>
    </row>
    <row r="101" spans="1:131" ht="15.6">
      <c r="A101" s="782" t="s">
        <v>1394</v>
      </c>
      <c r="B101" s="782" t="s">
        <v>698</v>
      </c>
      <c r="C101" s="783">
        <v>2128</v>
      </c>
      <c r="D101" s="784" t="s">
        <v>699</v>
      </c>
      <c r="E101" s="785" t="s">
        <v>521</v>
      </c>
      <c r="F101" s="786">
        <v>46094</v>
      </c>
      <c r="G101" s="785" t="s">
        <v>5</v>
      </c>
      <c r="H101" s="785" t="s">
        <v>712</v>
      </c>
      <c r="I101" s="787">
        <v>2138370.1925619049</v>
      </c>
      <c r="J101" s="787">
        <v>0</v>
      </c>
      <c r="K101" s="787">
        <v>156791.47999999998</v>
      </c>
      <c r="L101" s="787"/>
      <c r="M101" s="787">
        <v>217710</v>
      </c>
      <c r="N101" s="787">
        <v>18882.93</v>
      </c>
      <c r="O101" s="787"/>
      <c r="P101" s="787"/>
      <c r="Q101" s="787">
        <v>0</v>
      </c>
      <c r="R101" s="787"/>
      <c r="S101" s="787"/>
      <c r="T101" s="787"/>
      <c r="U101" s="787"/>
      <c r="V101" s="787"/>
      <c r="W101" s="787"/>
      <c r="X101" s="787">
        <f t="shared" si="3"/>
        <v>2531754.602561905</v>
      </c>
      <c r="Y101" s="787"/>
      <c r="Z101" s="787"/>
      <c r="AA101" s="787"/>
      <c r="AB101" s="787"/>
      <c r="AC101" s="787"/>
      <c r="AD101" s="787"/>
      <c r="AE101" s="787"/>
      <c r="AF101" s="787"/>
      <c r="AG101" s="787"/>
      <c r="AH101" s="787"/>
      <c r="AI101" s="787"/>
      <c r="AJ101" s="787"/>
      <c r="AK101" s="787"/>
      <c r="AL101" s="787"/>
      <c r="AM101" s="787"/>
      <c r="AN101" s="787"/>
      <c r="AO101" s="787">
        <v>19016.28</v>
      </c>
      <c r="AP101" s="787"/>
      <c r="AQ101" s="787"/>
      <c r="AR101" s="787"/>
      <c r="AS101" s="787"/>
      <c r="AT101" s="787"/>
      <c r="AU101" s="787"/>
      <c r="AV101" s="787"/>
      <c r="AW101" s="787"/>
      <c r="AX101" s="787"/>
      <c r="AY101" s="787"/>
      <c r="AZ101" s="787">
        <v>0</v>
      </c>
      <c r="BA101" s="787">
        <v>9471</v>
      </c>
      <c r="BB101" s="787"/>
      <c r="BC101" s="787"/>
      <c r="BD101" s="787"/>
      <c r="BE101" s="787">
        <v>9623.5199999999986</v>
      </c>
      <c r="BF101" s="787"/>
      <c r="BG101" s="787"/>
      <c r="BH101" s="787"/>
      <c r="BI101" s="787"/>
      <c r="BJ101" s="787">
        <f t="shared" si="4"/>
        <v>38110.799999999996</v>
      </c>
      <c r="BK101" s="787"/>
      <c r="BL101" s="787"/>
      <c r="BM101" s="787"/>
      <c r="BN101" s="787">
        <v>8128.75</v>
      </c>
      <c r="BO101" s="787"/>
      <c r="BP101" s="787"/>
      <c r="BQ101" s="787">
        <f t="shared" si="5"/>
        <v>8128.75</v>
      </c>
      <c r="BR101" s="787"/>
      <c r="BS101" s="787"/>
      <c r="BT101" s="787"/>
      <c r="BU101" s="787"/>
      <c r="BV101" s="787"/>
      <c r="BW101" s="787"/>
      <c r="BX101" s="787"/>
      <c r="BY101" s="787"/>
      <c r="BZ101" s="787"/>
      <c r="CA101" s="787"/>
      <c r="CB101" s="787"/>
      <c r="CC101" s="787"/>
      <c r="CD101" s="787"/>
      <c r="CE101" s="787"/>
      <c r="CF101" s="787"/>
      <c r="CG101" s="787"/>
      <c r="CH101" s="787"/>
      <c r="CI101" s="787"/>
      <c r="CJ101" s="787"/>
      <c r="CK101" s="787"/>
      <c r="CL101" s="787"/>
      <c r="CM101" s="787"/>
      <c r="CN101" s="787"/>
      <c r="CO101" s="787"/>
      <c r="CP101" s="787"/>
      <c r="CQ101" s="787"/>
      <c r="CR101" s="787"/>
      <c r="CS101" s="787"/>
      <c r="CT101" s="787"/>
      <c r="CU101" s="787"/>
      <c r="CV101" s="787"/>
      <c r="CW101" s="787"/>
      <c r="CX101" s="787"/>
      <c r="CY101" s="787"/>
      <c r="CZ101" s="787"/>
      <c r="DA101" s="787"/>
      <c r="DB101" s="787"/>
      <c r="DC101" s="787"/>
      <c r="DD101" s="787"/>
      <c r="DE101" s="787"/>
      <c r="DF101" s="787"/>
      <c r="DG101" s="787"/>
      <c r="DH101" s="787"/>
      <c r="DI101" s="787"/>
      <c r="DJ101" s="787"/>
      <c r="DK101" s="787"/>
      <c r="DL101" s="787"/>
      <c r="DM101" s="787"/>
      <c r="DN101" s="787"/>
      <c r="DO101" s="787"/>
      <c r="DP101" s="787"/>
      <c r="DQ101" s="787"/>
      <c r="DR101" s="787"/>
      <c r="DS101" s="787"/>
      <c r="DT101" s="787"/>
      <c r="DU101" s="787"/>
      <c r="DV101" s="787"/>
      <c r="DW101" s="787"/>
      <c r="DX101" s="787"/>
      <c r="DY101" s="787"/>
      <c r="DZ101" s="787"/>
      <c r="EA101" s="787"/>
    </row>
    <row r="102" spans="1:131" ht="15.6">
      <c r="A102" s="782" t="s">
        <v>1395</v>
      </c>
      <c r="B102" s="782" t="s">
        <v>700</v>
      </c>
      <c r="C102" s="783">
        <v>2420</v>
      </c>
      <c r="D102" s="784" t="s">
        <v>701</v>
      </c>
      <c r="E102" s="785" t="s">
        <v>521</v>
      </c>
      <c r="F102" s="786">
        <v>46093</v>
      </c>
      <c r="G102" s="785" t="s">
        <v>5</v>
      </c>
      <c r="H102" s="785" t="s">
        <v>714</v>
      </c>
      <c r="I102" s="787">
        <v>2171148.64</v>
      </c>
      <c r="J102" s="787">
        <v>0</v>
      </c>
      <c r="K102" s="787">
        <v>155172.65666666668</v>
      </c>
      <c r="L102" s="787"/>
      <c r="M102" s="787">
        <v>38225</v>
      </c>
      <c r="N102" s="787">
        <v>104152.37000000001</v>
      </c>
      <c r="O102" s="787"/>
      <c r="P102" s="787"/>
      <c r="Q102" s="787">
        <v>15647.36</v>
      </c>
      <c r="R102" s="787"/>
      <c r="S102" s="787"/>
      <c r="T102" s="787"/>
      <c r="U102" s="787"/>
      <c r="V102" s="787"/>
      <c r="W102" s="787"/>
      <c r="X102" s="787">
        <f t="shared" si="3"/>
        <v>2484346.0266666668</v>
      </c>
      <c r="Y102" s="787"/>
      <c r="Z102" s="787"/>
      <c r="AA102" s="787"/>
      <c r="AB102" s="787"/>
      <c r="AC102" s="787"/>
      <c r="AD102" s="787"/>
      <c r="AE102" s="787"/>
      <c r="AF102" s="787"/>
      <c r="AG102" s="787"/>
      <c r="AH102" s="787"/>
      <c r="AI102" s="787"/>
      <c r="AJ102" s="787"/>
      <c r="AK102" s="787"/>
      <c r="AL102" s="787"/>
      <c r="AM102" s="787"/>
      <c r="AN102" s="787"/>
      <c r="AO102" s="787">
        <v>24535.639999999996</v>
      </c>
      <c r="AP102" s="787"/>
      <c r="AQ102" s="787"/>
      <c r="AR102" s="787"/>
      <c r="AS102" s="787"/>
      <c r="AT102" s="787"/>
      <c r="AU102" s="787"/>
      <c r="AV102" s="787"/>
      <c r="AW102" s="787"/>
      <c r="AX102" s="787"/>
      <c r="AY102" s="787"/>
      <c r="AZ102" s="787">
        <v>73.52</v>
      </c>
      <c r="BA102" s="787">
        <v>9471</v>
      </c>
      <c r="BB102" s="787"/>
      <c r="BC102" s="787"/>
      <c r="BD102" s="787"/>
      <c r="BE102" s="787">
        <v>11005.760000000002</v>
      </c>
      <c r="BF102" s="787"/>
      <c r="BG102" s="787"/>
      <c r="BH102" s="787"/>
      <c r="BI102" s="787"/>
      <c r="BJ102" s="787">
        <f t="shared" si="4"/>
        <v>45085.919999999998</v>
      </c>
      <c r="BK102" s="787"/>
      <c r="BL102" s="787"/>
      <c r="BM102" s="787"/>
      <c r="BN102" s="787">
        <v>8736.25</v>
      </c>
      <c r="BO102" s="787"/>
      <c r="BP102" s="787"/>
      <c r="BQ102" s="787">
        <f t="shared" si="5"/>
        <v>8736.25</v>
      </c>
      <c r="BR102" s="787"/>
      <c r="BS102" s="787"/>
      <c r="BT102" s="787"/>
      <c r="BU102" s="787"/>
      <c r="BV102" s="787"/>
      <c r="BW102" s="787"/>
      <c r="BX102" s="787"/>
      <c r="BY102" s="787"/>
      <c r="BZ102" s="787"/>
      <c r="CA102" s="787"/>
      <c r="CB102" s="787"/>
      <c r="CC102" s="787"/>
      <c r="CD102" s="787"/>
      <c r="CE102" s="787"/>
      <c r="CF102" s="787"/>
      <c r="CG102" s="787"/>
      <c r="CH102" s="787"/>
      <c r="CI102" s="787"/>
      <c r="CJ102" s="787"/>
      <c r="CK102" s="787"/>
      <c r="CL102" s="787"/>
      <c r="CM102" s="787"/>
      <c r="CN102" s="787"/>
      <c r="CO102" s="787"/>
      <c r="CP102" s="787"/>
      <c r="CQ102" s="787"/>
      <c r="CR102" s="787"/>
      <c r="CS102" s="787"/>
      <c r="CT102" s="787"/>
      <c r="CU102" s="787"/>
      <c r="CV102" s="787"/>
      <c r="CW102" s="787"/>
      <c r="CX102" s="787"/>
      <c r="CY102" s="787"/>
      <c r="CZ102" s="787"/>
      <c r="DA102" s="787"/>
      <c r="DB102" s="787"/>
      <c r="DC102" s="787"/>
      <c r="DD102" s="787"/>
      <c r="DE102" s="787"/>
      <c r="DF102" s="787"/>
      <c r="DG102" s="787"/>
      <c r="DH102" s="787"/>
      <c r="DI102" s="787"/>
      <c r="DJ102" s="787"/>
      <c r="DK102" s="787"/>
      <c r="DL102" s="787"/>
      <c r="DM102" s="787"/>
      <c r="DN102" s="787"/>
      <c r="DO102" s="787"/>
      <c r="DP102" s="787"/>
      <c r="DQ102" s="787"/>
      <c r="DR102" s="787"/>
      <c r="DS102" s="787"/>
      <c r="DT102" s="787"/>
      <c r="DU102" s="787"/>
      <c r="DV102" s="787"/>
      <c r="DW102" s="787"/>
      <c r="DX102" s="787"/>
      <c r="DY102" s="787"/>
      <c r="DZ102" s="787"/>
      <c r="EA102" s="787"/>
    </row>
    <row r="103" spans="1:131" ht="15.6">
      <c r="A103" s="782" t="s">
        <v>1396</v>
      </c>
      <c r="B103" s="782" t="s">
        <v>902</v>
      </c>
      <c r="C103" s="783">
        <v>2004</v>
      </c>
      <c r="D103" s="784" t="s">
        <v>903</v>
      </c>
      <c r="E103" s="785" t="s">
        <v>521</v>
      </c>
      <c r="F103" s="786">
        <v>46091</v>
      </c>
      <c r="G103" s="785" t="s">
        <v>5</v>
      </c>
      <c r="H103" s="785" t="s">
        <v>924</v>
      </c>
      <c r="I103" s="787">
        <v>1830615.0869879385</v>
      </c>
      <c r="J103" s="787">
        <v>0</v>
      </c>
      <c r="K103" s="787">
        <v>58664.673333333325</v>
      </c>
      <c r="L103" s="787"/>
      <c r="M103" s="787">
        <v>190490</v>
      </c>
      <c r="N103" s="787">
        <v>74880.350000000006</v>
      </c>
      <c r="O103" s="787"/>
      <c r="P103" s="787"/>
      <c r="Q103" s="787">
        <v>4190.21</v>
      </c>
      <c r="R103" s="787"/>
      <c r="S103" s="787"/>
      <c r="T103" s="787"/>
      <c r="U103" s="787"/>
      <c r="V103" s="787"/>
      <c r="W103" s="787"/>
      <c r="X103" s="787">
        <f t="shared" si="3"/>
        <v>2158840.3203212717</v>
      </c>
      <c r="Y103" s="787"/>
      <c r="Z103" s="787"/>
      <c r="AA103" s="787"/>
      <c r="AB103" s="787"/>
      <c r="AC103" s="787"/>
      <c r="AD103" s="787"/>
      <c r="AE103" s="787"/>
      <c r="AF103" s="787"/>
      <c r="AG103" s="787"/>
      <c r="AH103" s="787"/>
      <c r="AI103" s="787"/>
      <c r="AJ103" s="787"/>
      <c r="AK103" s="787"/>
      <c r="AL103" s="787"/>
      <c r="AM103" s="787"/>
      <c r="AN103" s="787"/>
      <c r="AO103" s="787">
        <v>23631.700000000008</v>
      </c>
      <c r="AP103" s="787"/>
      <c r="AQ103" s="787"/>
      <c r="AR103" s="787"/>
      <c r="AS103" s="787"/>
      <c r="AT103" s="787"/>
      <c r="AU103" s="787"/>
      <c r="AV103" s="787"/>
      <c r="AW103" s="787"/>
      <c r="AX103" s="787"/>
      <c r="AY103" s="787"/>
      <c r="AZ103" s="787">
        <v>78.79000000000002</v>
      </c>
      <c r="BA103" s="787">
        <v>5139.75</v>
      </c>
      <c r="BB103" s="787"/>
      <c r="BC103" s="787"/>
      <c r="BD103" s="787"/>
      <c r="BE103" s="787">
        <v>7797.920000000001</v>
      </c>
      <c r="BF103" s="787"/>
      <c r="BG103" s="787"/>
      <c r="BH103" s="787"/>
      <c r="BI103" s="787"/>
      <c r="BJ103" s="787">
        <f t="shared" si="4"/>
        <v>36648.160000000011</v>
      </c>
      <c r="BK103" s="787"/>
      <c r="BL103" s="787"/>
      <c r="BM103" s="787"/>
      <c r="BN103" s="787">
        <v>7633.75</v>
      </c>
      <c r="BO103" s="787"/>
      <c r="BP103" s="787"/>
      <c r="BQ103" s="787">
        <f t="shared" si="5"/>
        <v>7633.75</v>
      </c>
      <c r="BR103" s="787"/>
      <c r="BS103" s="787"/>
      <c r="BT103" s="787"/>
      <c r="BU103" s="787"/>
      <c r="BV103" s="787"/>
      <c r="BW103" s="787"/>
      <c r="BX103" s="787"/>
      <c r="BY103" s="787"/>
      <c r="BZ103" s="787"/>
      <c r="CA103" s="787"/>
      <c r="CB103" s="787"/>
      <c r="CC103" s="787"/>
      <c r="CD103" s="787"/>
      <c r="CE103" s="787"/>
      <c r="CF103" s="787"/>
      <c r="CG103" s="787"/>
      <c r="CH103" s="787"/>
      <c r="CI103" s="787"/>
      <c r="CJ103" s="787"/>
      <c r="CK103" s="787"/>
      <c r="CL103" s="787"/>
      <c r="CM103" s="787"/>
      <c r="CN103" s="787"/>
      <c r="CO103" s="787"/>
      <c r="CP103" s="787"/>
      <c r="CQ103" s="787"/>
      <c r="CR103" s="787"/>
      <c r="CS103" s="787"/>
      <c r="CT103" s="787"/>
      <c r="CU103" s="787"/>
      <c r="CV103" s="787"/>
      <c r="CW103" s="787"/>
      <c r="CX103" s="787"/>
      <c r="CY103" s="787"/>
      <c r="CZ103" s="787"/>
      <c r="DA103" s="787"/>
      <c r="DB103" s="787"/>
      <c r="DC103" s="787"/>
      <c r="DD103" s="787"/>
      <c r="DE103" s="787"/>
      <c r="DF103" s="787"/>
      <c r="DG103" s="787"/>
      <c r="DH103" s="787"/>
      <c r="DI103" s="787"/>
      <c r="DJ103" s="787"/>
      <c r="DK103" s="787"/>
      <c r="DL103" s="787"/>
      <c r="DM103" s="787"/>
      <c r="DN103" s="787"/>
      <c r="DO103" s="787"/>
      <c r="DP103" s="787"/>
      <c r="DQ103" s="787"/>
      <c r="DR103" s="787"/>
      <c r="DS103" s="787"/>
      <c r="DT103" s="787"/>
      <c r="DU103" s="787"/>
      <c r="DV103" s="787"/>
      <c r="DW103" s="787"/>
      <c r="DX103" s="787"/>
      <c r="DY103" s="787"/>
      <c r="DZ103" s="787"/>
      <c r="EA103" s="787"/>
    </row>
    <row r="104" spans="1:131" ht="15.6">
      <c r="A104" s="782" t="s">
        <v>1397</v>
      </c>
      <c r="B104" s="782" t="s">
        <v>702</v>
      </c>
      <c r="C104" s="783">
        <v>1012</v>
      </c>
      <c r="D104" s="784" t="s">
        <v>703</v>
      </c>
      <c r="E104" s="785" t="s">
        <v>521</v>
      </c>
      <c r="F104" s="786">
        <v>46094</v>
      </c>
      <c r="G104" s="785" t="s">
        <v>5</v>
      </c>
      <c r="H104" s="785" t="s">
        <v>716</v>
      </c>
      <c r="I104" s="787">
        <v>750279.424097087</v>
      </c>
      <c r="J104" s="787">
        <v>0</v>
      </c>
      <c r="K104" s="787">
        <v>7573.3291977839335</v>
      </c>
      <c r="L104" s="787"/>
      <c r="M104" s="787">
        <v>0</v>
      </c>
      <c r="N104" s="787">
        <v>0</v>
      </c>
      <c r="O104" s="787"/>
      <c r="P104" s="787"/>
      <c r="Q104" s="787">
        <v>22607.702829999995</v>
      </c>
      <c r="R104" s="787"/>
      <c r="S104" s="787"/>
      <c r="T104" s="787"/>
      <c r="U104" s="787"/>
      <c r="V104" s="787"/>
      <c r="W104" s="787"/>
      <c r="X104" s="787">
        <f t="shared" si="3"/>
        <v>780460.45612487092</v>
      </c>
      <c r="Y104" s="787"/>
      <c r="Z104" s="787"/>
      <c r="AA104" s="787"/>
      <c r="AB104" s="787"/>
      <c r="AC104" s="787"/>
      <c r="AD104" s="787"/>
      <c r="AE104" s="787"/>
      <c r="AF104" s="787"/>
      <c r="AG104" s="787"/>
      <c r="AH104" s="787"/>
      <c r="AI104" s="787"/>
      <c r="AJ104" s="787"/>
      <c r="AK104" s="787"/>
      <c r="AL104" s="787"/>
      <c r="AM104" s="787"/>
      <c r="AN104" s="787"/>
      <c r="AO104" s="787">
        <v>0</v>
      </c>
      <c r="AP104" s="787"/>
      <c r="AQ104" s="787"/>
      <c r="AR104" s="787"/>
      <c r="AS104" s="787"/>
      <c r="AT104" s="787"/>
      <c r="AU104" s="787"/>
      <c r="AV104" s="787"/>
      <c r="AW104" s="787"/>
      <c r="AX104" s="787"/>
      <c r="AY104" s="787"/>
      <c r="AZ104" s="787">
        <v>118.14999999999998</v>
      </c>
      <c r="BA104" s="787">
        <v>3291.75</v>
      </c>
      <c r="BB104" s="787"/>
      <c r="BC104" s="787"/>
      <c r="BD104" s="787"/>
      <c r="BE104" s="787">
        <v>0</v>
      </c>
      <c r="BF104" s="787"/>
      <c r="BG104" s="787"/>
      <c r="BH104" s="787"/>
      <c r="BI104" s="787"/>
      <c r="BJ104" s="787">
        <f t="shared" si="4"/>
        <v>3409.9</v>
      </c>
      <c r="BK104" s="787"/>
      <c r="BL104" s="787"/>
      <c r="BM104" s="787"/>
      <c r="BN104" s="787">
        <v>4938.25</v>
      </c>
      <c r="BO104" s="787"/>
      <c r="BP104" s="787"/>
      <c r="BQ104" s="787">
        <f t="shared" si="5"/>
        <v>4938.25</v>
      </c>
      <c r="BR104" s="787"/>
      <c r="BS104" s="787"/>
      <c r="BT104" s="787"/>
      <c r="BU104" s="787"/>
      <c r="BV104" s="787"/>
      <c r="BW104" s="787"/>
      <c r="BX104" s="787"/>
      <c r="BY104" s="787"/>
      <c r="BZ104" s="787"/>
      <c r="CA104" s="787"/>
      <c r="CB104" s="787"/>
      <c r="CC104" s="787"/>
      <c r="CD104" s="787"/>
      <c r="CE104" s="787"/>
      <c r="CF104" s="787"/>
      <c r="CG104" s="787"/>
      <c r="CH104" s="787"/>
      <c r="CI104" s="787"/>
      <c r="CJ104" s="787"/>
      <c r="CK104" s="787"/>
      <c r="CL104" s="787"/>
      <c r="CM104" s="787"/>
      <c r="CN104" s="787"/>
      <c r="CO104" s="787"/>
      <c r="CP104" s="787"/>
      <c r="CQ104" s="787"/>
      <c r="CR104" s="787"/>
      <c r="CS104" s="787"/>
      <c r="CT104" s="787"/>
      <c r="CU104" s="787"/>
      <c r="CV104" s="787"/>
      <c r="CW104" s="787"/>
      <c r="CX104" s="787"/>
      <c r="CY104" s="787"/>
      <c r="CZ104" s="787"/>
      <c r="DA104" s="787"/>
      <c r="DB104" s="787"/>
      <c r="DC104" s="787"/>
      <c r="DD104" s="787"/>
      <c r="DE104" s="787"/>
      <c r="DF104" s="787"/>
      <c r="DG104" s="787"/>
      <c r="DH104" s="787"/>
      <c r="DI104" s="787"/>
      <c r="DJ104" s="787"/>
      <c r="DK104" s="787"/>
      <c r="DL104" s="787"/>
      <c r="DM104" s="787"/>
      <c r="DN104" s="787"/>
      <c r="DO104" s="787"/>
      <c r="DP104" s="787"/>
      <c r="DQ104" s="787"/>
      <c r="DR104" s="787"/>
      <c r="DS104" s="787"/>
      <c r="DT104" s="787"/>
      <c r="DU104" s="787"/>
      <c r="DV104" s="787"/>
      <c r="DW104" s="787"/>
      <c r="DX104" s="787"/>
      <c r="DY104" s="787"/>
      <c r="DZ104" s="787"/>
      <c r="EA104" s="787"/>
    </row>
    <row r="105" spans="1:131" ht="15.6">
      <c r="A105" s="782" t="s">
        <v>1398</v>
      </c>
      <c r="B105" s="782" t="s">
        <v>704</v>
      </c>
      <c r="C105" s="783">
        <v>2133</v>
      </c>
      <c r="D105" s="784" t="s">
        <v>705</v>
      </c>
      <c r="E105" s="785" t="s">
        <v>521</v>
      </c>
      <c r="F105" s="786">
        <v>46094</v>
      </c>
      <c r="G105" s="785" t="s">
        <v>5</v>
      </c>
      <c r="H105" s="785" t="s">
        <v>718</v>
      </c>
      <c r="I105" s="787">
        <v>2794745.0667297249</v>
      </c>
      <c r="J105" s="787">
        <v>0</v>
      </c>
      <c r="K105" s="787">
        <v>135211.31666666665</v>
      </c>
      <c r="L105" s="787"/>
      <c r="M105" s="787">
        <v>318780</v>
      </c>
      <c r="N105" s="787">
        <v>76762.789999999994</v>
      </c>
      <c r="O105" s="787"/>
      <c r="P105" s="787"/>
      <c r="Q105" s="787">
        <v>0</v>
      </c>
      <c r="R105" s="787"/>
      <c r="S105" s="787"/>
      <c r="T105" s="787"/>
      <c r="U105" s="787"/>
      <c r="V105" s="787"/>
      <c r="W105" s="787"/>
      <c r="X105" s="787">
        <f t="shared" si="3"/>
        <v>3325499.1733963918</v>
      </c>
      <c r="Y105" s="787"/>
      <c r="Z105" s="787"/>
      <c r="AA105" s="787"/>
      <c r="AB105" s="787"/>
      <c r="AC105" s="787"/>
      <c r="AD105" s="787"/>
      <c r="AE105" s="787"/>
      <c r="AF105" s="787"/>
      <c r="AG105" s="787"/>
      <c r="AH105" s="787"/>
      <c r="AI105" s="787"/>
      <c r="AJ105" s="787"/>
      <c r="AK105" s="787"/>
      <c r="AL105" s="787"/>
      <c r="AM105" s="787"/>
      <c r="AN105" s="787"/>
      <c r="AO105" s="787">
        <v>46374.719999999994</v>
      </c>
      <c r="AP105" s="787"/>
      <c r="AQ105" s="787"/>
      <c r="AR105" s="787"/>
      <c r="AS105" s="787"/>
      <c r="AT105" s="787"/>
      <c r="AU105" s="787"/>
      <c r="AV105" s="787"/>
      <c r="AW105" s="787"/>
      <c r="AX105" s="787"/>
      <c r="AY105" s="787"/>
      <c r="AZ105" s="787">
        <v>0</v>
      </c>
      <c r="BA105" s="787">
        <v>9471</v>
      </c>
      <c r="BB105" s="787"/>
      <c r="BC105" s="787"/>
      <c r="BD105" s="787"/>
      <c r="BE105" s="787">
        <v>10927.520000000002</v>
      </c>
      <c r="BF105" s="787"/>
      <c r="BG105" s="787"/>
      <c r="BH105" s="787"/>
      <c r="BI105" s="787"/>
      <c r="BJ105" s="787">
        <f t="shared" si="4"/>
        <v>66773.239999999991</v>
      </c>
      <c r="BK105" s="787"/>
      <c r="BL105" s="787"/>
      <c r="BM105" s="787"/>
      <c r="BN105" s="787">
        <v>8601.25</v>
      </c>
      <c r="BO105" s="787"/>
      <c r="BP105" s="787"/>
      <c r="BQ105" s="787">
        <f t="shared" si="5"/>
        <v>8601.25</v>
      </c>
      <c r="BR105" s="787"/>
      <c r="BS105" s="787"/>
      <c r="BT105" s="787"/>
      <c r="BU105" s="787"/>
      <c r="BV105" s="787"/>
      <c r="BW105" s="787"/>
      <c r="BX105" s="787"/>
      <c r="BY105" s="787"/>
      <c r="BZ105" s="787"/>
      <c r="CA105" s="787"/>
      <c r="CB105" s="787"/>
      <c r="CC105" s="787"/>
      <c r="CD105" s="787"/>
      <c r="CE105" s="787"/>
      <c r="CF105" s="787"/>
      <c r="CG105" s="787"/>
      <c r="CH105" s="787"/>
      <c r="CI105" s="787"/>
      <c r="CJ105" s="787"/>
      <c r="CK105" s="787"/>
      <c r="CL105" s="787"/>
      <c r="CM105" s="787"/>
      <c r="CN105" s="787"/>
      <c r="CO105" s="787"/>
      <c r="CP105" s="787"/>
      <c r="CQ105" s="787"/>
      <c r="CR105" s="787"/>
      <c r="CS105" s="787"/>
      <c r="CT105" s="787"/>
      <c r="CU105" s="787"/>
      <c r="CV105" s="787"/>
      <c r="CW105" s="787"/>
      <c r="CX105" s="787"/>
      <c r="CY105" s="787"/>
      <c r="CZ105" s="787"/>
      <c r="DA105" s="787"/>
      <c r="DB105" s="787"/>
      <c r="DC105" s="787"/>
      <c r="DD105" s="787"/>
      <c r="DE105" s="787"/>
      <c r="DF105" s="787"/>
      <c r="DG105" s="787"/>
      <c r="DH105" s="787"/>
      <c r="DI105" s="787"/>
      <c r="DJ105" s="787"/>
      <c r="DK105" s="787"/>
      <c r="DL105" s="787"/>
      <c r="DM105" s="787"/>
      <c r="DN105" s="787"/>
      <c r="DO105" s="787"/>
      <c r="DP105" s="787"/>
      <c r="DQ105" s="787"/>
      <c r="DR105" s="787"/>
      <c r="DS105" s="787"/>
      <c r="DT105" s="787"/>
      <c r="DU105" s="787"/>
      <c r="DV105" s="787"/>
      <c r="DW105" s="787"/>
      <c r="DX105" s="787"/>
      <c r="DY105" s="787"/>
      <c r="DZ105" s="787"/>
      <c r="EA105" s="787"/>
    </row>
    <row r="106" spans="1:131" ht="15.6">
      <c r="A106" s="782" t="s">
        <v>1399</v>
      </c>
      <c r="B106" s="782" t="s">
        <v>708</v>
      </c>
      <c r="C106" s="783">
        <v>2406</v>
      </c>
      <c r="D106" s="784" t="s">
        <v>709</v>
      </c>
      <c r="E106" s="785" t="s">
        <v>521</v>
      </c>
      <c r="F106" s="786">
        <v>46094</v>
      </c>
      <c r="G106" s="785" t="s">
        <v>5</v>
      </c>
      <c r="H106" s="785" t="s">
        <v>720</v>
      </c>
      <c r="I106" s="787">
        <v>1305436.2672000004</v>
      </c>
      <c r="J106" s="787">
        <v>0</v>
      </c>
      <c r="K106" s="787">
        <v>74463.003333333327</v>
      </c>
      <c r="L106" s="787"/>
      <c r="M106" s="787">
        <v>150700</v>
      </c>
      <c r="N106" s="787">
        <v>40729.93</v>
      </c>
      <c r="O106" s="787"/>
      <c r="P106" s="787"/>
      <c r="Q106" s="787">
        <v>8507.5464299999985</v>
      </c>
      <c r="R106" s="787"/>
      <c r="S106" s="787"/>
      <c r="T106" s="787"/>
      <c r="U106" s="787"/>
      <c r="V106" s="787"/>
      <c r="W106" s="787"/>
      <c r="X106" s="787">
        <f t="shared" si="3"/>
        <v>1579836.7469633338</v>
      </c>
      <c r="Y106" s="787"/>
      <c r="Z106" s="787"/>
      <c r="AA106" s="787"/>
      <c r="AB106" s="787"/>
      <c r="AC106" s="787"/>
      <c r="AD106" s="787"/>
      <c r="AE106" s="787"/>
      <c r="AF106" s="787"/>
      <c r="AG106" s="787"/>
      <c r="AH106" s="787"/>
      <c r="AI106" s="787"/>
      <c r="AJ106" s="787"/>
      <c r="AK106" s="787"/>
      <c r="AL106" s="787"/>
      <c r="AM106" s="787"/>
      <c r="AN106" s="787"/>
      <c r="AO106" s="787">
        <v>12359.449999999999</v>
      </c>
      <c r="AP106" s="787"/>
      <c r="AQ106" s="787"/>
      <c r="AR106" s="787"/>
      <c r="AS106" s="787"/>
      <c r="AT106" s="787"/>
      <c r="AU106" s="787"/>
      <c r="AV106" s="787"/>
      <c r="AW106" s="787"/>
      <c r="AX106" s="787"/>
      <c r="AY106" s="787"/>
      <c r="AZ106" s="787">
        <v>111.12999999999997</v>
      </c>
      <c r="BA106" s="787">
        <v>5139.75</v>
      </c>
      <c r="BB106" s="787"/>
      <c r="BC106" s="787"/>
      <c r="BD106" s="787"/>
      <c r="BE106" s="787">
        <v>5268.16</v>
      </c>
      <c r="BF106" s="787"/>
      <c r="BG106" s="787"/>
      <c r="BH106" s="787"/>
      <c r="BI106" s="787"/>
      <c r="BJ106" s="787">
        <f t="shared" si="4"/>
        <v>22878.489999999998</v>
      </c>
      <c r="BK106" s="787"/>
      <c r="BL106" s="787"/>
      <c r="BM106" s="787"/>
      <c r="BN106" s="787">
        <v>6283.75</v>
      </c>
      <c r="BO106" s="787"/>
      <c r="BP106" s="787"/>
      <c r="BQ106" s="787">
        <f t="shared" si="5"/>
        <v>6283.75</v>
      </c>
      <c r="BR106" s="787"/>
      <c r="BS106" s="787"/>
      <c r="BT106" s="787"/>
      <c r="BU106" s="787"/>
      <c r="BV106" s="787"/>
      <c r="BW106" s="787"/>
      <c r="BX106" s="787"/>
      <c r="BY106" s="787"/>
      <c r="BZ106" s="787"/>
      <c r="CA106" s="787"/>
      <c r="CB106" s="787"/>
      <c r="CC106" s="787"/>
      <c r="CD106" s="787"/>
      <c r="CE106" s="787"/>
      <c r="CF106" s="787"/>
      <c r="CG106" s="787"/>
      <c r="CH106" s="787"/>
      <c r="CI106" s="787"/>
      <c r="CJ106" s="787"/>
      <c r="CK106" s="787"/>
      <c r="CL106" s="787"/>
      <c r="CM106" s="787"/>
      <c r="CN106" s="787"/>
      <c r="CO106" s="787"/>
      <c r="CP106" s="787"/>
      <c r="CQ106" s="787"/>
      <c r="CR106" s="787"/>
      <c r="CS106" s="787"/>
      <c r="CT106" s="787"/>
      <c r="CU106" s="787"/>
      <c r="CV106" s="787"/>
      <c r="CW106" s="787"/>
      <c r="CX106" s="787"/>
      <c r="CY106" s="787"/>
      <c r="CZ106" s="787"/>
      <c r="DA106" s="787"/>
      <c r="DB106" s="787"/>
      <c r="DC106" s="787"/>
      <c r="DD106" s="787"/>
      <c r="DE106" s="787"/>
      <c r="DF106" s="787"/>
      <c r="DG106" s="787"/>
      <c r="DH106" s="787"/>
      <c r="DI106" s="787"/>
      <c r="DJ106" s="787"/>
      <c r="DK106" s="787"/>
      <c r="DL106" s="787"/>
      <c r="DM106" s="787"/>
      <c r="DN106" s="787"/>
      <c r="DO106" s="787"/>
      <c r="DP106" s="787"/>
      <c r="DQ106" s="787"/>
      <c r="DR106" s="787"/>
      <c r="DS106" s="787"/>
      <c r="DT106" s="787"/>
      <c r="DU106" s="787"/>
      <c r="DV106" s="787"/>
      <c r="DW106" s="787"/>
      <c r="DX106" s="787"/>
      <c r="DY106" s="787"/>
      <c r="DZ106" s="787"/>
      <c r="EA106" s="787"/>
    </row>
    <row r="107" spans="1:131" ht="15.6">
      <c r="A107" s="782" t="s">
        <v>1400</v>
      </c>
      <c r="B107" s="782" t="s">
        <v>710</v>
      </c>
      <c r="C107" s="783">
        <v>2416</v>
      </c>
      <c r="D107" s="784" t="s">
        <v>711</v>
      </c>
      <c r="E107" s="785" t="s">
        <v>521</v>
      </c>
      <c r="F107" s="786">
        <v>46091</v>
      </c>
      <c r="G107" s="785" t="s">
        <v>5</v>
      </c>
      <c r="H107" s="785" t="s">
        <v>722</v>
      </c>
      <c r="I107" s="787">
        <v>2190120.7999999993</v>
      </c>
      <c r="J107" s="787">
        <v>0</v>
      </c>
      <c r="K107" s="787">
        <v>95159.333333333328</v>
      </c>
      <c r="L107" s="787"/>
      <c r="M107" s="787">
        <v>66525</v>
      </c>
      <c r="N107" s="787">
        <v>96225</v>
      </c>
      <c r="O107" s="787"/>
      <c r="P107" s="787"/>
      <c r="Q107" s="787">
        <v>0</v>
      </c>
      <c r="R107" s="787"/>
      <c r="S107" s="787"/>
      <c r="T107" s="787"/>
      <c r="U107" s="787"/>
      <c r="V107" s="787"/>
      <c r="W107" s="787"/>
      <c r="X107" s="787">
        <f t="shared" si="3"/>
        <v>2448030.1333333328</v>
      </c>
      <c r="Y107" s="787"/>
      <c r="Z107" s="787"/>
      <c r="AA107" s="787"/>
      <c r="AB107" s="787"/>
      <c r="AC107" s="787"/>
      <c r="AD107" s="787"/>
      <c r="AE107" s="787"/>
      <c r="AF107" s="787"/>
      <c r="AG107" s="787"/>
      <c r="AH107" s="787"/>
      <c r="AI107" s="787"/>
      <c r="AJ107" s="787"/>
      <c r="AK107" s="787"/>
      <c r="AL107" s="787"/>
      <c r="AM107" s="787"/>
      <c r="AN107" s="787"/>
      <c r="AO107" s="787">
        <v>32594.799999999999</v>
      </c>
      <c r="AP107" s="787"/>
      <c r="AQ107" s="787"/>
      <c r="AR107" s="787"/>
      <c r="AS107" s="787"/>
      <c r="AT107" s="787"/>
      <c r="AU107" s="787"/>
      <c r="AV107" s="787"/>
      <c r="AW107" s="787"/>
      <c r="AX107" s="787"/>
      <c r="AY107" s="787"/>
      <c r="AZ107" s="787">
        <v>0</v>
      </c>
      <c r="BA107" s="787">
        <v>11448</v>
      </c>
      <c r="BB107" s="787"/>
      <c r="BC107" s="787"/>
      <c r="BD107" s="787"/>
      <c r="BE107" s="787">
        <v>11057.920000000004</v>
      </c>
      <c r="BF107" s="787"/>
      <c r="BG107" s="787"/>
      <c r="BH107" s="787"/>
      <c r="BI107" s="787"/>
      <c r="BJ107" s="787">
        <f t="shared" si="4"/>
        <v>55100.720000000008</v>
      </c>
      <c r="BK107" s="787"/>
      <c r="BL107" s="787"/>
      <c r="BM107" s="787"/>
      <c r="BN107" s="787">
        <v>8466.25</v>
      </c>
      <c r="BO107" s="787"/>
      <c r="BP107" s="787"/>
      <c r="BQ107" s="787">
        <f t="shared" si="5"/>
        <v>8466.25</v>
      </c>
      <c r="BR107" s="787"/>
      <c r="BS107" s="787"/>
      <c r="BT107" s="787"/>
      <c r="BU107" s="787"/>
      <c r="BV107" s="787"/>
      <c r="BW107" s="787"/>
      <c r="BX107" s="787"/>
      <c r="BY107" s="787"/>
      <c r="BZ107" s="787"/>
      <c r="CA107" s="787"/>
      <c r="CB107" s="787"/>
      <c r="CC107" s="787"/>
      <c r="CD107" s="787"/>
      <c r="CE107" s="787"/>
      <c r="CF107" s="787"/>
      <c r="CG107" s="787"/>
      <c r="CH107" s="787"/>
      <c r="CI107" s="787"/>
      <c r="CJ107" s="787"/>
      <c r="CK107" s="787"/>
      <c r="CL107" s="787"/>
      <c r="CM107" s="787"/>
      <c r="CN107" s="787"/>
      <c r="CO107" s="787"/>
      <c r="CP107" s="787"/>
      <c r="CQ107" s="787"/>
      <c r="CR107" s="787"/>
      <c r="CS107" s="787"/>
      <c r="CT107" s="787"/>
      <c r="CU107" s="787"/>
      <c r="CV107" s="787"/>
      <c r="CW107" s="787"/>
      <c r="CX107" s="787"/>
      <c r="CY107" s="787"/>
      <c r="CZ107" s="787"/>
      <c r="DA107" s="787"/>
      <c r="DB107" s="787"/>
      <c r="DC107" s="787"/>
      <c r="DD107" s="787"/>
      <c r="DE107" s="787"/>
      <c r="DF107" s="787"/>
      <c r="DG107" s="787"/>
      <c r="DH107" s="787"/>
      <c r="DI107" s="787"/>
      <c r="DJ107" s="787"/>
      <c r="DK107" s="787"/>
      <c r="DL107" s="787"/>
      <c r="DM107" s="787"/>
      <c r="DN107" s="787"/>
      <c r="DO107" s="787"/>
      <c r="DP107" s="787"/>
      <c r="DQ107" s="787"/>
      <c r="DR107" s="787"/>
      <c r="DS107" s="787"/>
      <c r="DT107" s="787"/>
      <c r="DU107" s="787"/>
      <c r="DV107" s="787"/>
      <c r="DW107" s="787"/>
      <c r="DX107" s="787"/>
      <c r="DY107" s="787"/>
      <c r="DZ107" s="787"/>
      <c r="EA107" s="787"/>
    </row>
    <row r="108" spans="1:131" ht="15.6">
      <c r="A108" s="782" t="s">
        <v>1401</v>
      </c>
      <c r="B108" s="782" t="s">
        <v>712</v>
      </c>
      <c r="C108" s="783">
        <v>3003</v>
      </c>
      <c r="D108" s="784" t="s">
        <v>713</v>
      </c>
      <c r="E108" s="785" t="s">
        <v>521</v>
      </c>
      <c r="F108" s="786" t="s">
        <v>1402</v>
      </c>
      <c r="G108" s="785" t="s">
        <v>5</v>
      </c>
      <c r="H108" s="785" t="s">
        <v>726</v>
      </c>
      <c r="I108" s="787">
        <v>1155479.0124784687</v>
      </c>
      <c r="J108" s="787">
        <v>0</v>
      </c>
      <c r="K108" s="787">
        <v>71780.801666666666</v>
      </c>
      <c r="L108" s="787"/>
      <c r="M108" s="787">
        <v>57420</v>
      </c>
      <c r="N108" s="787">
        <v>54302</v>
      </c>
      <c r="O108" s="787"/>
      <c r="P108" s="787"/>
      <c r="Q108" s="787">
        <v>2376.73</v>
      </c>
      <c r="R108" s="787"/>
      <c r="S108" s="787"/>
      <c r="T108" s="787"/>
      <c r="U108" s="787"/>
      <c r="V108" s="787"/>
      <c r="W108" s="787"/>
      <c r="X108" s="787">
        <f t="shared" si="3"/>
        <v>1341358.5441451354</v>
      </c>
      <c r="Y108" s="787"/>
      <c r="Z108" s="787"/>
      <c r="AA108" s="787"/>
      <c r="AB108" s="787"/>
      <c r="AC108" s="787"/>
      <c r="AD108" s="787"/>
      <c r="AE108" s="787"/>
      <c r="AF108" s="787"/>
      <c r="AG108" s="787"/>
      <c r="AH108" s="787"/>
      <c r="AI108" s="787"/>
      <c r="AJ108" s="787"/>
      <c r="AK108" s="787"/>
      <c r="AL108" s="787"/>
      <c r="AM108" s="787"/>
      <c r="AN108" s="787"/>
      <c r="AO108" s="787">
        <v>49289.69999999999</v>
      </c>
      <c r="AP108" s="787"/>
      <c r="AQ108" s="787"/>
      <c r="AR108" s="787"/>
      <c r="AS108" s="787"/>
      <c r="AT108" s="787"/>
      <c r="AU108" s="787"/>
      <c r="AV108" s="787"/>
      <c r="AW108" s="787"/>
      <c r="AX108" s="787"/>
      <c r="AY108" s="787"/>
      <c r="AZ108" s="787">
        <v>12.750000000000002</v>
      </c>
      <c r="BA108" s="787">
        <v>5139.75</v>
      </c>
      <c r="BB108" s="787"/>
      <c r="BC108" s="787"/>
      <c r="BD108" s="787"/>
      <c r="BE108" s="787">
        <v>5476.7999999999984</v>
      </c>
      <c r="BF108" s="787"/>
      <c r="BG108" s="787"/>
      <c r="BH108" s="787"/>
      <c r="BI108" s="787"/>
      <c r="BJ108" s="787">
        <f t="shared" si="4"/>
        <v>59918.999999999985</v>
      </c>
      <c r="BK108" s="787"/>
      <c r="BL108" s="787"/>
      <c r="BM108" s="787"/>
      <c r="BN108" s="787">
        <v>0</v>
      </c>
      <c r="BO108" s="787"/>
      <c r="BP108" s="787"/>
      <c r="BQ108" s="787">
        <f t="shared" si="5"/>
        <v>0</v>
      </c>
      <c r="BR108" s="787"/>
      <c r="BS108" s="787"/>
      <c r="BT108" s="787"/>
      <c r="BU108" s="787"/>
      <c r="BV108" s="787"/>
      <c r="BW108" s="787"/>
      <c r="BX108" s="787"/>
      <c r="BY108" s="787"/>
      <c r="BZ108" s="787"/>
      <c r="CA108" s="787"/>
      <c r="CB108" s="787"/>
      <c r="CC108" s="787"/>
      <c r="CD108" s="787"/>
      <c r="CE108" s="787"/>
      <c r="CF108" s="787"/>
      <c r="CG108" s="787"/>
      <c r="CH108" s="787"/>
      <c r="CI108" s="787"/>
      <c r="CJ108" s="787"/>
      <c r="CK108" s="787"/>
      <c r="CL108" s="787"/>
      <c r="CM108" s="787"/>
      <c r="CN108" s="787"/>
      <c r="CO108" s="787"/>
      <c r="CP108" s="787"/>
      <c r="CQ108" s="787"/>
      <c r="CR108" s="787"/>
      <c r="CS108" s="787"/>
      <c r="CT108" s="787"/>
      <c r="CU108" s="787"/>
      <c r="CV108" s="787"/>
      <c r="CW108" s="787"/>
      <c r="CX108" s="787"/>
      <c r="CY108" s="787"/>
      <c r="CZ108" s="787"/>
      <c r="DA108" s="787"/>
      <c r="DB108" s="787"/>
      <c r="DC108" s="787"/>
      <c r="DD108" s="787"/>
      <c r="DE108" s="787"/>
      <c r="DF108" s="787"/>
      <c r="DG108" s="787"/>
      <c r="DH108" s="787"/>
      <c r="DI108" s="787"/>
      <c r="DJ108" s="787"/>
      <c r="DK108" s="787"/>
      <c r="DL108" s="787"/>
      <c r="DM108" s="787"/>
      <c r="DN108" s="787"/>
      <c r="DO108" s="787"/>
      <c r="DP108" s="787"/>
      <c r="DQ108" s="787"/>
      <c r="DR108" s="787"/>
      <c r="DS108" s="787"/>
      <c r="DT108" s="787"/>
      <c r="DU108" s="787"/>
      <c r="DV108" s="787"/>
      <c r="DW108" s="787"/>
      <c r="DX108" s="787"/>
      <c r="DY108" s="787"/>
      <c r="DZ108" s="787"/>
      <c r="EA108" s="787"/>
    </row>
    <row r="109" spans="1:131" ht="15.6">
      <c r="A109" s="782" t="s">
        <v>1403</v>
      </c>
      <c r="B109" s="782" t="s">
        <v>714</v>
      </c>
      <c r="C109" s="783">
        <v>4245</v>
      </c>
      <c r="D109" s="784" t="s">
        <v>715</v>
      </c>
      <c r="E109" s="785" t="s">
        <v>521</v>
      </c>
      <c r="F109" s="786">
        <v>46094</v>
      </c>
      <c r="G109" s="785" t="s">
        <v>5</v>
      </c>
      <c r="H109" s="785" t="s">
        <v>728</v>
      </c>
      <c r="I109" s="787">
        <v>10655812.985681806</v>
      </c>
      <c r="J109" s="787">
        <v>1482588.29</v>
      </c>
      <c r="K109" s="787">
        <v>187623.58333333334</v>
      </c>
      <c r="L109" s="787"/>
      <c r="M109" s="787">
        <v>825600</v>
      </c>
      <c r="N109" s="787">
        <v>12226.289999999999</v>
      </c>
      <c r="O109" s="787"/>
      <c r="P109" s="787"/>
      <c r="Q109" s="787">
        <v>0</v>
      </c>
      <c r="R109" s="787"/>
      <c r="S109" s="787"/>
      <c r="T109" s="787"/>
      <c r="U109" s="787"/>
      <c r="V109" s="787"/>
      <c r="W109" s="787"/>
      <c r="X109" s="787">
        <f t="shared" si="3"/>
        <v>13163851.149015138</v>
      </c>
      <c r="Y109" s="787"/>
      <c r="Z109" s="787"/>
      <c r="AA109" s="787"/>
      <c r="AB109" s="787"/>
      <c r="AC109" s="787"/>
      <c r="AD109" s="787"/>
      <c r="AE109" s="787"/>
      <c r="AF109" s="787"/>
      <c r="AG109" s="787"/>
      <c r="AH109" s="787"/>
      <c r="AI109" s="787"/>
      <c r="AJ109" s="787"/>
      <c r="AK109" s="787"/>
      <c r="AL109" s="787"/>
      <c r="AM109" s="787"/>
      <c r="AN109" s="787"/>
      <c r="AO109" s="787">
        <v>22895.860000000004</v>
      </c>
      <c r="AP109" s="787"/>
      <c r="AQ109" s="787"/>
      <c r="AR109" s="787"/>
      <c r="AS109" s="787"/>
      <c r="AT109" s="787"/>
      <c r="AU109" s="787"/>
      <c r="AV109" s="787"/>
      <c r="AW109" s="787"/>
      <c r="AX109" s="787"/>
      <c r="AY109" s="787"/>
      <c r="AZ109" s="787">
        <v>0</v>
      </c>
      <c r="BA109" s="787">
        <v>39285</v>
      </c>
      <c r="BB109" s="787"/>
      <c r="BC109" s="787"/>
      <c r="BD109" s="787"/>
      <c r="BE109" s="787">
        <v>25464.449999999993</v>
      </c>
      <c r="BF109" s="787"/>
      <c r="BG109" s="787"/>
      <c r="BH109" s="787"/>
      <c r="BI109" s="787"/>
      <c r="BJ109" s="787">
        <f t="shared" si="4"/>
        <v>87645.31</v>
      </c>
      <c r="BK109" s="787"/>
      <c r="BL109" s="787"/>
      <c r="BM109" s="787"/>
      <c r="BN109" s="787">
        <v>29633.13</v>
      </c>
      <c r="BO109" s="787"/>
      <c r="BP109" s="787"/>
      <c r="BQ109" s="787">
        <f t="shared" si="5"/>
        <v>29633.13</v>
      </c>
      <c r="BR109" s="787"/>
      <c r="BS109" s="787"/>
      <c r="BT109" s="787"/>
      <c r="BU109" s="787"/>
      <c r="BV109" s="787"/>
      <c r="BW109" s="787"/>
      <c r="BX109" s="787"/>
      <c r="BY109" s="787"/>
      <c r="BZ109" s="787"/>
      <c r="CA109" s="787"/>
      <c r="CB109" s="787"/>
      <c r="CC109" s="787"/>
      <c r="CD109" s="787"/>
      <c r="CE109" s="787"/>
      <c r="CF109" s="787"/>
      <c r="CG109" s="787"/>
      <c r="CH109" s="787"/>
      <c r="CI109" s="787"/>
      <c r="CJ109" s="787"/>
      <c r="CK109" s="787"/>
      <c r="CL109" s="787"/>
      <c r="CM109" s="787"/>
      <c r="CN109" s="787"/>
      <c r="CO109" s="787"/>
      <c r="CP109" s="787"/>
      <c r="CQ109" s="787"/>
      <c r="CR109" s="787"/>
      <c r="CS109" s="787"/>
      <c r="CT109" s="787"/>
      <c r="CU109" s="787"/>
      <c r="CV109" s="787"/>
      <c r="CW109" s="787"/>
      <c r="CX109" s="787"/>
      <c r="CY109" s="787"/>
      <c r="CZ109" s="787"/>
      <c r="DA109" s="787"/>
      <c r="DB109" s="787"/>
      <c r="DC109" s="787"/>
      <c r="DD109" s="787"/>
      <c r="DE109" s="787"/>
      <c r="DF109" s="787"/>
      <c r="DG109" s="787"/>
      <c r="DH109" s="787"/>
      <c r="DI109" s="787"/>
      <c r="DJ109" s="787"/>
      <c r="DK109" s="787"/>
      <c r="DL109" s="787"/>
      <c r="DM109" s="787"/>
      <c r="DN109" s="787"/>
      <c r="DO109" s="787"/>
      <c r="DP109" s="787"/>
      <c r="DQ109" s="787"/>
      <c r="DR109" s="787"/>
      <c r="DS109" s="787"/>
      <c r="DT109" s="787"/>
      <c r="DU109" s="787"/>
      <c r="DV109" s="787"/>
      <c r="DW109" s="787"/>
      <c r="DX109" s="787"/>
      <c r="DY109" s="787"/>
      <c r="DZ109" s="787"/>
      <c r="EA109" s="787"/>
    </row>
    <row r="110" spans="1:131" ht="15.6">
      <c r="A110" s="782" t="s">
        <v>1404</v>
      </c>
      <c r="B110" s="782" t="s">
        <v>716</v>
      </c>
      <c r="C110" s="783">
        <v>2457</v>
      </c>
      <c r="D110" s="784" t="s">
        <v>717</v>
      </c>
      <c r="E110" s="785" t="s">
        <v>521</v>
      </c>
      <c r="F110" s="786" t="s">
        <v>1322</v>
      </c>
      <c r="G110" s="785" t="s">
        <v>5</v>
      </c>
      <c r="H110" s="785" t="s">
        <v>730</v>
      </c>
      <c r="I110" s="787">
        <v>2699046.058514094</v>
      </c>
      <c r="J110" s="787">
        <v>0</v>
      </c>
      <c r="K110" s="787">
        <v>280484.20240000007</v>
      </c>
      <c r="L110" s="787"/>
      <c r="M110" s="787">
        <v>299970</v>
      </c>
      <c r="N110" s="787">
        <v>73306.86</v>
      </c>
      <c r="O110" s="787"/>
      <c r="P110" s="787"/>
      <c r="Q110" s="787">
        <v>39123.15490000006</v>
      </c>
      <c r="R110" s="787"/>
      <c r="S110" s="787"/>
      <c r="T110" s="787"/>
      <c r="U110" s="787"/>
      <c r="V110" s="787"/>
      <c r="W110" s="787"/>
      <c r="X110" s="787">
        <f t="shared" si="3"/>
        <v>3391930.2758140936</v>
      </c>
      <c r="Y110" s="787"/>
      <c r="Z110" s="787"/>
      <c r="AA110" s="787"/>
      <c r="AB110" s="787"/>
      <c r="AC110" s="787"/>
      <c r="AD110" s="787"/>
      <c r="AE110" s="787"/>
      <c r="AF110" s="787"/>
      <c r="AG110" s="787"/>
      <c r="AH110" s="787"/>
      <c r="AI110" s="787"/>
      <c r="AJ110" s="787"/>
      <c r="AK110" s="787"/>
      <c r="AL110" s="787"/>
      <c r="AM110" s="787"/>
      <c r="AN110" s="787"/>
      <c r="AO110" s="787">
        <v>31799.809999999994</v>
      </c>
      <c r="AP110" s="787"/>
      <c r="AQ110" s="787"/>
      <c r="AR110" s="787"/>
      <c r="AS110" s="787"/>
      <c r="AT110" s="787"/>
      <c r="AU110" s="787"/>
      <c r="AV110" s="787"/>
      <c r="AW110" s="787"/>
      <c r="AX110" s="787"/>
      <c r="AY110" s="787"/>
      <c r="AZ110" s="787">
        <v>26.82</v>
      </c>
      <c r="BA110" s="787">
        <v>9471</v>
      </c>
      <c r="BB110" s="787"/>
      <c r="BC110" s="787"/>
      <c r="BD110" s="787"/>
      <c r="BE110" s="787">
        <v>10849.279999999999</v>
      </c>
      <c r="BF110" s="787"/>
      <c r="BG110" s="787"/>
      <c r="BH110" s="787"/>
      <c r="BI110" s="787"/>
      <c r="BJ110" s="787">
        <f t="shared" si="4"/>
        <v>52146.909999999989</v>
      </c>
      <c r="BK110" s="787"/>
      <c r="BL110" s="787"/>
      <c r="BM110" s="787"/>
      <c r="BN110" s="787">
        <v>8938.75</v>
      </c>
      <c r="BO110" s="787"/>
      <c r="BP110" s="787"/>
      <c r="BQ110" s="787">
        <f t="shared" si="5"/>
        <v>8938.75</v>
      </c>
      <c r="BR110" s="787"/>
      <c r="BS110" s="787"/>
      <c r="BT110" s="787"/>
      <c r="BU110" s="787"/>
      <c r="BV110" s="787"/>
      <c r="BW110" s="787"/>
      <c r="BX110" s="787"/>
      <c r="BY110" s="787"/>
      <c r="BZ110" s="787"/>
      <c r="CA110" s="787"/>
      <c r="CB110" s="787"/>
      <c r="CC110" s="787"/>
      <c r="CD110" s="787"/>
      <c r="CE110" s="787"/>
      <c r="CF110" s="787"/>
      <c r="CG110" s="787"/>
      <c r="CH110" s="787"/>
      <c r="CI110" s="787"/>
      <c r="CJ110" s="787"/>
      <c r="CK110" s="787"/>
      <c r="CL110" s="787"/>
      <c r="CM110" s="787"/>
      <c r="CN110" s="787"/>
      <c r="CO110" s="787"/>
      <c r="CP110" s="787"/>
      <c r="CQ110" s="787"/>
      <c r="CR110" s="787"/>
      <c r="CS110" s="787"/>
      <c r="CT110" s="787"/>
      <c r="CU110" s="787"/>
      <c r="CV110" s="787"/>
      <c r="CW110" s="787"/>
      <c r="CX110" s="787"/>
      <c r="CY110" s="787"/>
      <c r="CZ110" s="787"/>
      <c r="DA110" s="787"/>
      <c r="DB110" s="787"/>
      <c r="DC110" s="787"/>
      <c r="DD110" s="787"/>
      <c r="DE110" s="787"/>
      <c r="DF110" s="787"/>
      <c r="DG110" s="787"/>
      <c r="DH110" s="787"/>
      <c r="DI110" s="787"/>
      <c r="DJ110" s="787"/>
      <c r="DK110" s="787"/>
      <c r="DL110" s="787"/>
      <c r="DM110" s="787"/>
      <c r="DN110" s="787"/>
      <c r="DO110" s="787"/>
      <c r="DP110" s="787"/>
      <c r="DQ110" s="787"/>
      <c r="DR110" s="787"/>
      <c r="DS110" s="787"/>
      <c r="DT110" s="787"/>
      <c r="DU110" s="787"/>
      <c r="DV110" s="787"/>
      <c r="DW110" s="787"/>
      <c r="DX110" s="787"/>
      <c r="DY110" s="787"/>
      <c r="DZ110" s="787"/>
      <c r="EA110" s="787"/>
    </row>
    <row r="111" spans="1:131" ht="15.6">
      <c r="A111" s="782" t="s">
        <v>1405</v>
      </c>
      <c r="B111" s="782" t="s">
        <v>718</v>
      </c>
      <c r="C111" s="783">
        <v>2142</v>
      </c>
      <c r="D111" s="784" t="s">
        <v>719</v>
      </c>
      <c r="E111" s="785" t="s">
        <v>521</v>
      </c>
      <c r="F111" s="786">
        <v>46095</v>
      </c>
      <c r="G111" s="785" t="s">
        <v>5</v>
      </c>
      <c r="H111" s="785" t="s">
        <v>732</v>
      </c>
      <c r="I111" s="787">
        <v>2817514.8441715576</v>
      </c>
      <c r="J111" s="787">
        <v>0</v>
      </c>
      <c r="K111" s="787">
        <v>277363.15666666668</v>
      </c>
      <c r="L111" s="787"/>
      <c r="M111" s="787">
        <v>287850</v>
      </c>
      <c r="N111" s="787">
        <v>79962.64</v>
      </c>
      <c r="O111" s="787"/>
      <c r="P111" s="787"/>
      <c r="Q111" s="787">
        <v>43717.561409999973</v>
      </c>
      <c r="R111" s="787"/>
      <c r="S111" s="787"/>
      <c r="T111" s="787"/>
      <c r="U111" s="787"/>
      <c r="V111" s="787"/>
      <c r="W111" s="787"/>
      <c r="X111" s="787">
        <f t="shared" si="3"/>
        <v>3506408.2022482245</v>
      </c>
      <c r="Y111" s="787"/>
      <c r="Z111" s="787"/>
      <c r="AA111" s="787"/>
      <c r="AB111" s="787"/>
      <c r="AC111" s="787"/>
      <c r="AD111" s="787"/>
      <c r="AE111" s="787"/>
      <c r="AF111" s="787"/>
      <c r="AG111" s="787"/>
      <c r="AH111" s="787"/>
      <c r="AI111" s="787"/>
      <c r="AJ111" s="787"/>
      <c r="AK111" s="787"/>
      <c r="AL111" s="787"/>
      <c r="AM111" s="787"/>
      <c r="AN111" s="787"/>
      <c r="AO111" s="787">
        <v>23115.159999999993</v>
      </c>
      <c r="AP111" s="787"/>
      <c r="AQ111" s="787"/>
      <c r="AR111" s="787"/>
      <c r="AS111" s="787"/>
      <c r="AT111" s="787"/>
      <c r="AU111" s="787"/>
      <c r="AV111" s="787"/>
      <c r="AW111" s="787"/>
      <c r="AX111" s="787"/>
      <c r="AY111" s="787"/>
      <c r="AZ111" s="787">
        <v>325.08999999999997</v>
      </c>
      <c r="BA111" s="787">
        <v>9471</v>
      </c>
      <c r="BB111" s="787"/>
      <c r="BC111" s="787"/>
      <c r="BD111" s="787"/>
      <c r="BE111" s="787">
        <v>10797.12</v>
      </c>
      <c r="BF111" s="787"/>
      <c r="BG111" s="787"/>
      <c r="BH111" s="787"/>
      <c r="BI111" s="787"/>
      <c r="BJ111" s="787">
        <f t="shared" si="4"/>
        <v>43708.369999999995</v>
      </c>
      <c r="BK111" s="787"/>
      <c r="BL111" s="787"/>
      <c r="BM111" s="787"/>
      <c r="BN111" s="787">
        <v>8866.75</v>
      </c>
      <c r="BO111" s="787"/>
      <c r="BP111" s="787"/>
      <c r="BQ111" s="787">
        <f t="shared" si="5"/>
        <v>8866.75</v>
      </c>
      <c r="BR111" s="787"/>
      <c r="BS111" s="787"/>
      <c r="BT111" s="787"/>
      <c r="BU111" s="787"/>
      <c r="BV111" s="787"/>
      <c r="BW111" s="787"/>
      <c r="BX111" s="787"/>
      <c r="BY111" s="787"/>
      <c r="BZ111" s="787"/>
      <c r="CA111" s="787"/>
      <c r="CB111" s="787"/>
      <c r="CC111" s="787"/>
      <c r="CD111" s="787"/>
      <c r="CE111" s="787"/>
      <c r="CF111" s="787"/>
      <c r="CG111" s="787"/>
      <c r="CH111" s="787"/>
      <c r="CI111" s="787"/>
      <c r="CJ111" s="787"/>
      <c r="CK111" s="787"/>
      <c r="CL111" s="787"/>
      <c r="CM111" s="787"/>
      <c r="CN111" s="787"/>
      <c r="CO111" s="787"/>
      <c r="CP111" s="787"/>
      <c r="CQ111" s="787"/>
      <c r="CR111" s="787"/>
      <c r="CS111" s="787"/>
      <c r="CT111" s="787"/>
      <c r="CU111" s="787"/>
      <c r="CV111" s="787"/>
      <c r="CW111" s="787"/>
      <c r="CX111" s="787"/>
      <c r="CY111" s="787"/>
      <c r="CZ111" s="787"/>
      <c r="DA111" s="787"/>
      <c r="DB111" s="787"/>
      <c r="DC111" s="787"/>
      <c r="DD111" s="787"/>
      <c r="DE111" s="787"/>
      <c r="DF111" s="787"/>
      <c r="DG111" s="787"/>
      <c r="DH111" s="787"/>
      <c r="DI111" s="787"/>
      <c r="DJ111" s="787"/>
      <c r="DK111" s="787"/>
      <c r="DL111" s="787"/>
      <c r="DM111" s="787"/>
      <c r="DN111" s="787"/>
      <c r="DO111" s="787"/>
      <c r="DP111" s="787"/>
      <c r="DQ111" s="787"/>
      <c r="DR111" s="787"/>
      <c r="DS111" s="787"/>
      <c r="DT111" s="787"/>
      <c r="DU111" s="787"/>
      <c r="DV111" s="787"/>
      <c r="DW111" s="787"/>
      <c r="DX111" s="787"/>
      <c r="DY111" s="787"/>
      <c r="DZ111" s="787"/>
      <c r="EA111" s="787"/>
    </row>
    <row r="112" spans="1:131" ht="15.6">
      <c r="A112" s="782" t="s">
        <v>1406</v>
      </c>
      <c r="B112" s="782" t="s">
        <v>720</v>
      </c>
      <c r="C112" s="783">
        <v>2469</v>
      </c>
      <c r="D112" s="784" t="s">
        <v>721</v>
      </c>
      <c r="E112" s="785" t="s">
        <v>521</v>
      </c>
      <c r="F112" s="786" t="s">
        <v>1315</v>
      </c>
      <c r="G112" s="785" t="s">
        <v>5</v>
      </c>
      <c r="H112" s="785" t="s">
        <v>734</v>
      </c>
      <c r="I112" s="787">
        <v>2048660.4348310104</v>
      </c>
      <c r="J112" s="787">
        <v>0</v>
      </c>
      <c r="K112" s="787">
        <v>215694.42333333334</v>
      </c>
      <c r="L112" s="787"/>
      <c r="M112" s="787">
        <v>201345</v>
      </c>
      <c r="N112" s="787">
        <v>44011</v>
      </c>
      <c r="O112" s="787"/>
      <c r="P112" s="787"/>
      <c r="Q112" s="787">
        <v>0</v>
      </c>
      <c r="R112" s="787"/>
      <c r="S112" s="787"/>
      <c r="T112" s="787"/>
      <c r="U112" s="787"/>
      <c r="V112" s="787"/>
      <c r="W112" s="787"/>
      <c r="X112" s="787">
        <f t="shared" si="3"/>
        <v>2509710.858164344</v>
      </c>
      <c r="Y112" s="787"/>
      <c r="Z112" s="787"/>
      <c r="AA112" s="787"/>
      <c r="AB112" s="787"/>
      <c r="AC112" s="787"/>
      <c r="AD112" s="787"/>
      <c r="AE112" s="787"/>
      <c r="AF112" s="787"/>
      <c r="AG112" s="787"/>
      <c r="AH112" s="787"/>
      <c r="AI112" s="787"/>
      <c r="AJ112" s="787"/>
      <c r="AK112" s="787"/>
      <c r="AL112" s="787"/>
      <c r="AM112" s="787"/>
      <c r="AN112" s="787"/>
      <c r="AO112" s="787">
        <v>25052.189999999991</v>
      </c>
      <c r="AP112" s="787"/>
      <c r="AQ112" s="787"/>
      <c r="AR112" s="787"/>
      <c r="AS112" s="787"/>
      <c r="AT112" s="787"/>
      <c r="AU112" s="787"/>
      <c r="AV112" s="787"/>
      <c r="AW112" s="787"/>
      <c r="AX112" s="787"/>
      <c r="AY112" s="787"/>
      <c r="AZ112" s="787">
        <v>0</v>
      </c>
      <c r="BA112" s="787">
        <v>8559</v>
      </c>
      <c r="BB112" s="787"/>
      <c r="BC112" s="787"/>
      <c r="BD112" s="787"/>
      <c r="BE112" s="787">
        <v>8267.3599999999988</v>
      </c>
      <c r="BF112" s="787"/>
      <c r="BG112" s="787"/>
      <c r="BH112" s="787"/>
      <c r="BI112" s="787"/>
      <c r="BJ112" s="787">
        <f t="shared" si="4"/>
        <v>41878.549999999988</v>
      </c>
      <c r="BK112" s="787"/>
      <c r="BL112" s="787"/>
      <c r="BM112" s="787"/>
      <c r="BN112" s="787">
        <v>7768.75</v>
      </c>
      <c r="BO112" s="787"/>
      <c r="BP112" s="787"/>
      <c r="BQ112" s="787">
        <f t="shared" si="5"/>
        <v>7768.75</v>
      </c>
      <c r="BR112" s="787"/>
      <c r="BS112" s="787"/>
      <c r="BT112" s="787"/>
      <c r="BU112" s="787"/>
      <c r="BV112" s="787"/>
      <c r="BW112" s="787"/>
      <c r="BX112" s="787"/>
      <c r="BY112" s="787"/>
      <c r="BZ112" s="787"/>
      <c r="CA112" s="787"/>
      <c r="CB112" s="787"/>
      <c r="CC112" s="787"/>
      <c r="CD112" s="787"/>
      <c r="CE112" s="787"/>
      <c r="CF112" s="787"/>
      <c r="CG112" s="787"/>
      <c r="CH112" s="787"/>
      <c r="CI112" s="787"/>
      <c r="CJ112" s="787"/>
      <c r="CK112" s="787"/>
      <c r="CL112" s="787"/>
      <c r="CM112" s="787"/>
      <c r="CN112" s="787"/>
      <c r="CO112" s="787"/>
      <c r="CP112" s="787"/>
      <c r="CQ112" s="787"/>
      <c r="CR112" s="787"/>
      <c r="CS112" s="787"/>
      <c r="CT112" s="787"/>
      <c r="CU112" s="787"/>
      <c r="CV112" s="787"/>
      <c r="CW112" s="787"/>
      <c r="CX112" s="787"/>
      <c r="CY112" s="787"/>
      <c r="CZ112" s="787"/>
      <c r="DA112" s="787"/>
      <c r="DB112" s="787"/>
      <c r="DC112" s="787"/>
      <c r="DD112" s="787"/>
      <c r="DE112" s="787"/>
      <c r="DF112" s="787"/>
      <c r="DG112" s="787"/>
      <c r="DH112" s="787"/>
      <c r="DI112" s="787"/>
      <c r="DJ112" s="787"/>
      <c r="DK112" s="787"/>
      <c r="DL112" s="787"/>
      <c r="DM112" s="787"/>
      <c r="DN112" s="787"/>
      <c r="DO112" s="787"/>
      <c r="DP112" s="787"/>
      <c r="DQ112" s="787"/>
      <c r="DR112" s="787"/>
      <c r="DS112" s="787"/>
      <c r="DT112" s="787"/>
      <c r="DU112" s="787"/>
      <c r="DV112" s="787"/>
      <c r="DW112" s="787"/>
      <c r="DX112" s="787"/>
      <c r="DY112" s="787"/>
      <c r="DZ112" s="787"/>
      <c r="EA112" s="787"/>
    </row>
    <row r="113" spans="1:131" ht="15.6">
      <c r="A113" s="782" t="s">
        <v>1407</v>
      </c>
      <c r="B113" s="782" t="s">
        <v>906</v>
      </c>
      <c r="C113" s="783">
        <v>1028</v>
      </c>
      <c r="D113" s="784" t="s">
        <v>907</v>
      </c>
      <c r="E113" s="785" t="s">
        <v>521</v>
      </c>
      <c r="F113" s="786">
        <v>46094</v>
      </c>
      <c r="G113" s="785" t="s">
        <v>5</v>
      </c>
      <c r="H113" s="785" t="s">
        <v>926</v>
      </c>
      <c r="I113" s="787">
        <v>626171.61383012799</v>
      </c>
      <c r="J113" s="787">
        <v>0</v>
      </c>
      <c r="K113" s="787">
        <v>26529.489196675902</v>
      </c>
      <c r="L113" s="787"/>
      <c r="M113" s="787">
        <v>0</v>
      </c>
      <c r="N113" s="787">
        <v>876</v>
      </c>
      <c r="O113" s="787"/>
      <c r="P113" s="787"/>
      <c r="Q113" s="787">
        <v>0</v>
      </c>
      <c r="R113" s="787"/>
      <c r="S113" s="787"/>
      <c r="T113" s="787"/>
      <c r="U113" s="787"/>
      <c r="V113" s="787"/>
      <c r="W113" s="787"/>
      <c r="X113" s="787">
        <f t="shared" si="3"/>
        <v>653577.10302680393</v>
      </c>
      <c r="Y113" s="787"/>
      <c r="Z113" s="787"/>
      <c r="AA113" s="787"/>
      <c r="AB113" s="787"/>
      <c r="AC113" s="787"/>
      <c r="AD113" s="787"/>
      <c r="AE113" s="787"/>
      <c r="AF113" s="787"/>
      <c r="AG113" s="787"/>
      <c r="AH113" s="787"/>
      <c r="AI113" s="787"/>
      <c r="AJ113" s="787"/>
      <c r="AK113" s="787"/>
      <c r="AL113" s="787"/>
      <c r="AM113" s="787"/>
      <c r="AN113" s="787"/>
      <c r="AO113" s="787">
        <v>0</v>
      </c>
      <c r="AP113" s="787"/>
      <c r="AQ113" s="787"/>
      <c r="AR113" s="787"/>
      <c r="AS113" s="787"/>
      <c r="AT113" s="787"/>
      <c r="AU113" s="787"/>
      <c r="AV113" s="787"/>
      <c r="AW113" s="787"/>
      <c r="AX113" s="787"/>
      <c r="AY113" s="787"/>
      <c r="AZ113" s="787">
        <v>0</v>
      </c>
      <c r="BA113" s="787">
        <v>3291.75</v>
      </c>
      <c r="BB113" s="787"/>
      <c r="BC113" s="787"/>
      <c r="BD113" s="787"/>
      <c r="BE113" s="787">
        <v>0</v>
      </c>
      <c r="BF113" s="787"/>
      <c r="BG113" s="787"/>
      <c r="BH113" s="787"/>
      <c r="BI113" s="787"/>
      <c r="BJ113" s="787">
        <f t="shared" si="4"/>
        <v>3291.75</v>
      </c>
      <c r="BK113" s="787"/>
      <c r="BL113" s="787"/>
      <c r="BM113" s="787"/>
      <c r="BN113" s="787">
        <v>4567</v>
      </c>
      <c r="BO113" s="787"/>
      <c r="BP113" s="787"/>
      <c r="BQ113" s="787">
        <f t="shared" si="5"/>
        <v>4567</v>
      </c>
      <c r="BR113" s="787"/>
      <c r="BS113" s="787"/>
      <c r="BT113" s="787"/>
      <c r="BU113" s="787"/>
      <c r="BV113" s="787"/>
      <c r="BW113" s="787"/>
      <c r="BX113" s="787"/>
      <c r="BY113" s="787"/>
      <c r="BZ113" s="787"/>
      <c r="CA113" s="787"/>
      <c r="CB113" s="787"/>
      <c r="CC113" s="787"/>
      <c r="CD113" s="787"/>
      <c r="CE113" s="787"/>
      <c r="CF113" s="787"/>
      <c r="CG113" s="787"/>
      <c r="CH113" s="787"/>
      <c r="CI113" s="787"/>
      <c r="CJ113" s="787"/>
      <c r="CK113" s="787"/>
      <c r="CL113" s="787"/>
      <c r="CM113" s="787"/>
      <c r="CN113" s="787"/>
      <c r="CO113" s="787"/>
      <c r="CP113" s="787"/>
      <c r="CQ113" s="787"/>
      <c r="CR113" s="787"/>
      <c r="CS113" s="787"/>
      <c r="CT113" s="787"/>
      <c r="CU113" s="787"/>
      <c r="CV113" s="787"/>
      <c r="CW113" s="787"/>
      <c r="CX113" s="787"/>
      <c r="CY113" s="787"/>
      <c r="CZ113" s="787"/>
      <c r="DA113" s="787"/>
      <c r="DB113" s="787"/>
      <c r="DC113" s="787"/>
      <c r="DD113" s="787"/>
      <c r="DE113" s="787"/>
      <c r="DF113" s="787"/>
      <c r="DG113" s="787"/>
      <c r="DH113" s="787"/>
      <c r="DI113" s="787"/>
      <c r="DJ113" s="787"/>
      <c r="DK113" s="787"/>
      <c r="DL113" s="787"/>
      <c r="DM113" s="787"/>
      <c r="DN113" s="787"/>
      <c r="DO113" s="787"/>
      <c r="DP113" s="787"/>
      <c r="DQ113" s="787"/>
      <c r="DR113" s="787"/>
      <c r="DS113" s="787"/>
      <c r="DT113" s="787"/>
      <c r="DU113" s="787"/>
      <c r="DV113" s="787"/>
      <c r="DW113" s="787"/>
      <c r="DX113" s="787"/>
      <c r="DY113" s="787"/>
      <c r="DZ113" s="787"/>
      <c r="EA113" s="787"/>
    </row>
    <row r="114" spans="1:131" ht="15.6">
      <c r="A114" s="782" t="s">
        <v>1408</v>
      </c>
      <c r="B114" s="782" t="s">
        <v>722</v>
      </c>
      <c r="C114" s="783">
        <v>1049</v>
      </c>
      <c r="D114" s="784" t="s">
        <v>723</v>
      </c>
      <c r="E114" s="785" t="s">
        <v>521</v>
      </c>
      <c r="F114" s="786">
        <v>46094</v>
      </c>
      <c r="G114" s="785" t="s">
        <v>5</v>
      </c>
      <c r="H114" s="785" t="s">
        <v>736</v>
      </c>
      <c r="I114" s="787">
        <v>824063.39867693977</v>
      </c>
      <c r="J114" s="787">
        <v>0</v>
      </c>
      <c r="K114" s="787">
        <v>38669.162593721143</v>
      </c>
      <c r="L114" s="787"/>
      <c r="M114" s="787">
        <v>0</v>
      </c>
      <c r="N114" s="787">
        <v>0</v>
      </c>
      <c r="O114" s="787"/>
      <c r="P114" s="787"/>
      <c r="Q114" s="787">
        <v>0</v>
      </c>
      <c r="R114" s="787"/>
      <c r="S114" s="787"/>
      <c r="T114" s="787"/>
      <c r="U114" s="787"/>
      <c r="V114" s="787"/>
      <c r="W114" s="787"/>
      <c r="X114" s="787">
        <f t="shared" si="3"/>
        <v>862732.56127066095</v>
      </c>
      <c r="Y114" s="787"/>
      <c r="Z114" s="787"/>
      <c r="AA114" s="787"/>
      <c r="AB114" s="787"/>
      <c r="AC114" s="787"/>
      <c r="AD114" s="787"/>
      <c r="AE114" s="787"/>
      <c r="AF114" s="787"/>
      <c r="AG114" s="787"/>
      <c r="AH114" s="787"/>
      <c r="AI114" s="787"/>
      <c r="AJ114" s="787"/>
      <c r="AK114" s="787"/>
      <c r="AL114" s="787"/>
      <c r="AM114" s="787"/>
      <c r="AN114" s="787"/>
      <c r="AO114" s="787">
        <v>0</v>
      </c>
      <c r="AP114" s="787"/>
      <c r="AQ114" s="787"/>
      <c r="AR114" s="787"/>
      <c r="AS114" s="787"/>
      <c r="AT114" s="787"/>
      <c r="AU114" s="787"/>
      <c r="AV114" s="787"/>
      <c r="AW114" s="787"/>
      <c r="AX114" s="787"/>
      <c r="AY114" s="787"/>
      <c r="AZ114" s="787">
        <v>0</v>
      </c>
      <c r="BA114" s="787">
        <v>3291.75</v>
      </c>
      <c r="BB114" s="787"/>
      <c r="BC114" s="787"/>
      <c r="BD114" s="787"/>
      <c r="BE114" s="787">
        <v>0</v>
      </c>
      <c r="BF114" s="787"/>
      <c r="BG114" s="787"/>
      <c r="BH114" s="787"/>
      <c r="BI114" s="787"/>
      <c r="BJ114" s="787">
        <f t="shared" si="4"/>
        <v>3291.75</v>
      </c>
      <c r="BK114" s="787"/>
      <c r="BL114" s="787"/>
      <c r="BM114" s="787"/>
      <c r="BN114" s="787">
        <v>5005.75</v>
      </c>
      <c r="BO114" s="787"/>
      <c r="BP114" s="787"/>
      <c r="BQ114" s="787">
        <f t="shared" si="5"/>
        <v>5005.75</v>
      </c>
      <c r="BR114" s="787"/>
      <c r="BS114" s="787"/>
      <c r="BT114" s="787"/>
      <c r="BU114" s="787"/>
      <c r="BV114" s="787"/>
      <c r="BW114" s="787"/>
      <c r="BX114" s="787"/>
      <c r="BY114" s="787"/>
      <c r="BZ114" s="787"/>
      <c r="CA114" s="787"/>
      <c r="CB114" s="787"/>
      <c r="CC114" s="787"/>
      <c r="CD114" s="787"/>
      <c r="CE114" s="787"/>
      <c r="CF114" s="787"/>
      <c r="CG114" s="787"/>
      <c r="CH114" s="787"/>
      <c r="CI114" s="787"/>
      <c r="CJ114" s="787"/>
      <c r="CK114" s="787"/>
      <c r="CL114" s="787"/>
      <c r="CM114" s="787"/>
      <c r="CN114" s="787"/>
      <c r="CO114" s="787"/>
      <c r="CP114" s="787"/>
      <c r="CQ114" s="787"/>
      <c r="CR114" s="787"/>
      <c r="CS114" s="787"/>
      <c r="CT114" s="787"/>
      <c r="CU114" s="787"/>
      <c r="CV114" s="787"/>
      <c r="CW114" s="787"/>
      <c r="CX114" s="787"/>
      <c r="CY114" s="787"/>
      <c r="CZ114" s="787"/>
      <c r="DA114" s="787"/>
      <c r="DB114" s="787"/>
      <c r="DC114" s="787"/>
      <c r="DD114" s="787"/>
      <c r="DE114" s="787"/>
      <c r="DF114" s="787"/>
      <c r="DG114" s="787"/>
      <c r="DH114" s="787"/>
      <c r="DI114" s="787"/>
      <c r="DJ114" s="787"/>
      <c r="DK114" s="787"/>
      <c r="DL114" s="787"/>
      <c r="DM114" s="787"/>
      <c r="DN114" s="787"/>
      <c r="DO114" s="787"/>
      <c r="DP114" s="787"/>
      <c r="DQ114" s="787"/>
      <c r="DR114" s="787"/>
      <c r="DS114" s="787"/>
      <c r="DT114" s="787"/>
      <c r="DU114" s="787"/>
      <c r="DV114" s="787"/>
      <c r="DW114" s="787"/>
      <c r="DX114" s="787"/>
      <c r="DY114" s="787"/>
      <c r="DZ114" s="787"/>
      <c r="EA114" s="787"/>
    </row>
    <row r="115" spans="1:131" ht="15.6">
      <c r="A115" s="782" t="s">
        <v>1409</v>
      </c>
      <c r="B115" s="782" t="s">
        <v>726</v>
      </c>
      <c r="C115" s="783">
        <v>3351</v>
      </c>
      <c r="D115" s="784" t="s">
        <v>727</v>
      </c>
      <c r="E115" s="785" t="s">
        <v>521</v>
      </c>
      <c r="F115" s="786">
        <v>0</v>
      </c>
      <c r="G115" s="785" t="s">
        <v>5</v>
      </c>
      <c r="H115" s="785" t="s">
        <v>738</v>
      </c>
      <c r="I115" s="787">
        <v>1453075.0844962134</v>
      </c>
      <c r="J115" s="787">
        <v>0</v>
      </c>
      <c r="K115" s="787">
        <v>70109.993333333332</v>
      </c>
      <c r="L115" s="787"/>
      <c r="M115" s="787">
        <v>158975</v>
      </c>
      <c r="N115" s="787">
        <v>40103</v>
      </c>
      <c r="O115" s="787"/>
      <c r="P115" s="787"/>
      <c r="Q115" s="787">
        <v>13556.077284999992</v>
      </c>
      <c r="R115" s="787"/>
      <c r="S115" s="787"/>
      <c r="T115" s="787"/>
      <c r="U115" s="787"/>
      <c r="V115" s="787"/>
      <c r="W115" s="787"/>
      <c r="X115" s="787">
        <f t="shared" si="3"/>
        <v>1735819.1551145467</v>
      </c>
      <c r="Y115" s="787"/>
      <c r="Z115" s="787"/>
      <c r="AA115" s="787"/>
      <c r="AB115" s="787"/>
      <c r="AC115" s="787"/>
      <c r="AD115" s="787"/>
      <c r="AE115" s="787"/>
      <c r="AF115" s="787"/>
      <c r="AG115" s="787"/>
      <c r="AH115" s="787"/>
      <c r="AI115" s="787"/>
      <c r="AJ115" s="787"/>
      <c r="AK115" s="787"/>
      <c r="AL115" s="787"/>
      <c r="AM115" s="787"/>
      <c r="AN115" s="787"/>
      <c r="AO115" s="787">
        <v>21610.93</v>
      </c>
      <c r="AP115" s="787"/>
      <c r="AQ115" s="787"/>
      <c r="AR115" s="787"/>
      <c r="AS115" s="787"/>
      <c r="AT115" s="787"/>
      <c r="AU115" s="787"/>
      <c r="AV115" s="787"/>
      <c r="AW115" s="787"/>
      <c r="AX115" s="787"/>
      <c r="AY115" s="787"/>
      <c r="AZ115" s="787">
        <v>95.75</v>
      </c>
      <c r="BA115" s="787">
        <v>5139.75</v>
      </c>
      <c r="BB115" s="787"/>
      <c r="BC115" s="787"/>
      <c r="BD115" s="787"/>
      <c r="BE115" s="787">
        <v>5424.6399999999994</v>
      </c>
      <c r="BF115" s="787"/>
      <c r="BG115" s="787"/>
      <c r="BH115" s="787"/>
      <c r="BI115" s="787"/>
      <c r="BJ115" s="787">
        <f t="shared" si="4"/>
        <v>32271.07</v>
      </c>
      <c r="BK115" s="787"/>
      <c r="BL115" s="787"/>
      <c r="BM115" s="787"/>
      <c r="BN115" s="787">
        <v>0</v>
      </c>
      <c r="BO115" s="787"/>
      <c r="BP115" s="787"/>
      <c r="BQ115" s="787">
        <f t="shared" si="5"/>
        <v>0</v>
      </c>
      <c r="BR115" s="787"/>
      <c r="BS115" s="787"/>
      <c r="BT115" s="787"/>
      <c r="BU115" s="787"/>
      <c r="BV115" s="787"/>
      <c r="BW115" s="787"/>
      <c r="BX115" s="787"/>
      <c r="BY115" s="787"/>
      <c r="BZ115" s="787"/>
      <c r="CA115" s="787"/>
      <c r="CB115" s="787"/>
      <c r="CC115" s="787"/>
      <c r="CD115" s="787"/>
      <c r="CE115" s="787"/>
      <c r="CF115" s="787"/>
      <c r="CG115" s="787"/>
      <c r="CH115" s="787"/>
      <c r="CI115" s="787"/>
      <c r="CJ115" s="787"/>
      <c r="CK115" s="787"/>
      <c r="CL115" s="787"/>
      <c r="CM115" s="787"/>
      <c r="CN115" s="787"/>
      <c r="CO115" s="787"/>
      <c r="CP115" s="787"/>
      <c r="CQ115" s="787"/>
      <c r="CR115" s="787"/>
      <c r="CS115" s="787"/>
      <c r="CT115" s="787"/>
      <c r="CU115" s="787"/>
      <c r="CV115" s="787"/>
      <c r="CW115" s="787"/>
      <c r="CX115" s="787"/>
      <c r="CY115" s="787"/>
      <c r="CZ115" s="787"/>
      <c r="DA115" s="787"/>
      <c r="DB115" s="787"/>
      <c r="DC115" s="787"/>
      <c r="DD115" s="787"/>
      <c r="DE115" s="787"/>
      <c r="DF115" s="787"/>
      <c r="DG115" s="787"/>
      <c r="DH115" s="787"/>
      <c r="DI115" s="787"/>
      <c r="DJ115" s="787"/>
      <c r="DK115" s="787"/>
      <c r="DL115" s="787"/>
      <c r="DM115" s="787"/>
      <c r="DN115" s="787"/>
      <c r="DO115" s="787"/>
      <c r="DP115" s="787"/>
      <c r="DQ115" s="787"/>
      <c r="DR115" s="787"/>
      <c r="DS115" s="787"/>
      <c r="DT115" s="787"/>
      <c r="DU115" s="787"/>
      <c r="DV115" s="787"/>
      <c r="DW115" s="787"/>
      <c r="DX115" s="787"/>
      <c r="DY115" s="787"/>
      <c r="DZ115" s="787"/>
      <c r="EA115" s="787"/>
    </row>
    <row r="116" spans="1:131" ht="15.6">
      <c r="A116" s="782" t="s">
        <v>1410</v>
      </c>
      <c r="B116" s="782" t="s">
        <v>728</v>
      </c>
      <c r="C116" s="783">
        <v>3328</v>
      </c>
      <c r="D116" s="784" t="s">
        <v>729</v>
      </c>
      <c r="E116" s="785" t="s">
        <v>521</v>
      </c>
      <c r="F116" s="786" t="s">
        <v>1315</v>
      </c>
      <c r="G116" s="785" t="s">
        <v>5</v>
      </c>
      <c r="H116" s="785" t="s">
        <v>740</v>
      </c>
      <c r="I116" s="787">
        <v>1262682.3553523237</v>
      </c>
      <c r="J116" s="787">
        <v>0</v>
      </c>
      <c r="K116" s="787">
        <v>75864.863333333342</v>
      </c>
      <c r="L116" s="787"/>
      <c r="M116" s="787">
        <v>87470</v>
      </c>
      <c r="N116" s="787">
        <v>48706.6</v>
      </c>
      <c r="O116" s="787"/>
      <c r="P116" s="787"/>
      <c r="Q116" s="787">
        <v>15142.560970000002</v>
      </c>
      <c r="R116" s="787"/>
      <c r="S116" s="787"/>
      <c r="T116" s="787"/>
      <c r="U116" s="787"/>
      <c r="V116" s="787"/>
      <c r="W116" s="787"/>
      <c r="X116" s="787">
        <f t="shared" si="3"/>
        <v>1489866.3796556571</v>
      </c>
      <c r="Y116" s="787"/>
      <c r="Z116" s="787"/>
      <c r="AA116" s="787"/>
      <c r="AB116" s="787"/>
      <c r="AC116" s="787"/>
      <c r="AD116" s="787"/>
      <c r="AE116" s="787"/>
      <c r="AF116" s="787"/>
      <c r="AG116" s="787"/>
      <c r="AH116" s="787"/>
      <c r="AI116" s="787"/>
      <c r="AJ116" s="787"/>
      <c r="AK116" s="787"/>
      <c r="AL116" s="787"/>
      <c r="AM116" s="787"/>
      <c r="AN116" s="787"/>
      <c r="AO116" s="787">
        <v>3471.48</v>
      </c>
      <c r="AP116" s="787"/>
      <c r="AQ116" s="787"/>
      <c r="AR116" s="787"/>
      <c r="AS116" s="787"/>
      <c r="AT116" s="787"/>
      <c r="AU116" s="787"/>
      <c r="AV116" s="787"/>
      <c r="AW116" s="787"/>
      <c r="AX116" s="787"/>
      <c r="AY116" s="787"/>
      <c r="AZ116" s="787">
        <v>50.18</v>
      </c>
      <c r="BA116" s="787">
        <v>5139.75</v>
      </c>
      <c r="BB116" s="787"/>
      <c r="BC116" s="787"/>
      <c r="BD116" s="787"/>
      <c r="BE116" s="787">
        <v>5450.7199999999984</v>
      </c>
      <c r="BF116" s="787"/>
      <c r="BG116" s="787"/>
      <c r="BH116" s="787"/>
      <c r="BI116" s="787"/>
      <c r="BJ116" s="787">
        <f t="shared" si="4"/>
        <v>14112.129999999997</v>
      </c>
      <c r="BK116" s="787"/>
      <c r="BL116" s="787"/>
      <c r="BM116" s="787"/>
      <c r="BN116" s="787">
        <v>0</v>
      </c>
      <c r="BO116" s="787"/>
      <c r="BP116" s="787"/>
      <c r="BQ116" s="787">
        <f t="shared" si="5"/>
        <v>0</v>
      </c>
      <c r="BR116" s="787"/>
      <c r="BS116" s="787"/>
      <c r="BT116" s="787"/>
      <c r="BU116" s="787"/>
      <c r="BV116" s="787"/>
      <c r="BW116" s="787"/>
      <c r="BX116" s="787"/>
      <c r="BY116" s="787"/>
      <c r="BZ116" s="787"/>
      <c r="CA116" s="787"/>
      <c r="CB116" s="787"/>
      <c r="CC116" s="787"/>
      <c r="CD116" s="787"/>
      <c r="CE116" s="787"/>
      <c r="CF116" s="787"/>
      <c r="CG116" s="787"/>
      <c r="CH116" s="787"/>
      <c r="CI116" s="787"/>
      <c r="CJ116" s="787"/>
      <c r="CK116" s="787"/>
      <c r="CL116" s="787"/>
      <c r="CM116" s="787"/>
      <c r="CN116" s="787"/>
      <c r="CO116" s="787"/>
      <c r="CP116" s="787"/>
      <c r="CQ116" s="787"/>
      <c r="CR116" s="787"/>
      <c r="CS116" s="787"/>
      <c r="CT116" s="787"/>
      <c r="CU116" s="787"/>
      <c r="CV116" s="787"/>
      <c r="CW116" s="787"/>
      <c r="CX116" s="787"/>
      <c r="CY116" s="787"/>
      <c r="CZ116" s="787"/>
      <c r="DA116" s="787"/>
      <c r="DB116" s="787"/>
      <c r="DC116" s="787"/>
      <c r="DD116" s="787"/>
      <c r="DE116" s="787"/>
      <c r="DF116" s="787"/>
      <c r="DG116" s="787"/>
      <c r="DH116" s="787"/>
      <c r="DI116" s="787"/>
      <c r="DJ116" s="787"/>
      <c r="DK116" s="787"/>
      <c r="DL116" s="787"/>
      <c r="DM116" s="787"/>
      <c r="DN116" s="787"/>
      <c r="DO116" s="787"/>
      <c r="DP116" s="787"/>
      <c r="DQ116" s="787"/>
      <c r="DR116" s="787"/>
      <c r="DS116" s="787"/>
      <c r="DT116" s="787"/>
      <c r="DU116" s="787"/>
      <c r="DV116" s="787"/>
      <c r="DW116" s="787"/>
      <c r="DX116" s="787"/>
      <c r="DY116" s="787"/>
      <c r="DZ116" s="787"/>
      <c r="EA116" s="787"/>
    </row>
    <row r="117" spans="1:131" ht="15.6">
      <c r="A117" s="782" t="s">
        <v>1411</v>
      </c>
      <c r="B117" s="782" t="s">
        <v>908</v>
      </c>
      <c r="C117" s="783">
        <v>2150</v>
      </c>
      <c r="D117" s="784" t="s">
        <v>909</v>
      </c>
      <c r="E117" s="785" t="s">
        <v>521</v>
      </c>
      <c r="F117" s="786">
        <v>46094</v>
      </c>
      <c r="G117" s="785" t="s">
        <v>5</v>
      </c>
      <c r="H117" s="785" t="s">
        <v>930</v>
      </c>
      <c r="I117" s="787">
        <v>1658431.4373479388</v>
      </c>
      <c r="J117" s="787">
        <v>0</v>
      </c>
      <c r="K117" s="787">
        <v>129763.01</v>
      </c>
      <c r="L117" s="787"/>
      <c r="M117" s="787">
        <v>176855</v>
      </c>
      <c r="N117" s="787">
        <v>44442</v>
      </c>
      <c r="O117" s="787"/>
      <c r="P117" s="787"/>
      <c r="Q117" s="787">
        <v>2470.69</v>
      </c>
      <c r="R117" s="787"/>
      <c r="S117" s="787"/>
      <c r="T117" s="787"/>
      <c r="U117" s="787"/>
      <c r="V117" s="787"/>
      <c r="W117" s="787"/>
      <c r="X117" s="787">
        <f t="shared" si="3"/>
        <v>2011962.1373479387</v>
      </c>
      <c r="Y117" s="787"/>
      <c r="Z117" s="787"/>
      <c r="AA117" s="787"/>
      <c r="AB117" s="787"/>
      <c r="AC117" s="787"/>
      <c r="AD117" s="787"/>
      <c r="AE117" s="787"/>
      <c r="AF117" s="787"/>
      <c r="AG117" s="787"/>
      <c r="AH117" s="787"/>
      <c r="AI117" s="787"/>
      <c r="AJ117" s="787"/>
      <c r="AK117" s="787"/>
      <c r="AL117" s="787"/>
      <c r="AM117" s="787"/>
      <c r="AN117" s="787"/>
      <c r="AO117" s="787">
        <v>35244.79</v>
      </c>
      <c r="AP117" s="787"/>
      <c r="AQ117" s="787"/>
      <c r="AR117" s="787"/>
      <c r="AS117" s="787"/>
      <c r="AT117" s="787"/>
      <c r="AU117" s="787"/>
      <c r="AV117" s="787"/>
      <c r="AW117" s="787"/>
      <c r="AX117" s="787"/>
      <c r="AY117" s="787"/>
      <c r="AZ117" s="787">
        <v>281.52</v>
      </c>
      <c r="BA117" s="787">
        <v>5139.75</v>
      </c>
      <c r="BB117" s="787"/>
      <c r="BC117" s="787"/>
      <c r="BD117" s="787"/>
      <c r="BE117" s="787">
        <v>6728.64</v>
      </c>
      <c r="BF117" s="787"/>
      <c r="BG117" s="787"/>
      <c r="BH117" s="787"/>
      <c r="BI117" s="787"/>
      <c r="BJ117" s="787">
        <f t="shared" si="4"/>
        <v>47394.7</v>
      </c>
      <c r="BK117" s="787"/>
      <c r="BL117" s="787"/>
      <c r="BM117" s="787"/>
      <c r="BN117" s="787">
        <v>7240</v>
      </c>
      <c r="BO117" s="787"/>
      <c r="BP117" s="787"/>
      <c r="BQ117" s="787">
        <f t="shared" si="5"/>
        <v>7240</v>
      </c>
      <c r="BR117" s="787"/>
      <c r="BS117" s="787"/>
      <c r="BT117" s="787"/>
      <c r="BU117" s="787"/>
      <c r="BV117" s="787"/>
      <c r="BW117" s="787"/>
      <c r="BX117" s="787"/>
      <c r="BY117" s="787"/>
      <c r="BZ117" s="787"/>
      <c r="CA117" s="787"/>
      <c r="CB117" s="787"/>
      <c r="CC117" s="787"/>
      <c r="CD117" s="787"/>
      <c r="CE117" s="787"/>
      <c r="CF117" s="787"/>
      <c r="CG117" s="787"/>
      <c r="CH117" s="787"/>
      <c r="CI117" s="787"/>
      <c r="CJ117" s="787"/>
      <c r="CK117" s="787"/>
      <c r="CL117" s="787"/>
      <c r="CM117" s="787"/>
      <c r="CN117" s="787"/>
      <c r="CO117" s="787"/>
      <c r="CP117" s="787"/>
      <c r="CQ117" s="787"/>
      <c r="CR117" s="787"/>
      <c r="CS117" s="787"/>
      <c r="CT117" s="787"/>
      <c r="CU117" s="787"/>
      <c r="CV117" s="787"/>
      <c r="CW117" s="787"/>
      <c r="CX117" s="787"/>
      <c r="CY117" s="787"/>
      <c r="CZ117" s="787"/>
      <c r="DA117" s="787"/>
      <c r="DB117" s="787"/>
      <c r="DC117" s="787"/>
      <c r="DD117" s="787"/>
      <c r="DE117" s="787"/>
      <c r="DF117" s="787"/>
      <c r="DG117" s="787"/>
      <c r="DH117" s="787"/>
      <c r="DI117" s="787"/>
      <c r="DJ117" s="787"/>
      <c r="DK117" s="787"/>
      <c r="DL117" s="787"/>
      <c r="DM117" s="787"/>
      <c r="DN117" s="787"/>
      <c r="DO117" s="787"/>
      <c r="DP117" s="787"/>
      <c r="DQ117" s="787"/>
      <c r="DR117" s="787"/>
      <c r="DS117" s="787"/>
      <c r="DT117" s="787"/>
      <c r="DU117" s="787"/>
      <c r="DV117" s="787"/>
      <c r="DW117" s="787"/>
      <c r="DX117" s="787"/>
      <c r="DY117" s="787"/>
      <c r="DZ117" s="787"/>
      <c r="EA117" s="787"/>
    </row>
    <row r="118" spans="1:131" ht="15.6">
      <c r="A118" s="782" t="s">
        <v>1412</v>
      </c>
      <c r="B118" s="782" t="s">
        <v>910</v>
      </c>
      <c r="C118" s="783">
        <v>2425</v>
      </c>
      <c r="D118" s="784" t="s">
        <v>911</v>
      </c>
      <c r="E118" s="785" t="s">
        <v>521</v>
      </c>
      <c r="F118" s="786">
        <v>46094</v>
      </c>
      <c r="G118" s="785" t="s">
        <v>5</v>
      </c>
      <c r="H118" s="785" t="s">
        <v>872</v>
      </c>
      <c r="I118" s="787">
        <v>1139903.1488526065</v>
      </c>
      <c r="J118" s="787">
        <v>0</v>
      </c>
      <c r="K118" s="787">
        <v>89456.533333333326</v>
      </c>
      <c r="L118" s="787"/>
      <c r="M118" s="787">
        <v>45765</v>
      </c>
      <c r="N118" s="787">
        <v>55219</v>
      </c>
      <c r="O118" s="787"/>
      <c r="P118" s="787"/>
      <c r="Q118" s="787">
        <v>3352.64</v>
      </c>
      <c r="R118" s="787"/>
      <c r="S118" s="787"/>
      <c r="T118" s="787"/>
      <c r="U118" s="787"/>
      <c r="V118" s="787"/>
      <c r="W118" s="787"/>
      <c r="X118" s="787">
        <f t="shared" si="3"/>
        <v>1333696.3221859399</v>
      </c>
      <c r="Y118" s="787"/>
      <c r="Z118" s="787"/>
      <c r="AA118" s="787"/>
      <c r="AB118" s="787"/>
      <c r="AC118" s="787"/>
      <c r="AD118" s="787"/>
      <c r="AE118" s="787"/>
      <c r="AF118" s="787"/>
      <c r="AG118" s="787"/>
      <c r="AH118" s="787"/>
      <c r="AI118" s="787"/>
      <c r="AJ118" s="787"/>
      <c r="AK118" s="787"/>
      <c r="AL118" s="787"/>
      <c r="AM118" s="787"/>
      <c r="AN118" s="787"/>
      <c r="AO118" s="787">
        <v>15625.330000000004</v>
      </c>
      <c r="AP118" s="787"/>
      <c r="AQ118" s="787"/>
      <c r="AR118" s="787"/>
      <c r="AS118" s="787"/>
      <c r="AT118" s="787"/>
      <c r="AU118" s="787"/>
      <c r="AV118" s="787"/>
      <c r="AW118" s="787"/>
      <c r="AX118" s="787"/>
      <c r="AY118" s="787"/>
      <c r="AZ118" s="787">
        <v>42.930000000000014</v>
      </c>
      <c r="BA118" s="787">
        <v>5139.75</v>
      </c>
      <c r="BB118" s="787"/>
      <c r="BC118" s="787"/>
      <c r="BD118" s="787"/>
      <c r="BE118" s="787">
        <v>5450.7199999999984</v>
      </c>
      <c r="BF118" s="787"/>
      <c r="BG118" s="787"/>
      <c r="BH118" s="787"/>
      <c r="BI118" s="787"/>
      <c r="BJ118" s="787">
        <f t="shared" si="4"/>
        <v>26258.73</v>
      </c>
      <c r="BK118" s="787"/>
      <c r="BL118" s="787"/>
      <c r="BM118" s="787"/>
      <c r="BN118" s="787">
        <v>6373.75</v>
      </c>
      <c r="BO118" s="787"/>
      <c r="BP118" s="787"/>
      <c r="BQ118" s="787">
        <f t="shared" si="5"/>
        <v>6373.75</v>
      </c>
      <c r="BR118" s="787"/>
      <c r="BS118" s="787"/>
      <c r="BT118" s="787"/>
      <c r="BU118" s="787"/>
      <c r="BV118" s="787"/>
      <c r="BW118" s="787"/>
      <c r="BX118" s="787"/>
      <c r="BY118" s="787"/>
      <c r="BZ118" s="787"/>
      <c r="CA118" s="787"/>
      <c r="CB118" s="787"/>
      <c r="CC118" s="787"/>
      <c r="CD118" s="787"/>
      <c r="CE118" s="787"/>
      <c r="CF118" s="787"/>
      <c r="CG118" s="787"/>
      <c r="CH118" s="787"/>
      <c r="CI118" s="787"/>
      <c r="CJ118" s="787"/>
      <c r="CK118" s="787"/>
      <c r="CL118" s="787"/>
      <c r="CM118" s="787"/>
      <c r="CN118" s="787"/>
      <c r="CO118" s="787"/>
      <c r="CP118" s="787"/>
      <c r="CQ118" s="787"/>
      <c r="CR118" s="787"/>
      <c r="CS118" s="787"/>
      <c r="CT118" s="787"/>
      <c r="CU118" s="787"/>
      <c r="CV118" s="787"/>
      <c r="CW118" s="787"/>
      <c r="CX118" s="787"/>
      <c r="CY118" s="787"/>
      <c r="CZ118" s="787"/>
      <c r="DA118" s="787"/>
      <c r="DB118" s="787"/>
      <c r="DC118" s="787"/>
      <c r="DD118" s="787"/>
      <c r="DE118" s="787"/>
      <c r="DF118" s="787"/>
      <c r="DG118" s="787"/>
      <c r="DH118" s="787"/>
      <c r="DI118" s="787"/>
      <c r="DJ118" s="787"/>
      <c r="DK118" s="787"/>
      <c r="DL118" s="787"/>
      <c r="DM118" s="787"/>
      <c r="DN118" s="787"/>
      <c r="DO118" s="787"/>
      <c r="DP118" s="787"/>
      <c r="DQ118" s="787"/>
      <c r="DR118" s="787"/>
      <c r="DS118" s="787"/>
      <c r="DT118" s="787"/>
      <c r="DU118" s="787"/>
      <c r="DV118" s="787"/>
      <c r="DW118" s="787"/>
      <c r="DX118" s="787"/>
      <c r="DY118" s="787"/>
      <c r="DZ118" s="787"/>
      <c r="EA118" s="787"/>
    </row>
    <row r="119" spans="1:131" ht="15.6">
      <c r="A119" s="782" t="s">
        <v>1413</v>
      </c>
      <c r="B119" s="782" t="s">
        <v>730</v>
      </c>
      <c r="C119" s="783">
        <v>1008</v>
      </c>
      <c r="D119" s="784" t="s">
        <v>731</v>
      </c>
      <c r="E119" s="785" t="s">
        <v>521</v>
      </c>
      <c r="F119" s="786">
        <v>46093</v>
      </c>
      <c r="G119" s="785" t="s">
        <v>5</v>
      </c>
      <c r="H119" s="785" t="s">
        <v>742</v>
      </c>
      <c r="I119" s="787">
        <v>472287.20084859408</v>
      </c>
      <c r="J119" s="787">
        <v>0</v>
      </c>
      <c r="K119" s="787">
        <v>1012.8321329639889</v>
      </c>
      <c r="L119" s="787"/>
      <c r="M119" s="787">
        <v>0</v>
      </c>
      <c r="N119" s="787">
        <v>0</v>
      </c>
      <c r="O119" s="787"/>
      <c r="P119" s="787"/>
      <c r="Q119" s="787">
        <v>5332.3607049999955</v>
      </c>
      <c r="R119" s="787"/>
      <c r="S119" s="787"/>
      <c r="T119" s="787"/>
      <c r="U119" s="787"/>
      <c r="V119" s="787"/>
      <c r="W119" s="787"/>
      <c r="X119" s="787">
        <f t="shared" si="3"/>
        <v>478632.39368655806</v>
      </c>
      <c r="Y119" s="787"/>
      <c r="Z119" s="787"/>
      <c r="AA119" s="787"/>
      <c r="AB119" s="787"/>
      <c r="AC119" s="787"/>
      <c r="AD119" s="787"/>
      <c r="AE119" s="787"/>
      <c r="AF119" s="787"/>
      <c r="AG119" s="787"/>
      <c r="AH119" s="787"/>
      <c r="AI119" s="787"/>
      <c r="AJ119" s="787"/>
      <c r="AK119" s="787"/>
      <c r="AL119" s="787"/>
      <c r="AM119" s="787"/>
      <c r="AN119" s="787"/>
      <c r="AO119" s="787">
        <v>0</v>
      </c>
      <c r="AP119" s="787"/>
      <c r="AQ119" s="787"/>
      <c r="AR119" s="787"/>
      <c r="AS119" s="787"/>
      <c r="AT119" s="787"/>
      <c r="AU119" s="787"/>
      <c r="AV119" s="787"/>
      <c r="AW119" s="787"/>
      <c r="AX119" s="787"/>
      <c r="AY119" s="787"/>
      <c r="AZ119" s="787">
        <v>124.87999999999998</v>
      </c>
      <c r="BA119" s="787">
        <v>3291.75</v>
      </c>
      <c r="BB119" s="787"/>
      <c r="BC119" s="787"/>
      <c r="BD119" s="787"/>
      <c r="BE119" s="787">
        <v>0</v>
      </c>
      <c r="BF119" s="787"/>
      <c r="BG119" s="787"/>
      <c r="BH119" s="787"/>
      <c r="BI119" s="787"/>
      <c r="BJ119" s="787">
        <f t="shared" si="4"/>
        <v>3416.63</v>
      </c>
      <c r="BK119" s="787"/>
      <c r="BL119" s="787"/>
      <c r="BM119" s="787"/>
      <c r="BN119" s="787">
        <v>4675</v>
      </c>
      <c r="BO119" s="787"/>
      <c r="BP119" s="787"/>
      <c r="BQ119" s="787">
        <f t="shared" si="5"/>
        <v>4675</v>
      </c>
      <c r="BR119" s="787"/>
      <c r="BS119" s="787"/>
      <c r="BT119" s="787"/>
      <c r="BU119" s="787"/>
      <c r="BV119" s="787"/>
      <c r="BW119" s="787"/>
      <c r="BX119" s="787"/>
      <c r="BY119" s="787"/>
      <c r="BZ119" s="787"/>
      <c r="CA119" s="787"/>
      <c r="CB119" s="787"/>
      <c r="CC119" s="787"/>
      <c r="CD119" s="787"/>
      <c r="CE119" s="787"/>
      <c r="CF119" s="787"/>
      <c r="CG119" s="787"/>
      <c r="CH119" s="787"/>
      <c r="CI119" s="787"/>
      <c r="CJ119" s="787"/>
      <c r="CK119" s="787"/>
      <c r="CL119" s="787"/>
      <c r="CM119" s="787"/>
      <c r="CN119" s="787"/>
      <c r="CO119" s="787"/>
      <c r="CP119" s="787"/>
      <c r="CQ119" s="787"/>
      <c r="CR119" s="787"/>
      <c r="CS119" s="787"/>
      <c r="CT119" s="787"/>
      <c r="CU119" s="787"/>
      <c r="CV119" s="787"/>
      <c r="CW119" s="787"/>
      <c r="CX119" s="787"/>
      <c r="CY119" s="787"/>
      <c r="CZ119" s="787"/>
      <c r="DA119" s="787"/>
      <c r="DB119" s="787"/>
      <c r="DC119" s="787"/>
      <c r="DD119" s="787"/>
      <c r="DE119" s="787"/>
      <c r="DF119" s="787"/>
      <c r="DG119" s="787"/>
      <c r="DH119" s="787"/>
      <c r="DI119" s="787"/>
      <c r="DJ119" s="787"/>
      <c r="DK119" s="787"/>
      <c r="DL119" s="787"/>
      <c r="DM119" s="787"/>
      <c r="DN119" s="787"/>
      <c r="DO119" s="787"/>
      <c r="DP119" s="787"/>
      <c r="DQ119" s="787"/>
      <c r="DR119" s="787"/>
      <c r="DS119" s="787"/>
      <c r="DT119" s="787"/>
      <c r="DU119" s="787"/>
      <c r="DV119" s="787"/>
      <c r="DW119" s="787"/>
      <c r="DX119" s="787"/>
      <c r="DY119" s="787"/>
      <c r="DZ119" s="787"/>
      <c r="EA119" s="787"/>
    </row>
    <row r="120" spans="1:131" ht="15.6">
      <c r="A120" s="782" t="s">
        <v>1414</v>
      </c>
      <c r="B120" s="782" t="s">
        <v>912</v>
      </c>
      <c r="C120" s="783">
        <v>7034</v>
      </c>
      <c r="D120" s="784" t="s">
        <v>913</v>
      </c>
      <c r="E120" s="785" t="s">
        <v>521</v>
      </c>
      <c r="F120" s="786">
        <v>0</v>
      </c>
      <c r="G120" s="785" t="s">
        <v>5</v>
      </c>
      <c r="H120" s="785" t="s">
        <v>936</v>
      </c>
      <c r="I120" s="787">
        <v>991269.24130434787</v>
      </c>
      <c r="J120" s="787">
        <v>12198.468821780953</v>
      </c>
      <c r="K120" s="787">
        <v>1490887.9937196181</v>
      </c>
      <c r="L120" s="787"/>
      <c r="M120" s="787">
        <v>45545</v>
      </c>
      <c r="N120" s="787">
        <v>19791.93</v>
      </c>
      <c r="O120" s="787"/>
      <c r="P120" s="787"/>
      <c r="Q120" s="787">
        <v>19307.13177500002</v>
      </c>
      <c r="R120" s="787"/>
      <c r="S120" s="787"/>
      <c r="T120" s="787"/>
      <c r="U120" s="787"/>
      <c r="V120" s="787"/>
      <c r="W120" s="787"/>
      <c r="X120" s="787">
        <f t="shared" si="3"/>
        <v>2578999.7656207471</v>
      </c>
      <c r="Y120" s="787"/>
      <c r="Z120" s="787"/>
      <c r="AA120" s="787"/>
      <c r="AB120" s="787"/>
      <c r="AC120" s="787"/>
      <c r="AD120" s="787"/>
      <c r="AE120" s="787"/>
      <c r="AF120" s="787"/>
      <c r="AG120" s="787"/>
      <c r="AH120" s="787"/>
      <c r="AI120" s="787"/>
      <c r="AJ120" s="787"/>
      <c r="AK120" s="787"/>
      <c r="AL120" s="787"/>
      <c r="AM120" s="787"/>
      <c r="AN120" s="787"/>
      <c r="AO120" s="787">
        <v>0</v>
      </c>
      <c r="AP120" s="787"/>
      <c r="AQ120" s="787"/>
      <c r="AR120" s="787"/>
      <c r="AS120" s="787"/>
      <c r="AT120" s="787"/>
      <c r="AU120" s="787"/>
      <c r="AV120" s="787"/>
      <c r="AW120" s="787"/>
      <c r="AX120" s="787"/>
      <c r="AY120" s="787"/>
      <c r="AZ120" s="787">
        <v>177.11</v>
      </c>
      <c r="BA120" s="787">
        <v>3291.75</v>
      </c>
      <c r="BB120" s="787"/>
      <c r="BC120" s="787"/>
      <c r="BD120" s="787"/>
      <c r="BE120" s="787">
        <v>0</v>
      </c>
      <c r="BF120" s="787"/>
      <c r="BG120" s="787"/>
      <c r="BH120" s="787"/>
      <c r="BI120" s="787"/>
      <c r="BJ120" s="787">
        <f t="shared" si="4"/>
        <v>3468.86</v>
      </c>
      <c r="BK120" s="787"/>
      <c r="BL120" s="787"/>
      <c r="BM120" s="787"/>
      <c r="BN120" s="787">
        <v>8206.94</v>
      </c>
      <c r="BO120" s="787"/>
      <c r="BP120" s="787"/>
      <c r="BQ120" s="787">
        <f t="shared" si="5"/>
        <v>8206.94</v>
      </c>
      <c r="BR120" s="787"/>
      <c r="BS120" s="787"/>
      <c r="BT120" s="787"/>
      <c r="BU120" s="787"/>
      <c r="BV120" s="787"/>
      <c r="BW120" s="787"/>
      <c r="BX120" s="787"/>
      <c r="BY120" s="787"/>
      <c r="BZ120" s="787"/>
      <c r="CA120" s="787"/>
      <c r="CB120" s="787"/>
      <c r="CC120" s="787"/>
      <c r="CD120" s="787"/>
      <c r="CE120" s="787"/>
      <c r="CF120" s="787"/>
      <c r="CG120" s="787"/>
      <c r="CH120" s="787"/>
      <c r="CI120" s="787"/>
      <c r="CJ120" s="787"/>
      <c r="CK120" s="787"/>
      <c r="CL120" s="787"/>
      <c r="CM120" s="787"/>
      <c r="CN120" s="787"/>
      <c r="CO120" s="787"/>
      <c r="CP120" s="787"/>
      <c r="CQ120" s="787"/>
      <c r="CR120" s="787"/>
      <c r="CS120" s="787"/>
      <c r="CT120" s="787"/>
      <c r="CU120" s="787"/>
      <c r="CV120" s="787"/>
      <c r="CW120" s="787"/>
      <c r="CX120" s="787"/>
      <c r="CY120" s="787"/>
      <c r="CZ120" s="787"/>
      <c r="DA120" s="787"/>
      <c r="DB120" s="787"/>
      <c r="DC120" s="787"/>
      <c r="DD120" s="787"/>
      <c r="DE120" s="787"/>
      <c r="DF120" s="787"/>
      <c r="DG120" s="787"/>
      <c r="DH120" s="787"/>
      <c r="DI120" s="787"/>
      <c r="DJ120" s="787"/>
      <c r="DK120" s="787"/>
      <c r="DL120" s="787"/>
      <c r="DM120" s="787"/>
      <c r="DN120" s="787"/>
      <c r="DO120" s="787"/>
      <c r="DP120" s="787"/>
      <c r="DQ120" s="787"/>
      <c r="DR120" s="787"/>
      <c r="DS120" s="787"/>
      <c r="DT120" s="787"/>
      <c r="DU120" s="787"/>
      <c r="DV120" s="787"/>
      <c r="DW120" s="787"/>
      <c r="DX120" s="787"/>
      <c r="DY120" s="787"/>
      <c r="DZ120" s="787"/>
      <c r="EA120" s="787"/>
    </row>
    <row r="121" spans="1:131" ht="15.6">
      <c r="A121" s="782" t="s">
        <v>1415</v>
      </c>
      <c r="B121" s="782" t="s">
        <v>732</v>
      </c>
      <c r="C121" s="783">
        <v>4173</v>
      </c>
      <c r="D121" s="784" t="s">
        <v>733</v>
      </c>
      <c r="E121" s="785" t="s">
        <v>521</v>
      </c>
      <c r="F121" s="786">
        <v>0</v>
      </c>
      <c r="G121" s="785" t="s">
        <v>5</v>
      </c>
      <c r="H121" s="785" t="s">
        <v>744</v>
      </c>
      <c r="I121" s="787">
        <v>7067666.9730452253</v>
      </c>
      <c r="J121" s="787">
        <v>0</v>
      </c>
      <c r="K121" s="787">
        <v>230569.55</v>
      </c>
      <c r="L121" s="787"/>
      <c r="M121" s="787">
        <v>372110</v>
      </c>
      <c r="N121" s="787">
        <v>14783.06</v>
      </c>
      <c r="O121" s="787"/>
      <c r="P121" s="787"/>
      <c r="Q121" s="787">
        <v>0</v>
      </c>
      <c r="R121" s="787"/>
      <c r="S121" s="787"/>
      <c r="T121" s="787"/>
      <c r="U121" s="787"/>
      <c r="V121" s="787"/>
      <c r="W121" s="787"/>
      <c r="X121" s="787">
        <f t="shared" si="3"/>
        <v>7685129.5830452247</v>
      </c>
      <c r="Y121" s="787"/>
      <c r="Z121" s="787"/>
      <c r="AA121" s="787"/>
      <c r="AB121" s="787"/>
      <c r="AC121" s="787"/>
      <c r="AD121" s="787"/>
      <c r="AE121" s="787"/>
      <c r="AF121" s="787"/>
      <c r="AG121" s="787"/>
      <c r="AH121" s="787"/>
      <c r="AI121" s="787"/>
      <c r="AJ121" s="787"/>
      <c r="AK121" s="787"/>
      <c r="AL121" s="787"/>
      <c r="AM121" s="787"/>
      <c r="AN121" s="787"/>
      <c r="AO121" s="787">
        <v>81387.160000000018</v>
      </c>
      <c r="AP121" s="787"/>
      <c r="AQ121" s="787"/>
      <c r="AR121" s="787"/>
      <c r="AS121" s="787"/>
      <c r="AT121" s="787"/>
      <c r="AU121" s="787"/>
      <c r="AV121" s="787"/>
      <c r="AW121" s="787"/>
      <c r="AX121" s="787"/>
      <c r="AY121" s="787"/>
      <c r="AZ121" s="787">
        <v>0</v>
      </c>
      <c r="BA121" s="787">
        <v>24312.75</v>
      </c>
      <c r="BB121" s="787"/>
      <c r="BC121" s="787"/>
      <c r="BD121" s="787"/>
      <c r="BE121" s="787">
        <v>18278.04</v>
      </c>
      <c r="BF121" s="787"/>
      <c r="BG121" s="787"/>
      <c r="BH121" s="787"/>
      <c r="BI121" s="787"/>
      <c r="BJ121" s="787">
        <f t="shared" si="4"/>
        <v>123977.95000000001</v>
      </c>
      <c r="BK121" s="787"/>
      <c r="BL121" s="787"/>
      <c r="BM121" s="787"/>
      <c r="BN121" s="787">
        <v>19246.560000000001</v>
      </c>
      <c r="BO121" s="787"/>
      <c r="BP121" s="787"/>
      <c r="BQ121" s="787">
        <f t="shared" si="5"/>
        <v>19246.560000000001</v>
      </c>
      <c r="BR121" s="787"/>
      <c r="BS121" s="787"/>
      <c r="BT121" s="787"/>
      <c r="BU121" s="787"/>
      <c r="BV121" s="787"/>
      <c r="BW121" s="787"/>
      <c r="BX121" s="787"/>
      <c r="BY121" s="787"/>
      <c r="BZ121" s="787"/>
      <c r="CA121" s="787"/>
      <c r="CB121" s="787"/>
      <c r="CC121" s="787"/>
      <c r="CD121" s="787"/>
      <c r="CE121" s="787"/>
      <c r="CF121" s="787"/>
      <c r="CG121" s="787"/>
      <c r="CH121" s="787"/>
      <c r="CI121" s="787"/>
      <c r="CJ121" s="787"/>
      <c r="CK121" s="787"/>
      <c r="CL121" s="787"/>
      <c r="CM121" s="787"/>
      <c r="CN121" s="787"/>
      <c r="CO121" s="787"/>
      <c r="CP121" s="787"/>
      <c r="CQ121" s="787"/>
      <c r="CR121" s="787"/>
      <c r="CS121" s="787"/>
      <c r="CT121" s="787"/>
      <c r="CU121" s="787"/>
      <c r="CV121" s="787"/>
      <c r="CW121" s="787"/>
      <c r="CX121" s="787"/>
      <c r="CY121" s="787"/>
      <c r="CZ121" s="787"/>
      <c r="DA121" s="787"/>
      <c r="DB121" s="787"/>
      <c r="DC121" s="787"/>
      <c r="DD121" s="787"/>
      <c r="DE121" s="787"/>
      <c r="DF121" s="787"/>
      <c r="DG121" s="787"/>
      <c r="DH121" s="787"/>
      <c r="DI121" s="787"/>
      <c r="DJ121" s="787"/>
      <c r="DK121" s="787"/>
      <c r="DL121" s="787"/>
      <c r="DM121" s="787"/>
      <c r="DN121" s="787"/>
      <c r="DO121" s="787"/>
      <c r="DP121" s="787"/>
      <c r="DQ121" s="787"/>
      <c r="DR121" s="787"/>
      <c r="DS121" s="787"/>
      <c r="DT121" s="787"/>
      <c r="DU121" s="787"/>
      <c r="DV121" s="787"/>
      <c r="DW121" s="787"/>
      <c r="DX121" s="787"/>
      <c r="DY121" s="787"/>
      <c r="DZ121" s="787"/>
      <c r="EA121" s="787"/>
    </row>
    <row r="122" spans="1:131" ht="15.6">
      <c r="A122" s="782" t="s">
        <v>1416</v>
      </c>
      <c r="B122" s="782" t="s">
        <v>914</v>
      </c>
      <c r="C122" s="783">
        <v>2157</v>
      </c>
      <c r="D122" s="784" t="s">
        <v>915</v>
      </c>
      <c r="E122" s="785" t="s">
        <v>521</v>
      </c>
      <c r="F122" s="786">
        <v>46093</v>
      </c>
      <c r="G122" s="785" t="s">
        <v>5</v>
      </c>
      <c r="H122" s="785" t="s">
        <v>824</v>
      </c>
      <c r="I122" s="787">
        <v>2179353.8135492201</v>
      </c>
      <c r="J122" s="787">
        <v>0</v>
      </c>
      <c r="K122" s="787">
        <v>57533.259999999995</v>
      </c>
      <c r="L122" s="787"/>
      <c r="M122" s="787">
        <v>153730</v>
      </c>
      <c r="N122" s="787">
        <v>81712.329999999987</v>
      </c>
      <c r="O122" s="787"/>
      <c r="P122" s="787"/>
      <c r="Q122" s="787">
        <v>3628.63</v>
      </c>
      <c r="R122" s="787"/>
      <c r="S122" s="787"/>
      <c r="T122" s="787"/>
      <c r="U122" s="787"/>
      <c r="V122" s="787"/>
      <c r="W122" s="787"/>
      <c r="X122" s="787">
        <f t="shared" si="3"/>
        <v>2475958.0335492198</v>
      </c>
      <c r="Y122" s="787"/>
      <c r="Z122" s="787"/>
      <c r="AA122" s="787"/>
      <c r="AB122" s="787"/>
      <c r="AC122" s="787"/>
      <c r="AD122" s="787"/>
      <c r="AE122" s="787"/>
      <c r="AF122" s="787"/>
      <c r="AG122" s="787"/>
      <c r="AH122" s="787"/>
      <c r="AI122" s="787"/>
      <c r="AJ122" s="787"/>
      <c r="AK122" s="787"/>
      <c r="AL122" s="787"/>
      <c r="AM122" s="787"/>
      <c r="AN122" s="787"/>
      <c r="AO122" s="787">
        <v>27559.83</v>
      </c>
      <c r="AP122" s="787"/>
      <c r="AQ122" s="787"/>
      <c r="AR122" s="787"/>
      <c r="AS122" s="787"/>
      <c r="AT122" s="787"/>
      <c r="AU122" s="787"/>
      <c r="AV122" s="787"/>
      <c r="AW122" s="787"/>
      <c r="AX122" s="787"/>
      <c r="AY122" s="787"/>
      <c r="AZ122" s="787">
        <v>54.46</v>
      </c>
      <c r="BA122" s="787">
        <v>9471</v>
      </c>
      <c r="BB122" s="787"/>
      <c r="BC122" s="787"/>
      <c r="BD122" s="787"/>
      <c r="BE122" s="787">
        <v>10040.800000000001</v>
      </c>
      <c r="BF122" s="787"/>
      <c r="BG122" s="787"/>
      <c r="BH122" s="787"/>
      <c r="BI122" s="787"/>
      <c r="BJ122" s="787">
        <f t="shared" si="4"/>
        <v>47126.090000000004</v>
      </c>
      <c r="BK122" s="787"/>
      <c r="BL122" s="787"/>
      <c r="BM122" s="787"/>
      <c r="BN122" s="787">
        <v>8623.75</v>
      </c>
      <c r="BO122" s="787"/>
      <c r="BP122" s="787"/>
      <c r="BQ122" s="787">
        <f t="shared" si="5"/>
        <v>8623.75</v>
      </c>
      <c r="BR122" s="787"/>
      <c r="BS122" s="787"/>
      <c r="BT122" s="787"/>
      <c r="BU122" s="787"/>
      <c r="BV122" s="787"/>
      <c r="BW122" s="787"/>
      <c r="BX122" s="787"/>
      <c r="BY122" s="787"/>
      <c r="BZ122" s="787"/>
      <c r="CA122" s="787"/>
      <c r="CB122" s="787"/>
      <c r="CC122" s="787"/>
      <c r="CD122" s="787"/>
      <c r="CE122" s="787"/>
      <c r="CF122" s="787"/>
      <c r="CG122" s="787"/>
      <c r="CH122" s="787"/>
      <c r="CI122" s="787"/>
      <c r="CJ122" s="787"/>
      <c r="CK122" s="787"/>
      <c r="CL122" s="787"/>
      <c r="CM122" s="787"/>
      <c r="CN122" s="787"/>
      <c r="CO122" s="787"/>
      <c r="CP122" s="787"/>
      <c r="CQ122" s="787"/>
      <c r="CR122" s="787"/>
      <c r="CS122" s="787"/>
      <c r="CT122" s="787"/>
      <c r="CU122" s="787"/>
      <c r="CV122" s="787"/>
      <c r="CW122" s="787"/>
      <c r="CX122" s="787"/>
      <c r="CY122" s="787"/>
      <c r="CZ122" s="787"/>
      <c r="DA122" s="787"/>
      <c r="DB122" s="787"/>
      <c r="DC122" s="787"/>
      <c r="DD122" s="787"/>
      <c r="DE122" s="787"/>
      <c r="DF122" s="787"/>
      <c r="DG122" s="787"/>
      <c r="DH122" s="787"/>
      <c r="DI122" s="787"/>
      <c r="DJ122" s="787"/>
      <c r="DK122" s="787"/>
      <c r="DL122" s="787"/>
      <c r="DM122" s="787"/>
      <c r="DN122" s="787"/>
      <c r="DO122" s="787"/>
      <c r="DP122" s="787"/>
      <c r="DQ122" s="787"/>
      <c r="DR122" s="787"/>
      <c r="DS122" s="787"/>
      <c r="DT122" s="787"/>
      <c r="DU122" s="787"/>
      <c r="DV122" s="787"/>
      <c r="DW122" s="787"/>
      <c r="DX122" s="787"/>
      <c r="DY122" s="787"/>
      <c r="DZ122" s="787"/>
      <c r="EA122" s="787"/>
    </row>
    <row r="123" spans="1:131" ht="15.6">
      <c r="A123" s="782" t="s">
        <v>1417</v>
      </c>
      <c r="B123" s="782" t="s">
        <v>734</v>
      </c>
      <c r="C123" s="783">
        <v>2159</v>
      </c>
      <c r="D123" s="784" t="s">
        <v>735</v>
      </c>
      <c r="E123" s="785" t="s">
        <v>521</v>
      </c>
      <c r="F123" s="786">
        <v>46094</v>
      </c>
      <c r="G123" s="785" t="s">
        <v>5</v>
      </c>
      <c r="H123" s="785" t="s">
        <v>746</v>
      </c>
      <c r="I123" s="787">
        <v>1381832.4861667489</v>
      </c>
      <c r="J123" s="787">
        <v>0</v>
      </c>
      <c r="K123" s="787">
        <v>75101.66333333333</v>
      </c>
      <c r="L123" s="787"/>
      <c r="M123" s="787">
        <v>148470</v>
      </c>
      <c r="N123" s="787">
        <v>36444</v>
      </c>
      <c r="O123" s="787"/>
      <c r="P123" s="787"/>
      <c r="Q123" s="787">
        <v>1735.0279250000044</v>
      </c>
      <c r="R123" s="787"/>
      <c r="S123" s="787"/>
      <c r="T123" s="787"/>
      <c r="U123" s="787"/>
      <c r="V123" s="787"/>
      <c r="W123" s="787"/>
      <c r="X123" s="787">
        <f t="shared" si="3"/>
        <v>1643583.1774250823</v>
      </c>
      <c r="Y123" s="787"/>
      <c r="Z123" s="787"/>
      <c r="AA123" s="787"/>
      <c r="AB123" s="787"/>
      <c r="AC123" s="787"/>
      <c r="AD123" s="787"/>
      <c r="AE123" s="787"/>
      <c r="AF123" s="787"/>
      <c r="AG123" s="787"/>
      <c r="AH123" s="787"/>
      <c r="AI123" s="787"/>
      <c r="AJ123" s="787"/>
      <c r="AK123" s="787"/>
      <c r="AL123" s="787"/>
      <c r="AM123" s="787"/>
      <c r="AN123" s="787"/>
      <c r="AO123" s="787">
        <v>16658.409999999996</v>
      </c>
      <c r="AP123" s="787"/>
      <c r="AQ123" s="787"/>
      <c r="AR123" s="787"/>
      <c r="AS123" s="787"/>
      <c r="AT123" s="787"/>
      <c r="AU123" s="787"/>
      <c r="AV123" s="787"/>
      <c r="AW123" s="787"/>
      <c r="AX123" s="787"/>
      <c r="AY123" s="787"/>
      <c r="AZ123" s="787">
        <v>7.5299999999999994</v>
      </c>
      <c r="BA123" s="787">
        <v>5139.75</v>
      </c>
      <c r="BB123" s="787"/>
      <c r="BC123" s="787"/>
      <c r="BD123" s="787"/>
      <c r="BE123" s="787">
        <v>5424.6399999999994</v>
      </c>
      <c r="BF123" s="787"/>
      <c r="BG123" s="787"/>
      <c r="BH123" s="787"/>
      <c r="BI123" s="787"/>
      <c r="BJ123" s="787">
        <f t="shared" si="4"/>
        <v>27230.329999999994</v>
      </c>
      <c r="BK123" s="787"/>
      <c r="BL123" s="787"/>
      <c r="BM123" s="787"/>
      <c r="BN123" s="787">
        <v>6328.75</v>
      </c>
      <c r="BO123" s="787"/>
      <c r="BP123" s="787"/>
      <c r="BQ123" s="787">
        <f t="shared" si="5"/>
        <v>6328.75</v>
      </c>
      <c r="BR123" s="787"/>
      <c r="BS123" s="787"/>
      <c r="BT123" s="787"/>
      <c r="BU123" s="787"/>
      <c r="BV123" s="787"/>
      <c r="BW123" s="787"/>
      <c r="BX123" s="787"/>
      <c r="BY123" s="787"/>
      <c r="BZ123" s="787"/>
      <c r="CA123" s="787"/>
      <c r="CB123" s="787"/>
      <c r="CC123" s="787"/>
      <c r="CD123" s="787"/>
      <c r="CE123" s="787"/>
      <c r="CF123" s="787"/>
      <c r="CG123" s="787"/>
      <c r="CH123" s="787"/>
      <c r="CI123" s="787"/>
      <c r="CJ123" s="787"/>
      <c r="CK123" s="787"/>
      <c r="CL123" s="787"/>
      <c r="CM123" s="787"/>
      <c r="CN123" s="787"/>
      <c r="CO123" s="787"/>
      <c r="CP123" s="787"/>
      <c r="CQ123" s="787"/>
      <c r="CR123" s="787"/>
      <c r="CS123" s="787"/>
      <c r="CT123" s="787"/>
      <c r="CU123" s="787"/>
      <c r="CV123" s="787"/>
      <c r="CW123" s="787"/>
      <c r="CX123" s="787"/>
      <c r="CY123" s="787"/>
      <c r="CZ123" s="787"/>
      <c r="DA123" s="787"/>
      <c r="DB123" s="787"/>
      <c r="DC123" s="787"/>
      <c r="DD123" s="787"/>
      <c r="DE123" s="787"/>
      <c r="DF123" s="787"/>
      <c r="DG123" s="787"/>
      <c r="DH123" s="787"/>
      <c r="DI123" s="787"/>
      <c r="DJ123" s="787"/>
      <c r="DK123" s="787"/>
      <c r="DL123" s="787"/>
      <c r="DM123" s="787"/>
      <c r="DN123" s="787"/>
      <c r="DO123" s="787"/>
      <c r="DP123" s="787"/>
      <c r="DQ123" s="787"/>
      <c r="DR123" s="787"/>
      <c r="DS123" s="787"/>
      <c r="DT123" s="787"/>
      <c r="DU123" s="787"/>
      <c r="DV123" s="787"/>
      <c r="DW123" s="787"/>
      <c r="DX123" s="787"/>
      <c r="DY123" s="787"/>
      <c r="DZ123" s="787"/>
      <c r="EA123" s="787"/>
    </row>
    <row r="124" spans="1:131" ht="15.6">
      <c r="A124" s="782" t="s">
        <v>1418</v>
      </c>
      <c r="B124" s="782" t="s">
        <v>736</v>
      </c>
      <c r="C124" s="783">
        <v>2161</v>
      </c>
      <c r="D124" s="784" t="s">
        <v>737</v>
      </c>
      <c r="E124" s="785" t="s">
        <v>521</v>
      </c>
      <c r="F124" s="786">
        <v>46094</v>
      </c>
      <c r="G124" s="785" t="s">
        <v>5</v>
      </c>
      <c r="H124" s="785" t="s">
        <v>748</v>
      </c>
      <c r="I124" s="787">
        <v>1653558.590009907</v>
      </c>
      <c r="J124" s="787">
        <v>0</v>
      </c>
      <c r="K124" s="787">
        <v>180027.27666666667</v>
      </c>
      <c r="L124" s="787"/>
      <c r="M124" s="787">
        <v>150335</v>
      </c>
      <c r="N124" s="787">
        <v>87907.29</v>
      </c>
      <c r="O124" s="787"/>
      <c r="P124" s="787"/>
      <c r="Q124" s="787">
        <v>14025.865584999989</v>
      </c>
      <c r="R124" s="787"/>
      <c r="S124" s="787"/>
      <c r="T124" s="787"/>
      <c r="U124" s="787"/>
      <c r="V124" s="787"/>
      <c r="W124" s="787"/>
      <c r="X124" s="787">
        <f t="shared" si="3"/>
        <v>2085854.0222615737</v>
      </c>
      <c r="Y124" s="787"/>
      <c r="Z124" s="787"/>
      <c r="AA124" s="787"/>
      <c r="AB124" s="787"/>
      <c r="AC124" s="787"/>
      <c r="AD124" s="787"/>
      <c r="AE124" s="787"/>
      <c r="AF124" s="787"/>
      <c r="AG124" s="787"/>
      <c r="AH124" s="787"/>
      <c r="AI124" s="787"/>
      <c r="AJ124" s="787"/>
      <c r="AK124" s="787"/>
      <c r="AL124" s="787"/>
      <c r="AM124" s="787"/>
      <c r="AN124" s="787"/>
      <c r="AO124" s="787">
        <v>14190.660000000002</v>
      </c>
      <c r="AP124" s="787"/>
      <c r="AQ124" s="787"/>
      <c r="AR124" s="787"/>
      <c r="AS124" s="787"/>
      <c r="AT124" s="787"/>
      <c r="AU124" s="787"/>
      <c r="AV124" s="787"/>
      <c r="AW124" s="787"/>
      <c r="AX124" s="787"/>
      <c r="AY124" s="787"/>
      <c r="AZ124" s="787">
        <v>95.819999999999979</v>
      </c>
      <c r="BA124" s="787">
        <v>5139.75</v>
      </c>
      <c r="BB124" s="787"/>
      <c r="BC124" s="787"/>
      <c r="BD124" s="787"/>
      <c r="BE124" s="787">
        <v>6259.2000000000016</v>
      </c>
      <c r="BF124" s="787"/>
      <c r="BG124" s="787"/>
      <c r="BH124" s="787"/>
      <c r="BI124" s="787"/>
      <c r="BJ124" s="787">
        <f t="shared" si="4"/>
        <v>25685.430000000004</v>
      </c>
      <c r="BK124" s="787"/>
      <c r="BL124" s="787"/>
      <c r="BM124" s="787"/>
      <c r="BN124" s="787">
        <v>7255.75</v>
      </c>
      <c r="BO124" s="787"/>
      <c r="BP124" s="787"/>
      <c r="BQ124" s="787">
        <f t="shared" si="5"/>
        <v>7255.75</v>
      </c>
      <c r="BR124" s="787"/>
      <c r="BS124" s="787"/>
      <c r="BT124" s="787"/>
      <c r="BU124" s="787"/>
      <c r="BV124" s="787"/>
      <c r="BW124" s="787"/>
      <c r="BX124" s="787"/>
      <c r="BY124" s="787"/>
      <c r="BZ124" s="787"/>
      <c r="CA124" s="787"/>
      <c r="CB124" s="787"/>
      <c r="CC124" s="787"/>
      <c r="CD124" s="787"/>
      <c r="CE124" s="787"/>
      <c r="CF124" s="787"/>
      <c r="CG124" s="787"/>
      <c r="CH124" s="787"/>
      <c r="CI124" s="787"/>
      <c r="CJ124" s="787"/>
      <c r="CK124" s="787"/>
      <c r="CL124" s="787"/>
      <c r="CM124" s="787"/>
      <c r="CN124" s="787"/>
      <c r="CO124" s="787"/>
      <c r="CP124" s="787"/>
      <c r="CQ124" s="787"/>
      <c r="CR124" s="787"/>
      <c r="CS124" s="787"/>
      <c r="CT124" s="787"/>
      <c r="CU124" s="787"/>
      <c r="CV124" s="787"/>
      <c r="CW124" s="787"/>
      <c r="CX124" s="787"/>
      <c r="CY124" s="787"/>
      <c r="CZ124" s="787"/>
      <c r="DA124" s="787"/>
      <c r="DB124" s="787"/>
      <c r="DC124" s="787"/>
      <c r="DD124" s="787"/>
      <c r="DE124" s="787"/>
      <c r="DF124" s="787"/>
      <c r="DG124" s="787"/>
      <c r="DH124" s="787"/>
      <c r="DI124" s="787"/>
      <c r="DJ124" s="787"/>
      <c r="DK124" s="787"/>
      <c r="DL124" s="787"/>
      <c r="DM124" s="787"/>
      <c r="DN124" s="787"/>
      <c r="DO124" s="787"/>
      <c r="DP124" s="787"/>
      <c r="DQ124" s="787"/>
      <c r="DR124" s="787"/>
      <c r="DS124" s="787"/>
      <c r="DT124" s="787"/>
      <c r="DU124" s="787"/>
      <c r="DV124" s="787"/>
      <c r="DW124" s="787"/>
      <c r="DX124" s="787"/>
      <c r="DY124" s="787"/>
      <c r="DZ124" s="787"/>
      <c r="EA124" s="787"/>
    </row>
    <row r="125" spans="1:131" ht="15.6">
      <c r="A125" s="782" t="s">
        <v>1419</v>
      </c>
      <c r="B125" s="782" t="s">
        <v>738</v>
      </c>
      <c r="C125" s="783">
        <v>2160</v>
      </c>
      <c r="D125" s="784" t="s">
        <v>739</v>
      </c>
      <c r="E125" s="785" t="s">
        <v>521</v>
      </c>
      <c r="F125" s="786">
        <v>46094</v>
      </c>
      <c r="G125" s="785" t="s">
        <v>5</v>
      </c>
      <c r="H125" s="785" t="s">
        <v>750</v>
      </c>
      <c r="I125" s="787">
        <v>2095156.0606583583</v>
      </c>
      <c r="J125" s="787">
        <v>0</v>
      </c>
      <c r="K125" s="787">
        <v>115577.97766666667</v>
      </c>
      <c r="L125" s="787"/>
      <c r="M125" s="787">
        <v>301085</v>
      </c>
      <c r="N125" s="787">
        <v>18639.93</v>
      </c>
      <c r="O125" s="787"/>
      <c r="P125" s="787"/>
      <c r="Q125" s="787">
        <v>11585.38922500001</v>
      </c>
      <c r="R125" s="787"/>
      <c r="S125" s="787"/>
      <c r="T125" s="787"/>
      <c r="U125" s="787"/>
      <c r="V125" s="787"/>
      <c r="W125" s="787"/>
      <c r="X125" s="787">
        <f t="shared" si="3"/>
        <v>2542044.357550025</v>
      </c>
      <c r="Y125" s="787"/>
      <c r="Z125" s="787"/>
      <c r="AA125" s="787"/>
      <c r="AB125" s="787"/>
      <c r="AC125" s="787"/>
      <c r="AD125" s="787"/>
      <c r="AE125" s="787"/>
      <c r="AF125" s="787"/>
      <c r="AG125" s="787"/>
      <c r="AH125" s="787"/>
      <c r="AI125" s="787"/>
      <c r="AJ125" s="787"/>
      <c r="AK125" s="787"/>
      <c r="AL125" s="787"/>
      <c r="AM125" s="787"/>
      <c r="AN125" s="787"/>
      <c r="AO125" s="787">
        <v>26354.099999999995</v>
      </c>
      <c r="AP125" s="787"/>
      <c r="AQ125" s="787"/>
      <c r="AR125" s="787"/>
      <c r="AS125" s="787"/>
      <c r="AT125" s="787"/>
      <c r="AU125" s="787"/>
      <c r="AV125" s="787"/>
      <c r="AW125" s="787"/>
      <c r="AX125" s="787"/>
      <c r="AY125" s="787"/>
      <c r="AZ125" s="787">
        <v>110.99</v>
      </c>
      <c r="BA125" s="787">
        <v>9471</v>
      </c>
      <c r="BB125" s="787"/>
      <c r="BC125" s="787"/>
      <c r="BD125" s="787"/>
      <c r="BE125" s="787">
        <v>8945.4399999999969</v>
      </c>
      <c r="BF125" s="787"/>
      <c r="BG125" s="787"/>
      <c r="BH125" s="787"/>
      <c r="BI125" s="787"/>
      <c r="BJ125" s="787">
        <f t="shared" si="4"/>
        <v>44881.529999999992</v>
      </c>
      <c r="BK125" s="787"/>
      <c r="BL125" s="787"/>
      <c r="BM125" s="787"/>
      <c r="BN125" s="787">
        <v>7892.5</v>
      </c>
      <c r="BO125" s="787"/>
      <c r="BP125" s="787"/>
      <c r="BQ125" s="787">
        <f t="shared" si="5"/>
        <v>7892.5</v>
      </c>
      <c r="BR125" s="787"/>
      <c r="BS125" s="787"/>
      <c r="BT125" s="787"/>
      <c r="BU125" s="787"/>
      <c r="BV125" s="787"/>
      <c r="BW125" s="787"/>
      <c r="BX125" s="787"/>
      <c r="BY125" s="787"/>
      <c r="BZ125" s="787"/>
      <c r="CA125" s="787"/>
      <c r="CB125" s="787"/>
      <c r="CC125" s="787"/>
      <c r="CD125" s="787"/>
      <c r="CE125" s="787"/>
      <c r="CF125" s="787"/>
      <c r="CG125" s="787"/>
      <c r="CH125" s="787"/>
      <c r="CI125" s="787"/>
      <c r="CJ125" s="787"/>
      <c r="CK125" s="787"/>
      <c r="CL125" s="787"/>
      <c r="CM125" s="787"/>
      <c r="CN125" s="787"/>
      <c r="CO125" s="787"/>
      <c r="CP125" s="787"/>
      <c r="CQ125" s="787"/>
      <c r="CR125" s="787"/>
      <c r="CS125" s="787"/>
      <c r="CT125" s="787"/>
      <c r="CU125" s="787"/>
      <c r="CV125" s="787"/>
      <c r="CW125" s="787"/>
      <c r="CX125" s="787"/>
      <c r="CY125" s="787"/>
      <c r="CZ125" s="787"/>
      <c r="DA125" s="787"/>
      <c r="DB125" s="787"/>
      <c r="DC125" s="787"/>
      <c r="DD125" s="787"/>
      <c r="DE125" s="787"/>
      <c r="DF125" s="787"/>
      <c r="DG125" s="787"/>
      <c r="DH125" s="787"/>
      <c r="DI125" s="787"/>
      <c r="DJ125" s="787"/>
      <c r="DK125" s="787"/>
      <c r="DL125" s="787"/>
      <c r="DM125" s="787"/>
      <c r="DN125" s="787"/>
      <c r="DO125" s="787"/>
      <c r="DP125" s="787"/>
      <c r="DQ125" s="787"/>
      <c r="DR125" s="787"/>
      <c r="DS125" s="787"/>
      <c r="DT125" s="787"/>
      <c r="DU125" s="787"/>
      <c r="DV125" s="787"/>
      <c r="DW125" s="787"/>
      <c r="DX125" s="787"/>
      <c r="DY125" s="787"/>
      <c r="DZ125" s="787"/>
      <c r="EA125" s="787"/>
    </row>
    <row r="126" spans="1:131" ht="15.6">
      <c r="A126" s="782" t="s">
        <v>1420</v>
      </c>
      <c r="B126" s="782" t="s">
        <v>740</v>
      </c>
      <c r="C126" s="783">
        <v>2063</v>
      </c>
      <c r="D126" s="784" t="s">
        <v>741</v>
      </c>
      <c r="E126" s="785" t="s">
        <v>521</v>
      </c>
      <c r="F126" s="786">
        <v>46094</v>
      </c>
      <c r="G126" s="785" t="s">
        <v>5</v>
      </c>
      <c r="H126" s="785" t="s">
        <v>752</v>
      </c>
      <c r="I126" s="787">
        <v>2644149.3266077768</v>
      </c>
      <c r="J126" s="787">
        <v>0</v>
      </c>
      <c r="K126" s="787">
        <v>129546.46333333332</v>
      </c>
      <c r="L126" s="787"/>
      <c r="M126" s="787">
        <v>377235</v>
      </c>
      <c r="N126" s="787">
        <v>37121.22</v>
      </c>
      <c r="O126" s="787"/>
      <c r="P126" s="787"/>
      <c r="Q126" s="787">
        <v>8178.3696550000604</v>
      </c>
      <c r="R126" s="787"/>
      <c r="S126" s="787"/>
      <c r="T126" s="787"/>
      <c r="U126" s="787"/>
      <c r="V126" s="787"/>
      <c r="W126" s="787"/>
      <c r="X126" s="787">
        <f t="shared" si="3"/>
        <v>3196230.3795961104</v>
      </c>
      <c r="Y126" s="787"/>
      <c r="Z126" s="787"/>
      <c r="AA126" s="787"/>
      <c r="AB126" s="787"/>
      <c r="AC126" s="787"/>
      <c r="AD126" s="787"/>
      <c r="AE126" s="787"/>
      <c r="AF126" s="787"/>
      <c r="AG126" s="787"/>
      <c r="AH126" s="787"/>
      <c r="AI126" s="787"/>
      <c r="AJ126" s="787"/>
      <c r="AK126" s="787"/>
      <c r="AL126" s="787"/>
      <c r="AM126" s="787"/>
      <c r="AN126" s="787"/>
      <c r="AO126" s="787">
        <v>60475.180000000015</v>
      </c>
      <c r="AP126" s="787"/>
      <c r="AQ126" s="787"/>
      <c r="AR126" s="787"/>
      <c r="AS126" s="787"/>
      <c r="AT126" s="787"/>
      <c r="AU126" s="787"/>
      <c r="AV126" s="787"/>
      <c r="AW126" s="787"/>
      <c r="AX126" s="787"/>
      <c r="AY126" s="787"/>
      <c r="AZ126" s="787">
        <v>144.30999999999997</v>
      </c>
      <c r="BA126" s="787">
        <v>9471</v>
      </c>
      <c r="BB126" s="787"/>
      <c r="BC126" s="787"/>
      <c r="BD126" s="787"/>
      <c r="BE126" s="787">
        <v>9884.32</v>
      </c>
      <c r="BF126" s="787"/>
      <c r="BG126" s="787"/>
      <c r="BH126" s="787"/>
      <c r="BI126" s="787"/>
      <c r="BJ126" s="787">
        <f t="shared" si="4"/>
        <v>79974.810000000027</v>
      </c>
      <c r="BK126" s="787"/>
      <c r="BL126" s="787"/>
      <c r="BM126" s="787"/>
      <c r="BN126" s="787">
        <v>8819.5</v>
      </c>
      <c r="BO126" s="787"/>
      <c r="BP126" s="787"/>
      <c r="BQ126" s="787">
        <f t="shared" si="5"/>
        <v>8819.5</v>
      </c>
      <c r="BR126" s="787"/>
      <c r="BS126" s="787"/>
      <c r="BT126" s="787"/>
      <c r="BU126" s="787"/>
      <c r="BV126" s="787"/>
      <c r="BW126" s="787"/>
      <c r="BX126" s="787"/>
      <c r="BY126" s="787"/>
      <c r="BZ126" s="787"/>
      <c r="CA126" s="787"/>
      <c r="CB126" s="787"/>
      <c r="CC126" s="787"/>
      <c r="CD126" s="787"/>
      <c r="CE126" s="787"/>
      <c r="CF126" s="787"/>
      <c r="CG126" s="787"/>
      <c r="CH126" s="787"/>
      <c r="CI126" s="787"/>
      <c r="CJ126" s="787"/>
      <c r="CK126" s="787"/>
      <c r="CL126" s="787"/>
      <c r="CM126" s="787"/>
      <c r="CN126" s="787"/>
      <c r="CO126" s="787"/>
      <c r="CP126" s="787"/>
      <c r="CQ126" s="787"/>
      <c r="CR126" s="787"/>
      <c r="CS126" s="787"/>
      <c r="CT126" s="787"/>
      <c r="CU126" s="787"/>
      <c r="CV126" s="787"/>
      <c r="CW126" s="787"/>
      <c r="CX126" s="787"/>
      <c r="CY126" s="787"/>
      <c r="CZ126" s="787"/>
      <c r="DA126" s="787"/>
      <c r="DB126" s="787"/>
      <c r="DC126" s="787"/>
      <c r="DD126" s="787"/>
      <c r="DE126" s="787"/>
      <c r="DF126" s="787"/>
      <c r="DG126" s="787"/>
      <c r="DH126" s="787"/>
      <c r="DI126" s="787"/>
      <c r="DJ126" s="787"/>
      <c r="DK126" s="787"/>
      <c r="DL126" s="787"/>
      <c r="DM126" s="787"/>
      <c r="DN126" s="787"/>
      <c r="DO126" s="787"/>
      <c r="DP126" s="787"/>
      <c r="DQ126" s="787"/>
      <c r="DR126" s="787"/>
      <c r="DS126" s="787"/>
      <c r="DT126" s="787"/>
      <c r="DU126" s="787"/>
      <c r="DV126" s="787"/>
      <c r="DW126" s="787"/>
      <c r="DX126" s="787"/>
      <c r="DY126" s="787"/>
      <c r="DZ126" s="787"/>
      <c r="EA126" s="787"/>
    </row>
    <row r="127" spans="1:131" ht="15.6">
      <c r="A127" s="782" t="s">
        <v>1421</v>
      </c>
      <c r="B127" s="782" t="s">
        <v>742</v>
      </c>
      <c r="C127" s="783">
        <v>1018</v>
      </c>
      <c r="D127" s="784" t="s">
        <v>743</v>
      </c>
      <c r="E127" s="785" t="s">
        <v>521</v>
      </c>
      <c r="F127" s="786">
        <v>0</v>
      </c>
      <c r="G127" s="785" t="s">
        <v>5</v>
      </c>
      <c r="H127" s="785" t="s">
        <v>754</v>
      </c>
      <c r="I127" s="787">
        <v>1006892.4772311948</v>
      </c>
      <c r="J127" s="787">
        <v>0</v>
      </c>
      <c r="K127" s="787">
        <v>45376.599990766394</v>
      </c>
      <c r="L127" s="787"/>
      <c r="M127" s="787">
        <v>0</v>
      </c>
      <c r="N127" s="787">
        <v>0</v>
      </c>
      <c r="O127" s="787"/>
      <c r="P127" s="787"/>
      <c r="Q127" s="787">
        <v>0</v>
      </c>
      <c r="R127" s="787"/>
      <c r="S127" s="787"/>
      <c r="T127" s="787"/>
      <c r="U127" s="787"/>
      <c r="V127" s="787"/>
      <c r="W127" s="787"/>
      <c r="X127" s="787">
        <f t="shared" si="3"/>
        <v>1052269.0772219612</v>
      </c>
      <c r="Y127" s="787"/>
      <c r="Z127" s="787"/>
      <c r="AA127" s="787"/>
      <c r="AB127" s="787"/>
      <c r="AC127" s="787"/>
      <c r="AD127" s="787"/>
      <c r="AE127" s="787"/>
      <c r="AF127" s="787"/>
      <c r="AG127" s="787"/>
      <c r="AH127" s="787"/>
      <c r="AI127" s="787"/>
      <c r="AJ127" s="787"/>
      <c r="AK127" s="787"/>
      <c r="AL127" s="787"/>
      <c r="AM127" s="787"/>
      <c r="AN127" s="787"/>
      <c r="AO127" s="787">
        <v>0</v>
      </c>
      <c r="AP127" s="787"/>
      <c r="AQ127" s="787"/>
      <c r="AR127" s="787"/>
      <c r="AS127" s="787"/>
      <c r="AT127" s="787"/>
      <c r="AU127" s="787"/>
      <c r="AV127" s="787"/>
      <c r="AW127" s="787"/>
      <c r="AX127" s="787"/>
      <c r="AY127" s="787"/>
      <c r="AZ127" s="787">
        <v>0</v>
      </c>
      <c r="BA127" s="787">
        <v>3291.75</v>
      </c>
      <c r="BB127" s="787"/>
      <c r="BC127" s="787"/>
      <c r="BD127" s="787"/>
      <c r="BE127" s="787">
        <v>0</v>
      </c>
      <c r="BF127" s="787"/>
      <c r="BG127" s="787"/>
      <c r="BH127" s="787"/>
      <c r="BI127" s="787"/>
      <c r="BJ127" s="787">
        <f t="shared" si="4"/>
        <v>3291.75</v>
      </c>
      <c r="BK127" s="787"/>
      <c r="BL127" s="787"/>
      <c r="BM127" s="787"/>
      <c r="BN127" s="787">
        <v>5235.25</v>
      </c>
      <c r="BO127" s="787"/>
      <c r="BP127" s="787"/>
      <c r="BQ127" s="787">
        <f t="shared" si="5"/>
        <v>5235.25</v>
      </c>
      <c r="BR127" s="787"/>
      <c r="BS127" s="787"/>
      <c r="BT127" s="787"/>
      <c r="BU127" s="787"/>
      <c r="BV127" s="787"/>
      <c r="BW127" s="787"/>
      <c r="BX127" s="787"/>
      <c r="BY127" s="787"/>
      <c r="BZ127" s="787"/>
      <c r="CA127" s="787"/>
      <c r="CB127" s="787"/>
      <c r="CC127" s="787"/>
      <c r="CD127" s="787"/>
      <c r="CE127" s="787"/>
      <c r="CF127" s="787"/>
      <c r="CG127" s="787"/>
      <c r="CH127" s="787"/>
      <c r="CI127" s="787"/>
      <c r="CJ127" s="787"/>
      <c r="CK127" s="787"/>
      <c r="CL127" s="787"/>
      <c r="CM127" s="787"/>
      <c r="CN127" s="787"/>
      <c r="CO127" s="787"/>
      <c r="CP127" s="787"/>
      <c r="CQ127" s="787"/>
      <c r="CR127" s="787"/>
      <c r="CS127" s="787"/>
      <c r="CT127" s="787"/>
      <c r="CU127" s="787"/>
      <c r="CV127" s="787"/>
      <c r="CW127" s="787"/>
      <c r="CX127" s="787"/>
      <c r="CY127" s="787"/>
      <c r="CZ127" s="787"/>
      <c r="DA127" s="787"/>
      <c r="DB127" s="787"/>
      <c r="DC127" s="787"/>
      <c r="DD127" s="787"/>
      <c r="DE127" s="787"/>
      <c r="DF127" s="787"/>
      <c r="DG127" s="787"/>
      <c r="DH127" s="787"/>
      <c r="DI127" s="787"/>
      <c r="DJ127" s="787"/>
      <c r="DK127" s="787"/>
      <c r="DL127" s="787"/>
      <c r="DM127" s="787"/>
      <c r="DN127" s="787"/>
      <c r="DO127" s="787"/>
      <c r="DP127" s="787"/>
      <c r="DQ127" s="787"/>
      <c r="DR127" s="787"/>
      <c r="DS127" s="787"/>
      <c r="DT127" s="787"/>
      <c r="DU127" s="787"/>
      <c r="DV127" s="787"/>
      <c r="DW127" s="787"/>
      <c r="DX127" s="787"/>
      <c r="DY127" s="787"/>
      <c r="DZ127" s="787"/>
      <c r="EA127" s="787"/>
    </row>
    <row r="128" spans="1:131" ht="15.6">
      <c r="A128" s="782" t="s">
        <v>1422</v>
      </c>
      <c r="B128" s="782" t="s">
        <v>916</v>
      </c>
      <c r="C128" s="783">
        <v>1000</v>
      </c>
      <c r="D128" s="784" t="s">
        <v>917</v>
      </c>
      <c r="E128" s="785" t="s">
        <v>521</v>
      </c>
      <c r="F128" s="786">
        <v>0</v>
      </c>
      <c r="G128" s="785" t="s">
        <v>5</v>
      </c>
      <c r="H128" s="785" t="s">
        <v>938</v>
      </c>
      <c r="I128" s="787">
        <v>443838.89759282471</v>
      </c>
      <c r="J128" s="787">
        <v>0</v>
      </c>
      <c r="K128" s="787">
        <v>8345.9999318559567</v>
      </c>
      <c r="L128" s="787"/>
      <c r="M128" s="787">
        <v>0</v>
      </c>
      <c r="N128" s="787">
        <v>0</v>
      </c>
      <c r="O128" s="787"/>
      <c r="P128" s="787"/>
      <c r="Q128" s="787">
        <v>1109.3670849999955</v>
      </c>
      <c r="R128" s="787"/>
      <c r="S128" s="787"/>
      <c r="T128" s="787"/>
      <c r="U128" s="787"/>
      <c r="V128" s="787"/>
      <c r="W128" s="787"/>
      <c r="X128" s="787">
        <f t="shared" si="3"/>
        <v>453294.26460968063</v>
      </c>
      <c r="Y128" s="787"/>
      <c r="Z128" s="787"/>
      <c r="AA128" s="787"/>
      <c r="AB128" s="787"/>
      <c r="AC128" s="787"/>
      <c r="AD128" s="787"/>
      <c r="AE128" s="787"/>
      <c r="AF128" s="787"/>
      <c r="AG128" s="787"/>
      <c r="AH128" s="787"/>
      <c r="AI128" s="787"/>
      <c r="AJ128" s="787"/>
      <c r="AK128" s="787"/>
      <c r="AL128" s="787"/>
      <c r="AM128" s="787"/>
      <c r="AN128" s="787"/>
      <c r="AO128" s="787">
        <v>0</v>
      </c>
      <c r="AP128" s="787"/>
      <c r="AQ128" s="787"/>
      <c r="AR128" s="787"/>
      <c r="AS128" s="787"/>
      <c r="AT128" s="787"/>
      <c r="AU128" s="787"/>
      <c r="AV128" s="787"/>
      <c r="AW128" s="787"/>
      <c r="AX128" s="787"/>
      <c r="AY128" s="787"/>
      <c r="AZ128" s="787">
        <v>0</v>
      </c>
      <c r="BA128" s="787">
        <v>1107</v>
      </c>
      <c r="BB128" s="787"/>
      <c r="BC128" s="787"/>
      <c r="BD128" s="787"/>
      <c r="BE128" s="787">
        <v>0</v>
      </c>
      <c r="BF128" s="787"/>
      <c r="BG128" s="787"/>
      <c r="BH128" s="787"/>
      <c r="BI128" s="787"/>
      <c r="BJ128" s="787">
        <f t="shared" si="4"/>
        <v>1107</v>
      </c>
      <c r="BK128" s="787"/>
      <c r="BL128" s="787"/>
      <c r="BM128" s="787"/>
      <c r="BN128" s="787">
        <v>4689.8500000000004</v>
      </c>
      <c r="BO128" s="787"/>
      <c r="BP128" s="787"/>
      <c r="BQ128" s="787">
        <f t="shared" si="5"/>
        <v>4689.8500000000004</v>
      </c>
      <c r="BR128" s="787"/>
      <c r="BS128" s="787"/>
      <c r="BT128" s="787"/>
      <c r="BU128" s="787"/>
      <c r="BV128" s="787"/>
      <c r="BW128" s="787"/>
      <c r="BX128" s="787"/>
      <c r="BY128" s="787"/>
      <c r="BZ128" s="787"/>
      <c r="CA128" s="787"/>
      <c r="CB128" s="787"/>
      <c r="CC128" s="787"/>
      <c r="CD128" s="787"/>
      <c r="CE128" s="787"/>
      <c r="CF128" s="787"/>
      <c r="CG128" s="787"/>
      <c r="CH128" s="787"/>
      <c r="CI128" s="787"/>
      <c r="CJ128" s="787"/>
      <c r="CK128" s="787"/>
      <c r="CL128" s="787"/>
      <c r="CM128" s="787"/>
      <c r="CN128" s="787"/>
      <c r="CO128" s="787"/>
      <c r="CP128" s="787"/>
      <c r="CQ128" s="787"/>
      <c r="CR128" s="787"/>
      <c r="CS128" s="787"/>
      <c r="CT128" s="787"/>
      <c r="CU128" s="787"/>
      <c r="CV128" s="787"/>
      <c r="CW128" s="787"/>
      <c r="CX128" s="787"/>
      <c r="CY128" s="787"/>
      <c r="CZ128" s="787"/>
      <c r="DA128" s="787"/>
      <c r="DB128" s="787"/>
      <c r="DC128" s="787"/>
      <c r="DD128" s="787"/>
      <c r="DE128" s="787"/>
      <c r="DF128" s="787"/>
      <c r="DG128" s="787"/>
      <c r="DH128" s="787"/>
      <c r="DI128" s="787"/>
      <c r="DJ128" s="787"/>
      <c r="DK128" s="787"/>
      <c r="DL128" s="787"/>
      <c r="DM128" s="787"/>
      <c r="DN128" s="787"/>
      <c r="DO128" s="787"/>
      <c r="DP128" s="787"/>
      <c r="DQ128" s="787"/>
      <c r="DR128" s="787"/>
      <c r="DS128" s="787"/>
      <c r="DT128" s="787"/>
      <c r="DU128" s="787"/>
      <c r="DV128" s="787"/>
      <c r="DW128" s="787"/>
      <c r="DX128" s="787"/>
      <c r="DY128" s="787"/>
      <c r="DZ128" s="787"/>
      <c r="EA128" s="787"/>
    </row>
    <row r="129" spans="1:131" ht="15.6">
      <c r="A129" s="782" t="s">
        <v>1423</v>
      </c>
      <c r="B129" s="782" t="s">
        <v>744</v>
      </c>
      <c r="C129" s="783">
        <v>7033</v>
      </c>
      <c r="D129" s="784" t="s">
        <v>745</v>
      </c>
      <c r="E129" s="785"/>
      <c r="F129" s="786"/>
      <c r="G129" s="785"/>
      <c r="H129" s="785"/>
      <c r="I129" s="787">
        <v>4350158.0323913042</v>
      </c>
      <c r="J129" s="787">
        <v>97706.482384016446</v>
      </c>
      <c r="K129" s="787">
        <v>4126673.9823998371</v>
      </c>
      <c r="L129" s="787"/>
      <c r="M129" s="787">
        <v>211065</v>
      </c>
      <c r="N129" s="787">
        <v>1732.9299999999998</v>
      </c>
      <c r="O129" s="787"/>
      <c r="P129" s="787"/>
      <c r="Q129" s="787">
        <v>0</v>
      </c>
      <c r="R129" s="787"/>
      <c r="S129" s="787"/>
      <c r="T129" s="787"/>
      <c r="U129" s="787"/>
      <c r="V129" s="787"/>
      <c r="W129" s="787"/>
      <c r="X129" s="787">
        <f t="shared" si="3"/>
        <v>8787336.4271751568</v>
      </c>
      <c r="Y129" s="787"/>
      <c r="Z129" s="787"/>
      <c r="AA129" s="787"/>
      <c r="AB129" s="787"/>
      <c r="AC129" s="787"/>
      <c r="AD129" s="787"/>
      <c r="AE129" s="787"/>
      <c r="AF129" s="787"/>
      <c r="AG129" s="787"/>
      <c r="AH129" s="787"/>
      <c r="AI129" s="787"/>
      <c r="AJ129" s="787"/>
      <c r="AK129" s="787"/>
      <c r="AL129" s="787"/>
      <c r="AM129" s="787"/>
      <c r="AN129" s="787"/>
      <c r="AO129" s="787">
        <v>0</v>
      </c>
      <c r="AP129" s="787"/>
      <c r="AQ129" s="787"/>
      <c r="AR129" s="787"/>
      <c r="AS129" s="787"/>
      <c r="AT129" s="787"/>
      <c r="AU129" s="787"/>
      <c r="AV129" s="787"/>
      <c r="AW129" s="787"/>
      <c r="AX129" s="787"/>
      <c r="AY129" s="787"/>
      <c r="AZ129" s="787">
        <v>0</v>
      </c>
      <c r="BA129" s="787">
        <v>9471</v>
      </c>
      <c r="BB129" s="787"/>
      <c r="BC129" s="787"/>
      <c r="BD129" s="787"/>
      <c r="BE129" s="787">
        <v>0</v>
      </c>
      <c r="BF129" s="787"/>
      <c r="BG129" s="787"/>
      <c r="BH129" s="787"/>
      <c r="BI129" s="787"/>
      <c r="BJ129" s="787">
        <f t="shared" si="4"/>
        <v>9471</v>
      </c>
      <c r="BK129" s="787"/>
      <c r="BL129" s="787"/>
      <c r="BM129" s="787"/>
      <c r="BN129" s="787">
        <v>24503.13</v>
      </c>
      <c r="BO129" s="787"/>
      <c r="BP129" s="787"/>
      <c r="BQ129" s="787">
        <f t="shared" si="5"/>
        <v>24503.13</v>
      </c>
      <c r="BR129" s="787"/>
      <c r="BS129" s="787"/>
      <c r="BT129" s="787"/>
      <c r="BU129" s="787"/>
      <c r="BV129" s="787"/>
      <c r="BW129" s="787"/>
      <c r="BX129" s="787"/>
      <c r="BY129" s="787"/>
      <c r="BZ129" s="787"/>
      <c r="CA129" s="787"/>
      <c r="CB129" s="787"/>
      <c r="CC129" s="787"/>
      <c r="CD129" s="787"/>
      <c r="CE129" s="787"/>
      <c r="CF129" s="787"/>
      <c r="CG129" s="787"/>
      <c r="CH129" s="787"/>
      <c r="CI129" s="787"/>
      <c r="CJ129" s="787"/>
      <c r="CK129" s="787"/>
      <c r="CL129" s="787"/>
      <c r="CM129" s="787"/>
      <c r="CN129" s="787"/>
      <c r="CO129" s="787"/>
      <c r="CP129" s="787"/>
      <c r="CQ129" s="787"/>
      <c r="CR129" s="787"/>
      <c r="CS129" s="787"/>
      <c r="CT129" s="787"/>
      <c r="CU129" s="787"/>
      <c r="CV129" s="787"/>
      <c r="CW129" s="787"/>
      <c r="CX129" s="787"/>
      <c r="CY129" s="787"/>
      <c r="CZ129" s="787"/>
      <c r="DA129" s="787"/>
      <c r="DB129" s="787"/>
      <c r="DC129" s="787"/>
      <c r="DD129" s="787"/>
      <c r="DE129" s="787"/>
      <c r="DF129" s="787"/>
      <c r="DG129" s="787"/>
      <c r="DH129" s="787"/>
      <c r="DI129" s="787"/>
      <c r="DJ129" s="787"/>
      <c r="DK129" s="787"/>
      <c r="DL129" s="787"/>
      <c r="DM129" s="787"/>
      <c r="DN129" s="787"/>
      <c r="DO129" s="787"/>
      <c r="DP129" s="787"/>
      <c r="DQ129" s="787"/>
      <c r="DR129" s="787"/>
      <c r="DS129" s="787"/>
      <c r="DT129" s="787"/>
      <c r="DU129" s="787"/>
      <c r="DV129" s="787"/>
      <c r="DW129" s="787"/>
      <c r="DX129" s="787"/>
      <c r="DY129" s="787"/>
      <c r="DZ129" s="787"/>
      <c r="EA129" s="787"/>
    </row>
    <row r="130" spans="1:131" ht="15.6">
      <c r="A130" s="782" t="s">
        <v>1424</v>
      </c>
      <c r="B130" s="782" t="s">
        <v>746</v>
      </c>
      <c r="C130" s="783">
        <v>4177</v>
      </c>
      <c r="D130" s="784" t="s">
        <v>747</v>
      </c>
      <c r="E130" s="785" t="s">
        <v>521</v>
      </c>
      <c r="F130" s="786">
        <v>46094</v>
      </c>
      <c r="G130" s="785" t="s">
        <v>5</v>
      </c>
      <c r="H130" s="785" t="s">
        <v>758</v>
      </c>
      <c r="I130" s="787">
        <v>6927739.699103985</v>
      </c>
      <c r="J130" s="787">
        <v>0</v>
      </c>
      <c r="K130" s="787">
        <v>75662.222222222234</v>
      </c>
      <c r="L130" s="787"/>
      <c r="M130" s="787">
        <v>473000</v>
      </c>
      <c r="N130" s="787">
        <v>4612.84</v>
      </c>
      <c r="O130" s="787"/>
      <c r="P130" s="787"/>
      <c r="Q130" s="787">
        <v>0</v>
      </c>
      <c r="R130" s="787"/>
      <c r="S130" s="787"/>
      <c r="T130" s="787"/>
      <c r="U130" s="787"/>
      <c r="V130" s="787"/>
      <c r="W130" s="787"/>
      <c r="X130" s="787">
        <f t="shared" si="3"/>
        <v>7481014.7613262068</v>
      </c>
      <c r="Y130" s="787"/>
      <c r="Z130" s="787"/>
      <c r="AA130" s="787"/>
      <c r="AB130" s="787"/>
      <c r="AC130" s="787"/>
      <c r="AD130" s="787"/>
      <c r="AE130" s="787"/>
      <c r="AF130" s="787"/>
      <c r="AG130" s="787"/>
      <c r="AH130" s="787"/>
      <c r="AI130" s="787"/>
      <c r="AJ130" s="787"/>
      <c r="AK130" s="787"/>
      <c r="AL130" s="787"/>
      <c r="AM130" s="787"/>
      <c r="AN130" s="787"/>
      <c r="AO130" s="787">
        <v>111907.33999999998</v>
      </c>
      <c r="AP130" s="787"/>
      <c r="AQ130" s="787"/>
      <c r="AR130" s="787"/>
      <c r="AS130" s="787"/>
      <c r="AT130" s="787"/>
      <c r="AU130" s="787"/>
      <c r="AV130" s="787"/>
      <c r="AW130" s="787"/>
      <c r="AX130" s="787"/>
      <c r="AY130" s="787"/>
      <c r="AZ130" s="787">
        <v>0</v>
      </c>
      <c r="BA130" s="787">
        <v>24312.75</v>
      </c>
      <c r="BB130" s="787"/>
      <c r="BC130" s="787"/>
      <c r="BD130" s="787"/>
      <c r="BE130" s="787">
        <v>16607.25</v>
      </c>
      <c r="BF130" s="787"/>
      <c r="BG130" s="787"/>
      <c r="BH130" s="787"/>
      <c r="BI130" s="787"/>
      <c r="BJ130" s="787">
        <f t="shared" si="4"/>
        <v>152827.33999999997</v>
      </c>
      <c r="BK130" s="787"/>
      <c r="BL130" s="787"/>
      <c r="BM130" s="787"/>
      <c r="BN130" s="787">
        <v>17592.810000000001</v>
      </c>
      <c r="BO130" s="787"/>
      <c r="BP130" s="787"/>
      <c r="BQ130" s="787">
        <f t="shared" si="5"/>
        <v>17592.810000000001</v>
      </c>
      <c r="BR130" s="787"/>
      <c r="BS130" s="787"/>
      <c r="BT130" s="787"/>
      <c r="BU130" s="787"/>
      <c r="BV130" s="787"/>
      <c r="BW130" s="787"/>
      <c r="BX130" s="787"/>
      <c r="BY130" s="787"/>
      <c r="BZ130" s="787"/>
      <c r="CA130" s="787"/>
      <c r="CB130" s="787"/>
      <c r="CC130" s="787"/>
      <c r="CD130" s="787"/>
      <c r="CE130" s="787"/>
      <c r="CF130" s="787"/>
      <c r="CG130" s="787"/>
      <c r="CH130" s="787"/>
      <c r="CI130" s="787"/>
      <c r="CJ130" s="787"/>
      <c r="CK130" s="787"/>
      <c r="CL130" s="787"/>
      <c r="CM130" s="787"/>
      <c r="CN130" s="787"/>
      <c r="CO130" s="787"/>
      <c r="CP130" s="787"/>
      <c r="CQ130" s="787"/>
      <c r="CR130" s="787"/>
      <c r="CS130" s="787"/>
      <c r="CT130" s="787"/>
      <c r="CU130" s="787"/>
      <c r="CV130" s="787"/>
      <c r="CW130" s="787"/>
      <c r="CX130" s="787"/>
      <c r="CY130" s="787"/>
      <c r="CZ130" s="787"/>
      <c r="DA130" s="787"/>
      <c r="DB130" s="787"/>
      <c r="DC130" s="787"/>
      <c r="DD130" s="787"/>
      <c r="DE130" s="787"/>
      <c r="DF130" s="787"/>
      <c r="DG130" s="787"/>
      <c r="DH130" s="787"/>
      <c r="DI130" s="787"/>
      <c r="DJ130" s="787"/>
      <c r="DK130" s="787"/>
      <c r="DL130" s="787"/>
      <c r="DM130" s="787"/>
      <c r="DN130" s="787"/>
      <c r="DO130" s="787"/>
      <c r="DP130" s="787"/>
      <c r="DQ130" s="787"/>
      <c r="DR130" s="787"/>
      <c r="DS130" s="787"/>
      <c r="DT130" s="787"/>
      <c r="DU130" s="787"/>
      <c r="DV130" s="787"/>
      <c r="DW130" s="787"/>
      <c r="DX130" s="787"/>
      <c r="DY130" s="787"/>
      <c r="DZ130" s="787"/>
      <c r="EA130" s="787"/>
    </row>
    <row r="131" spans="1:131" ht="15.6">
      <c r="A131" s="782" t="s">
        <v>1425</v>
      </c>
      <c r="B131" s="782" t="s">
        <v>748</v>
      </c>
      <c r="C131" s="783">
        <v>2169</v>
      </c>
      <c r="D131" s="784" t="s">
        <v>749</v>
      </c>
      <c r="E131" s="785" t="s">
        <v>521</v>
      </c>
      <c r="F131" s="786">
        <v>46094</v>
      </c>
      <c r="G131" s="785" t="s">
        <v>5</v>
      </c>
      <c r="H131" s="785" t="s">
        <v>760</v>
      </c>
      <c r="I131" s="787">
        <v>2532408.69463372</v>
      </c>
      <c r="J131" s="787">
        <v>0</v>
      </c>
      <c r="K131" s="787">
        <v>18411.786666666667</v>
      </c>
      <c r="L131" s="787"/>
      <c r="M131" s="787">
        <v>369660</v>
      </c>
      <c r="N131" s="787">
        <v>30380.86</v>
      </c>
      <c r="O131" s="787"/>
      <c r="P131" s="787"/>
      <c r="Q131" s="787">
        <v>28289.53400500014</v>
      </c>
      <c r="R131" s="787"/>
      <c r="S131" s="787"/>
      <c r="T131" s="787"/>
      <c r="U131" s="787"/>
      <c r="V131" s="787"/>
      <c r="W131" s="787"/>
      <c r="X131" s="787">
        <f t="shared" si="3"/>
        <v>2979150.8753053867</v>
      </c>
      <c r="Y131" s="787"/>
      <c r="Z131" s="787"/>
      <c r="AA131" s="787"/>
      <c r="AB131" s="787"/>
      <c r="AC131" s="787"/>
      <c r="AD131" s="787"/>
      <c r="AE131" s="787"/>
      <c r="AF131" s="787"/>
      <c r="AG131" s="787"/>
      <c r="AH131" s="787"/>
      <c r="AI131" s="787"/>
      <c r="AJ131" s="787"/>
      <c r="AK131" s="787"/>
      <c r="AL131" s="787"/>
      <c r="AM131" s="787"/>
      <c r="AN131" s="787"/>
      <c r="AO131" s="787">
        <v>29679.819999999996</v>
      </c>
      <c r="AP131" s="787"/>
      <c r="AQ131" s="787"/>
      <c r="AR131" s="787"/>
      <c r="AS131" s="787"/>
      <c r="AT131" s="787"/>
      <c r="AU131" s="787"/>
      <c r="AV131" s="787"/>
      <c r="AW131" s="787"/>
      <c r="AX131" s="787"/>
      <c r="AY131" s="787"/>
      <c r="AZ131" s="787">
        <v>74.889999999999986</v>
      </c>
      <c r="BA131" s="787">
        <v>9471</v>
      </c>
      <c r="BB131" s="787"/>
      <c r="BC131" s="787"/>
      <c r="BD131" s="787"/>
      <c r="BE131" s="787">
        <v>9493.119999999999</v>
      </c>
      <c r="BF131" s="787"/>
      <c r="BG131" s="787"/>
      <c r="BH131" s="787"/>
      <c r="BI131" s="787"/>
      <c r="BJ131" s="787">
        <f t="shared" si="4"/>
        <v>48718.829999999987</v>
      </c>
      <c r="BK131" s="787"/>
      <c r="BL131" s="787"/>
      <c r="BM131" s="787"/>
      <c r="BN131" s="787">
        <v>8491</v>
      </c>
      <c r="BO131" s="787"/>
      <c r="BP131" s="787"/>
      <c r="BQ131" s="787">
        <f t="shared" si="5"/>
        <v>8491</v>
      </c>
      <c r="BR131" s="787"/>
      <c r="BS131" s="787"/>
      <c r="BT131" s="787"/>
      <c r="BU131" s="787"/>
      <c r="BV131" s="787"/>
      <c r="BW131" s="787"/>
      <c r="BX131" s="787"/>
      <c r="BY131" s="787"/>
      <c r="BZ131" s="787"/>
      <c r="CA131" s="787"/>
      <c r="CB131" s="787"/>
      <c r="CC131" s="787"/>
      <c r="CD131" s="787"/>
      <c r="CE131" s="787"/>
      <c r="CF131" s="787"/>
      <c r="CG131" s="787"/>
      <c r="CH131" s="787"/>
      <c r="CI131" s="787"/>
      <c r="CJ131" s="787"/>
      <c r="CK131" s="787"/>
      <c r="CL131" s="787"/>
      <c r="CM131" s="787"/>
      <c r="CN131" s="787"/>
      <c r="CO131" s="787"/>
      <c r="CP131" s="787"/>
      <c r="CQ131" s="787"/>
      <c r="CR131" s="787"/>
      <c r="CS131" s="787"/>
      <c r="CT131" s="787"/>
      <c r="CU131" s="787"/>
      <c r="CV131" s="787"/>
      <c r="CW131" s="787"/>
      <c r="CX131" s="787"/>
      <c r="CY131" s="787"/>
      <c r="CZ131" s="787"/>
      <c r="DA131" s="787"/>
      <c r="DB131" s="787"/>
      <c r="DC131" s="787"/>
      <c r="DD131" s="787"/>
      <c r="DE131" s="787"/>
      <c r="DF131" s="787"/>
      <c r="DG131" s="787"/>
      <c r="DH131" s="787"/>
      <c r="DI131" s="787"/>
      <c r="DJ131" s="787"/>
      <c r="DK131" s="787"/>
      <c r="DL131" s="787"/>
      <c r="DM131" s="787"/>
      <c r="DN131" s="787"/>
      <c r="DO131" s="787"/>
      <c r="DP131" s="787"/>
      <c r="DQ131" s="787"/>
      <c r="DR131" s="787"/>
      <c r="DS131" s="787"/>
      <c r="DT131" s="787"/>
      <c r="DU131" s="787"/>
      <c r="DV131" s="787"/>
      <c r="DW131" s="787"/>
      <c r="DX131" s="787"/>
      <c r="DY131" s="787"/>
      <c r="DZ131" s="787"/>
      <c r="EA131" s="787"/>
    </row>
    <row r="132" spans="1:131" ht="15.6">
      <c r="A132" s="782" t="s">
        <v>1426</v>
      </c>
      <c r="B132" s="782" t="s">
        <v>750</v>
      </c>
      <c r="C132" s="783">
        <v>2008</v>
      </c>
      <c r="D132" s="784" t="s">
        <v>751</v>
      </c>
      <c r="E132" s="785" t="s">
        <v>521</v>
      </c>
      <c r="F132" s="786">
        <v>46101</v>
      </c>
      <c r="G132" s="785" t="s">
        <v>5</v>
      </c>
      <c r="H132" s="785" t="s">
        <v>762</v>
      </c>
      <c r="I132" s="787">
        <v>2769081.664014861</v>
      </c>
      <c r="J132" s="787">
        <v>0</v>
      </c>
      <c r="K132" s="787">
        <v>105420.00333333333</v>
      </c>
      <c r="L132" s="787"/>
      <c r="M132" s="787">
        <v>325725</v>
      </c>
      <c r="N132" s="787">
        <v>68059.22</v>
      </c>
      <c r="O132" s="787"/>
      <c r="P132" s="787"/>
      <c r="Q132" s="787">
        <v>14170.117740000011</v>
      </c>
      <c r="R132" s="787"/>
      <c r="S132" s="787"/>
      <c r="T132" s="787"/>
      <c r="U132" s="787"/>
      <c r="V132" s="787"/>
      <c r="W132" s="787"/>
      <c r="X132" s="787">
        <f t="shared" si="3"/>
        <v>3282456.0050881947</v>
      </c>
      <c r="Y132" s="787"/>
      <c r="Z132" s="787"/>
      <c r="AA132" s="787"/>
      <c r="AB132" s="787"/>
      <c r="AC132" s="787"/>
      <c r="AD132" s="787"/>
      <c r="AE132" s="787"/>
      <c r="AF132" s="787"/>
      <c r="AG132" s="787"/>
      <c r="AH132" s="787"/>
      <c r="AI132" s="787"/>
      <c r="AJ132" s="787"/>
      <c r="AK132" s="787"/>
      <c r="AL132" s="787"/>
      <c r="AM132" s="787"/>
      <c r="AN132" s="787"/>
      <c r="AO132" s="787">
        <v>28884.830000000005</v>
      </c>
      <c r="AP132" s="787"/>
      <c r="AQ132" s="787"/>
      <c r="AR132" s="787"/>
      <c r="AS132" s="787"/>
      <c r="AT132" s="787"/>
      <c r="AU132" s="787"/>
      <c r="AV132" s="787"/>
      <c r="AW132" s="787"/>
      <c r="AX132" s="787"/>
      <c r="AY132" s="787"/>
      <c r="AZ132" s="787">
        <v>100.55999999999999</v>
      </c>
      <c r="BA132" s="787">
        <v>9471</v>
      </c>
      <c r="BB132" s="787"/>
      <c r="BC132" s="787"/>
      <c r="BD132" s="787"/>
      <c r="BE132" s="787">
        <v>11110.08</v>
      </c>
      <c r="BF132" s="787"/>
      <c r="BG132" s="787"/>
      <c r="BH132" s="787"/>
      <c r="BI132" s="787"/>
      <c r="BJ132" s="787">
        <f t="shared" si="4"/>
        <v>49566.470000000008</v>
      </c>
      <c r="BK132" s="787"/>
      <c r="BL132" s="787"/>
      <c r="BM132" s="787"/>
      <c r="BN132" s="787">
        <v>9141.25</v>
      </c>
      <c r="BO132" s="787"/>
      <c r="BP132" s="787"/>
      <c r="BQ132" s="787">
        <f t="shared" si="5"/>
        <v>9141.25</v>
      </c>
      <c r="BR132" s="787"/>
      <c r="BS132" s="787"/>
      <c r="BT132" s="787"/>
      <c r="BU132" s="787"/>
      <c r="BV132" s="787"/>
      <c r="BW132" s="787"/>
      <c r="BX132" s="787"/>
      <c r="BY132" s="787"/>
      <c r="BZ132" s="787"/>
      <c r="CA132" s="787"/>
      <c r="CB132" s="787"/>
      <c r="CC132" s="787"/>
      <c r="CD132" s="787"/>
      <c r="CE132" s="787"/>
      <c r="CF132" s="787"/>
      <c r="CG132" s="787"/>
      <c r="CH132" s="787"/>
      <c r="CI132" s="787"/>
      <c r="CJ132" s="787"/>
      <c r="CK132" s="787"/>
      <c r="CL132" s="787"/>
      <c r="CM132" s="787"/>
      <c r="CN132" s="787"/>
      <c r="CO132" s="787"/>
      <c r="CP132" s="787"/>
      <c r="CQ132" s="787"/>
      <c r="CR132" s="787"/>
      <c r="CS132" s="787"/>
      <c r="CT132" s="787"/>
      <c r="CU132" s="787"/>
      <c r="CV132" s="787"/>
      <c r="CW132" s="787"/>
      <c r="CX132" s="787"/>
      <c r="CY132" s="787"/>
      <c r="CZ132" s="787"/>
      <c r="DA132" s="787"/>
      <c r="DB132" s="787"/>
      <c r="DC132" s="787"/>
      <c r="DD132" s="787"/>
      <c r="DE132" s="787"/>
      <c r="DF132" s="787"/>
      <c r="DG132" s="787"/>
      <c r="DH132" s="787"/>
      <c r="DI132" s="787"/>
      <c r="DJ132" s="787"/>
      <c r="DK132" s="787"/>
      <c r="DL132" s="787"/>
      <c r="DM132" s="787"/>
      <c r="DN132" s="787"/>
      <c r="DO132" s="787"/>
      <c r="DP132" s="787"/>
      <c r="DQ132" s="787"/>
      <c r="DR132" s="787"/>
      <c r="DS132" s="787"/>
      <c r="DT132" s="787"/>
      <c r="DU132" s="787"/>
      <c r="DV132" s="787"/>
      <c r="DW132" s="787"/>
      <c r="DX132" s="787"/>
      <c r="DY132" s="787"/>
      <c r="DZ132" s="787"/>
      <c r="EA132" s="787"/>
    </row>
    <row r="133" spans="1:131" ht="15.6">
      <c r="A133" s="782" t="s">
        <v>1427</v>
      </c>
      <c r="B133" s="782" t="s">
        <v>752</v>
      </c>
      <c r="C133" s="783">
        <v>1038</v>
      </c>
      <c r="D133" s="784" t="s">
        <v>753</v>
      </c>
      <c r="E133" s="785" t="s">
        <v>521</v>
      </c>
      <c r="F133" s="786">
        <v>46094</v>
      </c>
      <c r="G133" s="785" t="s">
        <v>5</v>
      </c>
      <c r="H133" s="785" t="s">
        <v>764</v>
      </c>
      <c r="I133" s="787">
        <v>1020510.2635632544</v>
      </c>
      <c r="J133" s="787">
        <v>0</v>
      </c>
      <c r="K133" s="787">
        <v>59356.456398891969</v>
      </c>
      <c r="L133" s="787"/>
      <c r="M133" s="787">
        <v>0</v>
      </c>
      <c r="N133" s="787">
        <v>0</v>
      </c>
      <c r="O133" s="787"/>
      <c r="P133" s="787"/>
      <c r="Q133" s="787">
        <v>0</v>
      </c>
      <c r="R133" s="787"/>
      <c r="S133" s="787"/>
      <c r="T133" s="787"/>
      <c r="U133" s="787"/>
      <c r="V133" s="787"/>
      <c r="W133" s="787"/>
      <c r="X133" s="787">
        <f t="shared" si="3"/>
        <v>1079866.7199621464</v>
      </c>
      <c r="Y133" s="787"/>
      <c r="Z133" s="787"/>
      <c r="AA133" s="787"/>
      <c r="AB133" s="787"/>
      <c r="AC133" s="787"/>
      <c r="AD133" s="787"/>
      <c r="AE133" s="787"/>
      <c r="AF133" s="787"/>
      <c r="AG133" s="787"/>
      <c r="AH133" s="787"/>
      <c r="AI133" s="787"/>
      <c r="AJ133" s="787"/>
      <c r="AK133" s="787"/>
      <c r="AL133" s="787"/>
      <c r="AM133" s="787"/>
      <c r="AN133" s="787"/>
      <c r="AO133" s="787">
        <v>0</v>
      </c>
      <c r="AP133" s="787"/>
      <c r="AQ133" s="787"/>
      <c r="AR133" s="787"/>
      <c r="AS133" s="787"/>
      <c r="AT133" s="787"/>
      <c r="AU133" s="787"/>
      <c r="AV133" s="787"/>
      <c r="AW133" s="787"/>
      <c r="AX133" s="787"/>
      <c r="AY133" s="787"/>
      <c r="AZ133" s="787">
        <v>0</v>
      </c>
      <c r="BA133" s="787">
        <v>3291.75</v>
      </c>
      <c r="BB133" s="787"/>
      <c r="BC133" s="787"/>
      <c r="BD133" s="787"/>
      <c r="BE133" s="787">
        <v>0</v>
      </c>
      <c r="BF133" s="787"/>
      <c r="BG133" s="787"/>
      <c r="BH133" s="787"/>
      <c r="BI133" s="787"/>
      <c r="BJ133" s="787">
        <f t="shared" si="4"/>
        <v>3291.75</v>
      </c>
      <c r="BK133" s="787"/>
      <c r="BL133" s="787"/>
      <c r="BM133" s="787"/>
      <c r="BN133" s="787">
        <v>5154.25</v>
      </c>
      <c r="BO133" s="787"/>
      <c r="BP133" s="787"/>
      <c r="BQ133" s="787">
        <f t="shared" si="5"/>
        <v>5154.25</v>
      </c>
      <c r="BR133" s="787"/>
      <c r="BS133" s="787"/>
      <c r="BT133" s="787"/>
      <c r="BU133" s="787"/>
      <c r="BV133" s="787"/>
      <c r="BW133" s="787"/>
      <c r="BX133" s="787"/>
      <c r="BY133" s="787"/>
      <c r="BZ133" s="787"/>
      <c r="CA133" s="787"/>
      <c r="CB133" s="787"/>
      <c r="CC133" s="787"/>
      <c r="CD133" s="787"/>
      <c r="CE133" s="787"/>
      <c r="CF133" s="787"/>
      <c r="CG133" s="787"/>
      <c r="CH133" s="787"/>
      <c r="CI133" s="787"/>
      <c r="CJ133" s="787"/>
      <c r="CK133" s="787"/>
      <c r="CL133" s="787"/>
      <c r="CM133" s="787"/>
      <c r="CN133" s="787"/>
      <c r="CO133" s="787"/>
      <c r="CP133" s="787"/>
      <c r="CQ133" s="787"/>
      <c r="CR133" s="787"/>
      <c r="CS133" s="787"/>
      <c r="CT133" s="787"/>
      <c r="CU133" s="787"/>
      <c r="CV133" s="787"/>
      <c r="CW133" s="787"/>
      <c r="CX133" s="787"/>
      <c r="CY133" s="787"/>
      <c r="CZ133" s="787"/>
      <c r="DA133" s="787"/>
      <c r="DB133" s="787"/>
      <c r="DC133" s="787"/>
      <c r="DD133" s="787"/>
      <c r="DE133" s="787"/>
      <c r="DF133" s="787"/>
      <c r="DG133" s="787"/>
      <c r="DH133" s="787"/>
      <c r="DI133" s="787"/>
      <c r="DJ133" s="787"/>
      <c r="DK133" s="787"/>
      <c r="DL133" s="787"/>
      <c r="DM133" s="787"/>
      <c r="DN133" s="787"/>
      <c r="DO133" s="787"/>
      <c r="DP133" s="787"/>
      <c r="DQ133" s="787"/>
      <c r="DR133" s="787"/>
      <c r="DS133" s="787"/>
      <c r="DT133" s="787"/>
      <c r="DU133" s="787"/>
      <c r="DV133" s="787"/>
      <c r="DW133" s="787"/>
      <c r="DX133" s="787"/>
      <c r="DY133" s="787"/>
      <c r="DZ133" s="787"/>
      <c r="EA133" s="787"/>
    </row>
    <row r="134" spans="1:131" ht="15.6">
      <c r="A134" s="782" t="s">
        <v>1428</v>
      </c>
      <c r="B134" s="782" t="s">
        <v>754</v>
      </c>
      <c r="C134" s="783">
        <v>2174</v>
      </c>
      <c r="D134" s="784" t="s">
        <v>755</v>
      </c>
      <c r="E134" s="785" t="s">
        <v>521</v>
      </c>
      <c r="F134" s="786">
        <v>46094</v>
      </c>
      <c r="G134" s="785" t="s">
        <v>5</v>
      </c>
      <c r="H134" s="785" t="s">
        <v>766</v>
      </c>
      <c r="I134" s="787">
        <v>1839451.3131024095</v>
      </c>
      <c r="J134" s="787">
        <v>0</v>
      </c>
      <c r="K134" s="787">
        <v>178376.36</v>
      </c>
      <c r="L134" s="787"/>
      <c r="M134" s="787">
        <v>193920</v>
      </c>
      <c r="N134" s="787">
        <v>103892</v>
      </c>
      <c r="O134" s="787"/>
      <c r="P134" s="787"/>
      <c r="Q134" s="787">
        <v>0</v>
      </c>
      <c r="R134" s="787"/>
      <c r="S134" s="787"/>
      <c r="T134" s="787"/>
      <c r="U134" s="787"/>
      <c r="V134" s="787"/>
      <c r="W134" s="787"/>
      <c r="X134" s="787">
        <f t="shared" si="3"/>
        <v>2315639.6731024096</v>
      </c>
      <c r="Y134" s="787"/>
      <c r="Z134" s="787"/>
      <c r="AA134" s="787"/>
      <c r="AB134" s="787"/>
      <c r="AC134" s="787"/>
      <c r="AD134" s="787"/>
      <c r="AE134" s="787"/>
      <c r="AF134" s="787"/>
      <c r="AG134" s="787"/>
      <c r="AH134" s="787"/>
      <c r="AI134" s="787"/>
      <c r="AJ134" s="787"/>
      <c r="AK134" s="787"/>
      <c r="AL134" s="787"/>
      <c r="AM134" s="787"/>
      <c r="AN134" s="787"/>
      <c r="AO134" s="787">
        <v>20532.460000000003</v>
      </c>
      <c r="AP134" s="787"/>
      <c r="AQ134" s="787"/>
      <c r="AR134" s="787"/>
      <c r="AS134" s="787"/>
      <c r="AT134" s="787"/>
      <c r="AU134" s="787"/>
      <c r="AV134" s="787"/>
      <c r="AW134" s="787"/>
      <c r="AX134" s="787"/>
      <c r="AY134" s="787"/>
      <c r="AZ134" s="787">
        <v>0</v>
      </c>
      <c r="BA134" s="787">
        <v>8100</v>
      </c>
      <c r="BB134" s="787"/>
      <c r="BC134" s="787"/>
      <c r="BD134" s="787"/>
      <c r="BE134" s="787">
        <v>7823.9999999999991</v>
      </c>
      <c r="BF134" s="787"/>
      <c r="BG134" s="787"/>
      <c r="BH134" s="787"/>
      <c r="BI134" s="787"/>
      <c r="BJ134" s="787">
        <f t="shared" si="4"/>
        <v>36456.46</v>
      </c>
      <c r="BK134" s="787"/>
      <c r="BL134" s="787"/>
      <c r="BM134" s="787"/>
      <c r="BN134" s="787">
        <v>7712.5</v>
      </c>
      <c r="BO134" s="787"/>
      <c r="BP134" s="787"/>
      <c r="BQ134" s="787">
        <f t="shared" si="5"/>
        <v>7712.5</v>
      </c>
      <c r="BR134" s="787"/>
      <c r="BS134" s="787"/>
      <c r="BT134" s="787"/>
      <c r="BU134" s="787"/>
      <c r="BV134" s="787"/>
      <c r="BW134" s="787"/>
      <c r="BX134" s="787"/>
      <c r="BY134" s="787"/>
      <c r="BZ134" s="787"/>
      <c r="CA134" s="787"/>
      <c r="CB134" s="787"/>
      <c r="CC134" s="787"/>
      <c r="CD134" s="787"/>
      <c r="CE134" s="787"/>
      <c r="CF134" s="787"/>
      <c r="CG134" s="787"/>
      <c r="CH134" s="787"/>
      <c r="CI134" s="787"/>
      <c r="CJ134" s="787"/>
      <c r="CK134" s="787"/>
      <c r="CL134" s="787"/>
      <c r="CM134" s="787"/>
      <c r="CN134" s="787"/>
      <c r="CO134" s="787"/>
      <c r="CP134" s="787"/>
      <c r="CQ134" s="787"/>
      <c r="CR134" s="787"/>
      <c r="CS134" s="787"/>
      <c r="CT134" s="787"/>
      <c r="CU134" s="787"/>
      <c r="CV134" s="787"/>
      <c r="CW134" s="787"/>
      <c r="CX134" s="787"/>
      <c r="CY134" s="787"/>
      <c r="CZ134" s="787"/>
      <c r="DA134" s="787"/>
      <c r="DB134" s="787"/>
      <c r="DC134" s="787"/>
      <c r="DD134" s="787"/>
      <c r="DE134" s="787"/>
      <c r="DF134" s="787"/>
      <c r="DG134" s="787"/>
      <c r="DH134" s="787"/>
      <c r="DI134" s="787"/>
      <c r="DJ134" s="787"/>
      <c r="DK134" s="787"/>
      <c r="DL134" s="787"/>
      <c r="DM134" s="787"/>
      <c r="DN134" s="787"/>
      <c r="DO134" s="787"/>
      <c r="DP134" s="787"/>
      <c r="DQ134" s="787"/>
      <c r="DR134" s="787"/>
      <c r="DS134" s="787"/>
      <c r="DT134" s="787"/>
      <c r="DU134" s="787"/>
      <c r="DV134" s="787"/>
      <c r="DW134" s="787"/>
      <c r="DX134" s="787"/>
      <c r="DY134" s="787"/>
      <c r="DZ134" s="787"/>
      <c r="EA134" s="787"/>
    </row>
    <row r="135" spans="1:131" ht="15.6">
      <c r="A135" s="782" t="s">
        <v>1429</v>
      </c>
      <c r="B135" s="782" t="s">
        <v>756</v>
      </c>
      <c r="C135" s="783">
        <v>2176</v>
      </c>
      <c r="D135" s="784" t="s">
        <v>757</v>
      </c>
      <c r="E135" s="785" t="s">
        <v>521</v>
      </c>
      <c r="F135" s="786" t="s">
        <v>1315</v>
      </c>
      <c r="G135" s="785" t="s">
        <v>5</v>
      </c>
      <c r="H135" s="785" t="s">
        <v>768</v>
      </c>
      <c r="I135" s="787">
        <v>4308223.2241659584</v>
      </c>
      <c r="J135" s="787">
        <v>0</v>
      </c>
      <c r="K135" s="787">
        <v>280593.67433333333</v>
      </c>
      <c r="L135" s="787"/>
      <c r="M135" s="787">
        <v>536310</v>
      </c>
      <c r="N135" s="787">
        <v>86026.22</v>
      </c>
      <c r="O135" s="787"/>
      <c r="P135" s="787"/>
      <c r="Q135" s="787">
        <v>0</v>
      </c>
      <c r="R135" s="787"/>
      <c r="S135" s="787"/>
      <c r="T135" s="787"/>
      <c r="U135" s="787"/>
      <c r="V135" s="787"/>
      <c r="W135" s="787"/>
      <c r="X135" s="787">
        <f t="shared" si="3"/>
        <v>5211153.1184992911</v>
      </c>
      <c r="Y135" s="787"/>
      <c r="Z135" s="787"/>
      <c r="AA135" s="787"/>
      <c r="AB135" s="787"/>
      <c r="AC135" s="787"/>
      <c r="AD135" s="787"/>
      <c r="AE135" s="787"/>
      <c r="AF135" s="787"/>
      <c r="AG135" s="787"/>
      <c r="AH135" s="787"/>
      <c r="AI135" s="787"/>
      <c r="AJ135" s="787"/>
      <c r="AK135" s="787"/>
      <c r="AL135" s="787"/>
      <c r="AM135" s="787"/>
      <c r="AN135" s="787"/>
      <c r="AO135" s="787">
        <v>66127.06</v>
      </c>
      <c r="AP135" s="787"/>
      <c r="AQ135" s="787"/>
      <c r="AR135" s="787"/>
      <c r="AS135" s="787"/>
      <c r="AT135" s="787"/>
      <c r="AU135" s="787"/>
      <c r="AV135" s="787"/>
      <c r="AW135" s="787"/>
      <c r="AX135" s="787"/>
      <c r="AY135" s="787"/>
      <c r="AZ135" s="787">
        <v>0</v>
      </c>
      <c r="BA135" s="787">
        <v>18745.650000000001</v>
      </c>
      <c r="BB135" s="787"/>
      <c r="BC135" s="787"/>
      <c r="BD135" s="787"/>
      <c r="BE135" s="787">
        <v>16951.999999999996</v>
      </c>
      <c r="BF135" s="787"/>
      <c r="BG135" s="787"/>
      <c r="BH135" s="787"/>
      <c r="BI135" s="787"/>
      <c r="BJ135" s="787">
        <f t="shared" si="4"/>
        <v>101824.70999999999</v>
      </c>
      <c r="BK135" s="787"/>
      <c r="BL135" s="787"/>
      <c r="BM135" s="787"/>
      <c r="BN135" s="787">
        <v>11825.5</v>
      </c>
      <c r="BO135" s="787"/>
      <c r="BP135" s="787"/>
      <c r="BQ135" s="787">
        <f t="shared" si="5"/>
        <v>11825.5</v>
      </c>
      <c r="BR135" s="787"/>
      <c r="BS135" s="787"/>
      <c r="BT135" s="787"/>
      <c r="BU135" s="787"/>
      <c r="BV135" s="787"/>
      <c r="BW135" s="787"/>
      <c r="BX135" s="787"/>
      <c r="BY135" s="787"/>
      <c r="BZ135" s="787"/>
      <c r="CA135" s="787"/>
      <c r="CB135" s="787"/>
      <c r="CC135" s="787"/>
      <c r="CD135" s="787"/>
      <c r="CE135" s="787"/>
      <c r="CF135" s="787"/>
      <c r="CG135" s="787"/>
      <c r="CH135" s="787"/>
      <c r="CI135" s="787"/>
      <c r="CJ135" s="787"/>
      <c r="CK135" s="787"/>
      <c r="CL135" s="787"/>
      <c r="CM135" s="787"/>
      <c r="CN135" s="787"/>
      <c r="CO135" s="787"/>
      <c r="CP135" s="787"/>
      <c r="CQ135" s="787"/>
      <c r="CR135" s="787"/>
      <c r="CS135" s="787"/>
      <c r="CT135" s="787"/>
      <c r="CU135" s="787"/>
      <c r="CV135" s="787"/>
      <c r="CW135" s="787"/>
      <c r="CX135" s="787"/>
      <c r="CY135" s="787"/>
      <c r="CZ135" s="787"/>
      <c r="DA135" s="787"/>
      <c r="DB135" s="787"/>
      <c r="DC135" s="787"/>
      <c r="DD135" s="787"/>
      <c r="DE135" s="787"/>
      <c r="DF135" s="787"/>
      <c r="DG135" s="787"/>
      <c r="DH135" s="787"/>
      <c r="DI135" s="787"/>
      <c r="DJ135" s="787"/>
      <c r="DK135" s="787"/>
      <c r="DL135" s="787"/>
      <c r="DM135" s="787"/>
      <c r="DN135" s="787"/>
      <c r="DO135" s="787"/>
      <c r="DP135" s="787"/>
      <c r="DQ135" s="787"/>
      <c r="DR135" s="787"/>
      <c r="DS135" s="787"/>
      <c r="DT135" s="787"/>
      <c r="DU135" s="787"/>
      <c r="DV135" s="787"/>
      <c r="DW135" s="787"/>
      <c r="DX135" s="787"/>
      <c r="DY135" s="787"/>
      <c r="DZ135" s="787"/>
      <c r="EA135" s="787"/>
    </row>
    <row r="136" spans="1:131" ht="15.6">
      <c r="A136" s="782" t="s">
        <v>1430</v>
      </c>
      <c r="B136" s="782" t="s">
        <v>758</v>
      </c>
      <c r="C136" s="783">
        <v>7047</v>
      </c>
      <c r="D136" s="784" t="s">
        <v>759</v>
      </c>
      <c r="E136" s="785" t="s">
        <v>521</v>
      </c>
      <c r="F136" s="786">
        <v>46094</v>
      </c>
      <c r="G136" s="785" t="s">
        <v>5</v>
      </c>
      <c r="H136" s="785" t="s">
        <v>770</v>
      </c>
      <c r="I136" s="787">
        <v>1267256.6567391304</v>
      </c>
      <c r="J136" s="787">
        <v>0</v>
      </c>
      <c r="K136" s="787">
        <v>1961182.2142001709</v>
      </c>
      <c r="L136" s="787"/>
      <c r="M136" s="787">
        <v>90450</v>
      </c>
      <c r="N136" s="787">
        <v>20156</v>
      </c>
      <c r="O136" s="787"/>
      <c r="P136" s="787"/>
      <c r="Q136" s="787">
        <v>1740.4500000000003</v>
      </c>
      <c r="R136" s="787"/>
      <c r="S136" s="787"/>
      <c r="T136" s="787"/>
      <c r="U136" s="787"/>
      <c r="V136" s="787"/>
      <c r="W136" s="787"/>
      <c r="X136" s="787">
        <f t="shared" ref="X136:X192" si="6">SUM(I136:W136)</f>
        <v>3340785.3209393015</v>
      </c>
      <c r="Y136" s="787"/>
      <c r="Z136" s="787"/>
      <c r="AA136" s="787"/>
      <c r="AB136" s="787"/>
      <c r="AC136" s="787"/>
      <c r="AD136" s="787"/>
      <c r="AE136" s="787"/>
      <c r="AF136" s="787"/>
      <c r="AG136" s="787"/>
      <c r="AH136" s="787"/>
      <c r="AI136" s="787"/>
      <c r="AJ136" s="787"/>
      <c r="AK136" s="787"/>
      <c r="AL136" s="787"/>
      <c r="AM136" s="787"/>
      <c r="AN136" s="787"/>
      <c r="AO136" s="787">
        <v>0</v>
      </c>
      <c r="AP136" s="787"/>
      <c r="AQ136" s="787"/>
      <c r="AR136" s="787"/>
      <c r="AS136" s="787"/>
      <c r="AT136" s="787"/>
      <c r="AU136" s="787"/>
      <c r="AV136" s="787"/>
      <c r="AW136" s="787"/>
      <c r="AX136" s="787"/>
      <c r="AY136" s="787"/>
      <c r="AZ136" s="787">
        <v>91.04000000000002</v>
      </c>
      <c r="BA136" s="787">
        <v>3291.75</v>
      </c>
      <c r="BB136" s="787"/>
      <c r="BC136" s="787"/>
      <c r="BD136" s="787"/>
      <c r="BE136" s="787">
        <v>0</v>
      </c>
      <c r="BF136" s="787"/>
      <c r="BG136" s="787"/>
      <c r="BH136" s="787"/>
      <c r="BI136" s="787"/>
      <c r="BJ136" s="787">
        <f t="shared" ref="BJ136:BJ192" si="7">SUM(Y136:BI136)</f>
        <v>3382.79</v>
      </c>
      <c r="BK136" s="787"/>
      <c r="BL136" s="787"/>
      <c r="BM136" s="787"/>
      <c r="BN136" s="787">
        <v>8809.3799999999992</v>
      </c>
      <c r="BO136" s="787"/>
      <c r="BP136" s="787"/>
      <c r="BQ136" s="787">
        <f t="shared" ref="BQ136:BQ192" si="8">SUM(BN136:BP136)</f>
        <v>8809.3799999999992</v>
      </c>
      <c r="BR136" s="787"/>
      <c r="BS136" s="787"/>
      <c r="BT136" s="787"/>
      <c r="BU136" s="787"/>
      <c r="BV136" s="787"/>
      <c r="BW136" s="787"/>
      <c r="BX136" s="787"/>
      <c r="BY136" s="787"/>
      <c r="BZ136" s="787"/>
      <c r="CA136" s="787"/>
      <c r="CB136" s="787"/>
      <c r="CC136" s="787"/>
      <c r="CD136" s="787"/>
      <c r="CE136" s="787"/>
      <c r="CF136" s="787"/>
      <c r="CG136" s="787"/>
      <c r="CH136" s="787"/>
      <c r="CI136" s="787"/>
      <c r="CJ136" s="787"/>
      <c r="CK136" s="787"/>
      <c r="CL136" s="787"/>
      <c r="CM136" s="787"/>
      <c r="CN136" s="787"/>
      <c r="CO136" s="787"/>
      <c r="CP136" s="787"/>
      <c r="CQ136" s="787"/>
      <c r="CR136" s="787"/>
      <c r="CS136" s="787"/>
      <c r="CT136" s="787"/>
      <c r="CU136" s="787"/>
      <c r="CV136" s="787"/>
      <c r="CW136" s="787"/>
      <c r="CX136" s="787"/>
      <c r="CY136" s="787"/>
      <c r="CZ136" s="787"/>
      <c r="DA136" s="787"/>
      <c r="DB136" s="787"/>
      <c r="DC136" s="787"/>
      <c r="DD136" s="787"/>
      <c r="DE136" s="787"/>
      <c r="DF136" s="787"/>
      <c r="DG136" s="787"/>
      <c r="DH136" s="787"/>
      <c r="DI136" s="787"/>
      <c r="DJ136" s="787"/>
      <c r="DK136" s="787"/>
      <c r="DL136" s="787"/>
      <c r="DM136" s="787"/>
      <c r="DN136" s="787"/>
      <c r="DO136" s="787"/>
      <c r="DP136" s="787"/>
      <c r="DQ136" s="787"/>
      <c r="DR136" s="787"/>
      <c r="DS136" s="787"/>
      <c r="DT136" s="787"/>
      <c r="DU136" s="787"/>
      <c r="DV136" s="787"/>
      <c r="DW136" s="787"/>
      <c r="DX136" s="787"/>
      <c r="DY136" s="787"/>
      <c r="DZ136" s="787"/>
      <c r="EA136" s="787"/>
    </row>
    <row r="137" spans="1:131" ht="15.6">
      <c r="A137" s="782" t="s">
        <v>1431</v>
      </c>
      <c r="B137" s="782" t="s">
        <v>760</v>
      </c>
      <c r="C137" s="783">
        <v>3410</v>
      </c>
      <c r="D137" s="784" t="s">
        <v>761</v>
      </c>
      <c r="E137" s="785" t="s">
        <v>521</v>
      </c>
      <c r="F137" s="786">
        <v>46094</v>
      </c>
      <c r="G137" s="785" t="s">
        <v>5</v>
      </c>
      <c r="H137" s="785" t="s">
        <v>772</v>
      </c>
      <c r="I137" s="787">
        <v>1260523.5734834147</v>
      </c>
      <c r="J137" s="787">
        <v>0</v>
      </c>
      <c r="K137" s="787">
        <v>182302.59</v>
      </c>
      <c r="L137" s="787"/>
      <c r="M137" s="787">
        <v>90900</v>
      </c>
      <c r="N137" s="787">
        <v>57494.86</v>
      </c>
      <c r="O137" s="787"/>
      <c r="P137" s="787"/>
      <c r="Q137" s="787">
        <v>10688.063030000003</v>
      </c>
      <c r="R137" s="787"/>
      <c r="S137" s="787"/>
      <c r="T137" s="787"/>
      <c r="U137" s="787"/>
      <c r="V137" s="787"/>
      <c r="W137" s="787"/>
      <c r="X137" s="787">
        <f t="shared" si="6"/>
        <v>1601909.086513415</v>
      </c>
      <c r="Y137" s="787"/>
      <c r="Z137" s="787"/>
      <c r="AA137" s="787"/>
      <c r="AB137" s="787"/>
      <c r="AC137" s="787"/>
      <c r="AD137" s="787"/>
      <c r="AE137" s="787"/>
      <c r="AF137" s="787"/>
      <c r="AG137" s="787"/>
      <c r="AH137" s="787"/>
      <c r="AI137" s="787"/>
      <c r="AJ137" s="787"/>
      <c r="AK137" s="787"/>
      <c r="AL137" s="787"/>
      <c r="AM137" s="787"/>
      <c r="AN137" s="787"/>
      <c r="AO137" s="787">
        <v>3921.9700000000007</v>
      </c>
      <c r="AP137" s="787"/>
      <c r="AQ137" s="787"/>
      <c r="AR137" s="787"/>
      <c r="AS137" s="787"/>
      <c r="AT137" s="787"/>
      <c r="AU137" s="787"/>
      <c r="AV137" s="787"/>
      <c r="AW137" s="787"/>
      <c r="AX137" s="787"/>
      <c r="AY137" s="787"/>
      <c r="AZ137" s="787">
        <v>190.04</v>
      </c>
      <c r="BA137" s="787">
        <v>5139.75</v>
      </c>
      <c r="BB137" s="787"/>
      <c r="BC137" s="787"/>
      <c r="BD137" s="787"/>
      <c r="BE137" s="787">
        <v>5398.56</v>
      </c>
      <c r="BF137" s="787"/>
      <c r="BG137" s="787"/>
      <c r="BH137" s="787"/>
      <c r="BI137" s="787"/>
      <c r="BJ137" s="787">
        <f t="shared" si="7"/>
        <v>14650.320000000003</v>
      </c>
      <c r="BK137" s="787"/>
      <c r="BL137" s="787"/>
      <c r="BM137" s="787"/>
      <c r="BN137" s="787">
        <v>0</v>
      </c>
      <c r="BO137" s="787"/>
      <c r="BP137" s="787"/>
      <c r="BQ137" s="787">
        <f t="shared" si="8"/>
        <v>0</v>
      </c>
      <c r="BR137" s="787"/>
      <c r="BS137" s="787"/>
      <c r="BT137" s="787"/>
      <c r="BU137" s="787"/>
      <c r="BV137" s="787"/>
      <c r="BW137" s="787"/>
      <c r="BX137" s="787"/>
      <c r="BY137" s="787"/>
      <c r="BZ137" s="787"/>
      <c r="CA137" s="787"/>
      <c r="CB137" s="787"/>
      <c r="CC137" s="787"/>
      <c r="CD137" s="787"/>
      <c r="CE137" s="787"/>
      <c r="CF137" s="787"/>
      <c r="CG137" s="787"/>
      <c r="CH137" s="787"/>
      <c r="CI137" s="787"/>
      <c r="CJ137" s="787"/>
      <c r="CK137" s="787"/>
      <c r="CL137" s="787"/>
      <c r="CM137" s="787"/>
      <c r="CN137" s="787"/>
      <c r="CO137" s="787"/>
      <c r="CP137" s="787"/>
      <c r="CQ137" s="787"/>
      <c r="CR137" s="787"/>
      <c r="CS137" s="787"/>
      <c r="CT137" s="787"/>
      <c r="CU137" s="787"/>
      <c r="CV137" s="787"/>
      <c r="CW137" s="787"/>
      <c r="CX137" s="787"/>
      <c r="CY137" s="787"/>
      <c r="CZ137" s="787"/>
      <c r="DA137" s="787"/>
      <c r="DB137" s="787"/>
      <c r="DC137" s="787"/>
      <c r="DD137" s="787"/>
      <c r="DE137" s="787"/>
      <c r="DF137" s="787"/>
      <c r="DG137" s="787"/>
      <c r="DH137" s="787"/>
      <c r="DI137" s="787"/>
      <c r="DJ137" s="787"/>
      <c r="DK137" s="787"/>
      <c r="DL137" s="787"/>
      <c r="DM137" s="787"/>
      <c r="DN137" s="787"/>
      <c r="DO137" s="787"/>
      <c r="DP137" s="787"/>
      <c r="DQ137" s="787"/>
      <c r="DR137" s="787"/>
      <c r="DS137" s="787"/>
      <c r="DT137" s="787"/>
      <c r="DU137" s="787"/>
      <c r="DV137" s="787"/>
      <c r="DW137" s="787"/>
      <c r="DX137" s="787"/>
      <c r="DY137" s="787"/>
      <c r="DZ137" s="787"/>
      <c r="EA137" s="787"/>
    </row>
    <row r="138" spans="1:131" ht="15.6">
      <c r="A138" s="782" t="s">
        <v>1432</v>
      </c>
      <c r="B138" s="782" t="s">
        <v>762</v>
      </c>
      <c r="C138" s="783">
        <v>3381</v>
      </c>
      <c r="D138" s="784" t="s">
        <v>763</v>
      </c>
      <c r="E138" s="785" t="s">
        <v>521</v>
      </c>
      <c r="F138" s="786" t="s">
        <v>1305</v>
      </c>
      <c r="G138" s="785" t="s">
        <v>5</v>
      </c>
      <c r="H138" s="785" t="s">
        <v>774</v>
      </c>
      <c r="I138" s="787">
        <v>1207972.3556819907</v>
      </c>
      <c r="J138" s="787">
        <v>0</v>
      </c>
      <c r="K138" s="787">
        <v>58934.896666666667</v>
      </c>
      <c r="L138" s="787"/>
      <c r="M138" s="787">
        <v>98025</v>
      </c>
      <c r="N138" s="787">
        <v>44289</v>
      </c>
      <c r="O138" s="787"/>
      <c r="P138" s="787"/>
      <c r="Q138" s="787">
        <v>0</v>
      </c>
      <c r="R138" s="787"/>
      <c r="S138" s="787"/>
      <c r="T138" s="787"/>
      <c r="U138" s="787"/>
      <c r="V138" s="787"/>
      <c r="W138" s="787"/>
      <c r="X138" s="787">
        <f t="shared" si="6"/>
        <v>1409221.2523486575</v>
      </c>
      <c r="Y138" s="787"/>
      <c r="Z138" s="787"/>
      <c r="AA138" s="787"/>
      <c r="AB138" s="787"/>
      <c r="AC138" s="787"/>
      <c r="AD138" s="787"/>
      <c r="AE138" s="787"/>
      <c r="AF138" s="787"/>
      <c r="AG138" s="787"/>
      <c r="AH138" s="787"/>
      <c r="AI138" s="787"/>
      <c r="AJ138" s="787"/>
      <c r="AK138" s="787"/>
      <c r="AL138" s="787"/>
      <c r="AM138" s="787"/>
      <c r="AN138" s="787"/>
      <c r="AO138" s="787">
        <v>3974.9800000000009</v>
      </c>
      <c r="AP138" s="787"/>
      <c r="AQ138" s="787"/>
      <c r="AR138" s="787"/>
      <c r="AS138" s="787"/>
      <c r="AT138" s="787"/>
      <c r="AU138" s="787"/>
      <c r="AV138" s="787"/>
      <c r="AW138" s="787"/>
      <c r="AX138" s="787"/>
      <c r="AY138" s="787"/>
      <c r="AZ138" s="787">
        <v>0</v>
      </c>
      <c r="BA138" s="787">
        <v>0</v>
      </c>
      <c r="BB138" s="787"/>
      <c r="BC138" s="787"/>
      <c r="BD138" s="787"/>
      <c r="BE138" s="787">
        <v>5398.56</v>
      </c>
      <c r="BF138" s="787"/>
      <c r="BG138" s="787"/>
      <c r="BH138" s="787"/>
      <c r="BI138" s="787"/>
      <c r="BJ138" s="787">
        <f t="shared" si="7"/>
        <v>9373.5400000000009</v>
      </c>
      <c r="BK138" s="787"/>
      <c r="BL138" s="787"/>
      <c r="BM138" s="787"/>
      <c r="BN138" s="787">
        <v>0</v>
      </c>
      <c r="BO138" s="787"/>
      <c r="BP138" s="787"/>
      <c r="BQ138" s="787">
        <f t="shared" si="8"/>
        <v>0</v>
      </c>
      <c r="BR138" s="787"/>
      <c r="BS138" s="787"/>
      <c r="BT138" s="787"/>
      <c r="BU138" s="787"/>
      <c r="BV138" s="787"/>
      <c r="BW138" s="787"/>
      <c r="BX138" s="787"/>
      <c r="BY138" s="787"/>
      <c r="BZ138" s="787"/>
      <c r="CA138" s="787"/>
      <c r="CB138" s="787"/>
      <c r="CC138" s="787"/>
      <c r="CD138" s="787"/>
      <c r="CE138" s="787"/>
      <c r="CF138" s="787"/>
      <c r="CG138" s="787"/>
      <c r="CH138" s="787"/>
      <c r="CI138" s="787"/>
      <c r="CJ138" s="787"/>
      <c r="CK138" s="787"/>
      <c r="CL138" s="787"/>
      <c r="CM138" s="787"/>
      <c r="CN138" s="787"/>
      <c r="CO138" s="787"/>
      <c r="CP138" s="787"/>
      <c r="CQ138" s="787"/>
      <c r="CR138" s="787"/>
      <c r="CS138" s="787"/>
      <c r="CT138" s="787"/>
      <c r="CU138" s="787"/>
      <c r="CV138" s="787"/>
      <c r="CW138" s="787"/>
      <c r="CX138" s="787"/>
      <c r="CY138" s="787"/>
      <c r="CZ138" s="787"/>
      <c r="DA138" s="787"/>
      <c r="DB138" s="787"/>
      <c r="DC138" s="787"/>
      <c r="DD138" s="787"/>
      <c r="DE138" s="787"/>
      <c r="DF138" s="787"/>
      <c r="DG138" s="787"/>
      <c r="DH138" s="787"/>
      <c r="DI138" s="787"/>
      <c r="DJ138" s="787"/>
      <c r="DK138" s="787"/>
      <c r="DL138" s="787"/>
      <c r="DM138" s="787"/>
      <c r="DN138" s="787"/>
      <c r="DO138" s="787"/>
      <c r="DP138" s="787"/>
      <c r="DQ138" s="787"/>
      <c r="DR138" s="787"/>
      <c r="DS138" s="787"/>
      <c r="DT138" s="787"/>
      <c r="DU138" s="787"/>
      <c r="DV138" s="787"/>
      <c r="DW138" s="787"/>
      <c r="DX138" s="787"/>
      <c r="DY138" s="787"/>
      <c r="DZ138" s="787"/>
      <c r="EA138" s="787"/>
    </row>
    <row r="139" spans="1:131" ht="15.6">
      <c r="A139" s="782" t="s">
        <v>1433</v>
      </c>
      <c r="B139" s="782" t="s">
        <v>764</v>
      </c>
      <c r="C139" s="783">
        <v>3335</v>
      </c>
      <c r="D139" s="784" t="s">
        <v>765</v>
      </c>
      <c r="E139" s="785" t="s">
        <v>521</v>
      </c>
      <c r="F139" s="786">
        <v>46094</v>
      </c>
      <c r="G139" s="785" t="s">
        <v>5</v>
      </c>
      <c r="H139" s="785" t="s">
        <v>776</v>
      </c>
      <c r="I139" s="787">
        <v>1415586.8513580486</v>
      </c>
      <c r="J139" s="787">
        <v>0</v>
      </c>
      <c r="K139" s="787">
        <v>92119.736666666664</v>
      </c>
      <c r="L139" s="787"/>
      <c r="M139" s="787">
        <v>193920</v>
      </c>
      <c r="N139" s="787">
        <v>35725</v>
      </c>
      <c r="O139" s="787"/>
      <c r="P139" s="787"/>
      <c r="Q139" s="787">
        <v>2175.9499999999998</v>
      </c>
      <c r="R139" s="787"/>
      <c r="S139" s="787"/>
      <c r="T139" s="787"/>
      <c r="U139" s="787"/>
      <c r="V139" s="787"/>
      <c r="W139" s="787"/>
      <c r="X139" s="787">
        <f t="shared" si="6"/>
        <v>1739527.5380247151</v>
      </c>
      <c r="Y139" s="787"/>
      <c r="Z139" s="787"/>
      <c r="AA139" s="787"/>
      <c r="AB139" s="787"/>
      <c r="AC139" s="787"/>
      <c r="AD139" s="787"/>
      <c r="AE139" s="787"/>
      <c r="AF139" s="787"/>
      <c r="AG139" s="787"/>
      <c r="AH139" s="787"/>
      <c r="AI139" s="787"/>
      <c r="AJ139" s="787"/>
      <c r="AK139" s="787"/>
      <c r="AL139" s="787"/>
      <c r="AM139" s="787"/>
      <c r="AN139" s="787"/>
      <c r="AO139" s="787">
        <v>5246.9600000000019</v>
      </c>
      <c r="AP139" s="787"/>
      <c r="AQ139" s="787"/>
      <c r="AR139" s="787"/>
      <c r="AS139" s="787"/>
      <c r="AT139" s="787"/>
      <c r="AU139" s="787"/>
      <c r="AV139" s="787"/>
      <c r="AW139" s="787"/>
      <c r="AX139" s="787"/>
      <c r="AY139" s="787"/>
      <c r="AZ139" s="787">
        <v>134.31</v>
      </c>
      <c r="BA139" s="787">
        <v>5139.75</v>
      </c>
      <c r="BB139" s="787"/>
      <c r="BC139" s="787"/>
      <c r="BD139" s="787"/>
      <c r="BE139" s="787">
        <v>5320.32</v>
      </c>
      <c r="BF139" s="787"/>
      <c r="BG139" s="787"/>
      <c r="BH139" s="787"/>
      <c r="BI139" s="787"/>
      <c r="BJ139" s="787">
        <f t="shared" si="7"/>
        <v>15841.340000000002</v>
      </c>
      <c r="BK139" s="787"/>
      <c r="BL139" s="787"/>
      <c r="BM139" s="787"/>
      <c r="BN139" s="787">
        <v>0</v>
      </c>
      <c r="BO139" s="787"/>
      <c r="BP139" s="787"/>
      <c r="BQ139" s="787">
        <f t="shared" si="8"/>
        <v>0</v>
      </c>
      <c r="BR139" s="787"/>
      <c r="BS139" s="787"/>
      <c r="BT139" s="787"/>
      <c r="BU139" s="787"/>
      <c r="BV139" s="787"/>
      <c r="BW139" s="787"/>
      <c r="BX139" s="787"/>
      <c r="BY139" s="787"/>
      <c r="BZ139" s="787"/>
      <c r="CA139" s="787"/>
      <c r="CB139" s="787"/>
      <c r="CC139" s="787"/>
      <c r="CD139" s="787"/>
      <c r="CE139" s="787"/>
      <c r="CF139" s="787"/>
      <c r="CG139" s="787"/>
      <c r="CH139" s="787"/>
      <c r="CI139" s="787"/>
      <c r="CJ139" s="787"/>
      <c r="CK139" s="787"/>
      <c r="CL139" s="787"/>
      <c r="CM139" s="787"/>
      <c r="CN139" s="787"/>
      <c r="CO139" s="787"/>
      <c r="CP139" s="787"/>
      <c r="CQ139" s="787"/>
      <c r="CR139" s="787"/>
      <c r="CS139" s="787"/>
      <c r="CT139" s="787"/>
      <c r="CU139" s="787"/>
      <c r="CV139" s="787"/>
      <c r="CW139" s="787"/>
      <c r="CX139" s="787"/>
      <c r="CY139" s="787"/>
      <c r="CZ139" s="787"/>
      <c r="DA139" s="787"/>
      <c r="DB139" s="787"/>
      <c r="DC139" s="787"/>
      <c r="DD139" s="787"/>
      <c r="DE139" s="787"/>
      <c r="DF139" s="787"/>
      <c r="DG139" s="787"/>
      <c r="DH139" s="787"/>
      <c r="DI139" s="787"/>
      <c r="DJ139" s="787"/>
      <c r="DK139" s="787"/>
      <c r="DL139" s="787"/>
      <c r="DM139" s="787"/>
      <c r="DN139" s="787"/>
      <c r="DO139" s="787"/>
      <c r="DP139" s="787"/>
      <c r="DQ139" s="787"/>
      <c r="DR139" s="787"/>
      <c r="DS139" s="787"/>
      <c r="DT139" s="787"/>
      <c r="DU139" s="787"/>
      <c r="DV139" s="787"/>
      <c r="DW139" s="787"/>
      <c r="DX139" s="787"/>
      <c r="DY139" s="787"/>
      <c r="DZ139" s="787"/>
      <c r="EA139" s="787"/>
    </row>
    <row r="140" spans="1:131" ht="15.6">
      <c r="A140" s="782" t="s">
        <v>1434</v>
      </c>
      <c r="B140" s="782" t="s">
        <v>766</v>
      </c>
      <c r="C140" s="783">
        <v>2183</v>
      </c>
      <c r="D140" s="784" t="s">
        <v>767</v>
      </c>
      <c r="E140" s="785" t="s">
        <v>521</v>
      </c>
      <c r="F140" s="786">
        <v>46094</v>
      </c>
      <c r="G140" s="785" t="s">
        <v>5</v>
      </c>
      <c r="H140" s="785" t="s">
        <v>778</v>
      </c>
      <c r="I140" s="787">
        <v>2467604.3765575271</v>
      </c>
      <c r="J140" s="787">
        <v>0</v>
      </c>
      <c r="K140" s="787">
        <v>311040.14999999997</v>
      </c>
      <c r="L140" s="787"/>
      <c r="M140" s="787">
        <v>286335</v>
      </c>
      <c r="N140" s="787">
        <v>65267.25</v>
      </c>
      <c r="O140" s="787"/>
      <c r="P140" s="787"/>
      <c r="Q140" s="787">
        <v>0</v>
      </c>
      <c r="R140" s="787"/>
      <c r="S140" s="787"/>
      <c r="T140" s="787"/>
      <c r="U140" s="787"/>
      <c r="V140" s="787"/>
      <c r="W140" s="787"/>
      <c r="X140" s="787">
        <f t="shared" si="6"/>
        <v>3130246.776557527</v>
      </c>
      <c r="Y140" s="787"/>
      <c r="Z140" s="787"/>
      <c r="AA140" s="787"/>
      <c r="AB140" s="787"/>
      <c r="AC140" s="787"/>
      <c r="AD140" s="787"/>
      <c r="AE140" s="787"/>
      <c r="AF140" s="787"/>
      <c r="AG140" s="787"/>
      <c r="AH140" s="787"/>
      <c r="AI140" s="787"/>
      <c r="AJ140" s="787"/>
      <c r="AK140" s="787"/>
      <c r="AL140" s="787"/>
      <c r="AM140" s="787"/>
      <c r="AN140" s="787"/>
      <c r="AO140" s="787">
        <v>37394.07</v>
      </c>
      <c r="AP140" s="787"/>
      <c r="AQ140" s="787"/>
      <c r="AR140" s="787"/>
      <c r="AS140" s="787"/>
      <c r="AT140" s="787"/>
      <c r="AU140" s="787"/>
      <c r="AV140" s="787"/>
      <c r="AW140" s="787"/>
      <c r="AX140" s="787"/>
      <c r="AY140" s="787"/>
      <c r="AZ140" s="787">
        <v>0</v>
      </c>
      <c r="BA140" s="787">
        <v>9471</v>
      </c>
      <c r="BB140" s="787"/>
      <c r="BC140" s="787"/>
      <c r="BD140" s="787"/>
      <c r="BE140" s="787">
        <v>8919.3599999999988</v>
      </c>
      <c r="BF140" s="787"/>
      <c r="BG140" s="787"/>
      <c r="BH140" s="787"/>
      <c r="BI140" s="787"/>
      <c r="BJ140" s="787">
        <f t="shared" si="7"/>
        <v>55784.43</v>
      </c>
      <c r="BK140" s="787"/>
      <c r="BL140" s="787"/>
      <c r="BM140" s="787"/>
      <c r="BN140" s="787">
        <v>8061.25</v>
      </c>
      <c r="BO140" s="787"/>
      <c r="BP140" s="787"/>
      <c r="BQ140" s="787">
        <f t="shared" si="8"/>
        <v>8061.25</v>
      </c>
      <c r="BR140" s="787"/>
      <c r="BS140" s="787"/>
      <c r="BT140" s="787"/>
      <c r="BU140" s="787"/>
      <c r="BV140" s="787"/>
      <c r="BW140" s="787"/>
      <c r="BX140" s="787"/>
      <c r="BY140" s="787"/>
      <c r="BZ140" s="787"/>
      <c r="CA140" s="787"/>
      <c r="CB140" s="787"/>
      <c r="CC140" s="787"/>
      <c r="CD140" s="787"/>
      <c r="CE140" s="787"/>
      <c r="CF140" s="787"/>
      <c r="CG140" s="787"/>
      <c r="CH140" s="787"/>
      <c r="CI140" s="787"/>
      <c r="CJ140" s="787"/>
      <c r="CK140" s="787"/>
      <c r="CL140" s="787"/>
      <c r="CM140" s="787"/>
      <c r="CN140" s="787"/>
      <c r="CO140" s="787"/>
      <c r="CP140" s="787"/>
      <c r="CQ140" s="787"/>
      <c r="CR140" s="787"/>
      <c r="CS140" s="787"/>
      <c r="CT140" s="787"/>
      <c r="CU140" s="787"/>
      <c r="CV140" s="787"/>
      <c r="CW140" s="787"/>
      <c r="CX140" s="787"/>
      <c r="CY140" s="787"/>
      <c r="CZ140" s="787"/>
      <c r="DA140" s="787"/>
      <c r="DB140" s="787"/>
      <c r="DC140" s="787"/>
      <c r="DD140" s="787"/>
      <c r="DE140" s="787"/>
      <c r="DF140" s="787"/>
      <c r="DG140" s="787"/>
      <c r="DH140" s="787"/>
      <c r="DI140" s="787"/>
      <c r="DJ140" s="787"/>
      <c r="DK140" s="787"/>
      <c r="DL140" s="787"/>
      <c r="DM140" s="787"/>
      <c r="DN140" s="787"/>
      <c r="DO140" s="787"/>
      <c r="DP140" s="787"/>
      <c r="DQ140" s="787"/>
      <c r="DR140" s="787"/>
      <c r="DS140" s="787"/>
      <c r="DT140" s="787"/>
      <c r="DU140" s="787"/>
      <c r="DV140" s="787"/>
      <c r="DW140" s="787"/>
      <c r="DX140" s="787"/>
      <c r="DY140" s="787"/>
      <c r="DZ140" s="787"/>
      <c r="EA140" s="787"/>
    </row>
    <row r="141" spans="1:131" ht="15.6">
      <c r="A141" s="782" t="s">
        <v>1435</v>
      </c>
      <c r="B141" s="782" t="s">
        <v>768</v>
      </c>
      <c r="C141" s="783">
        <v>3372</v>
      </c>
      <c r="D141" s="784" t="s">
        <v>769</v>
      </c>
      <c r="E141" s="785" t="s">
        <v>521</v>
      </c>
      <c r="F141" s="786">
        <v>46094</v>
      </c>
      <c r="G141" s="785" t="s">
        <v>5</v>
      </c>
      <c r="H141" s="785" t="s">
        <v>780</v>
      </c>
      <c r="I141" s="787">
        <v>3396447.9361720365</v>
      </c>
      <c r="J141" s="787">
        <v>0</v>
      </c>
      <c r="K141" s="787">
        <v>160300.96333333332</v>
      </c>
      <c r="L141" s="787"/>
      <c r="M141" s="787">
        <v>390470</v>
      </c>
      <c r="N141" s="787">
        <v>86206.79</v>
      </c>
      <c r="O141" s="787"/>
      <c r="P141" s="787"/>
      <c r="Q141" s="787">
        <v>21197.136849999948</v>
      </c>
      <c r="R141" s="787"/>
      <c r="S141" s="787"/>
      <c r="T141" s="787"/>
      <c r="U141" s="787"/>
      <c r="V141" s="787"/>
      <c r="W141" s="787"/>
      <c r="X141" s="787">
        <f t="shared" si="6"/>
        <v>4054622.8263553698</v>
      </c>
      <c r="Y141" s="787"/>
      <c r="Z141" s="787"/>
      <c r="AA141" s="787"/>
      <c r="AB141" s="787"/>
      <c r="AC141" s="787"/>
      <c r="AD141" s="787"/>
      <c r="AE141" s="787"/>
      <c r="AF141" s="787"/>
      <c r="AG141" s="787"/>
      <c r="AH141" s="787"/>
      <c r="AI141" s="787"/>
      <c r="AJ141" s="787"/>
      <c r="AK141" s="787"/>
      <c r="AL141" s="787"/>
      <c r="AM141" s="787"/>
      <c r="AN141" s="787"/>
      <c r="AO141" s="787">
        <v>5776.9599999999991</v>
      </c>
      <c r="AP141" s="787"/>
      <c r="AQ141" s="787"/>
      <c r="AR141" s="787"/>
      <c r="AS141" s="787"/>
      <c r="AT141" s="787"/>
      <c r="AU141" s="787"/>
      <c r="AV141" s="787"/>
      <c r="AW141" s="787"/>
      <c r="AX141" s="787"/>
      <c r="AY141" s="787"/>
      <c r="AZ141" s="787">
        <v>114.78999999999999</v>
      </c>
      <c r="BA141" s="787">
        <v>0</v>
      </c>
      <c r="BB141" s="787"/>
      <c r="BC141" s="787"/>
      <c r="BD141" s="787"/>
      <c r="BE141" s="787">
        <v>14161.439999999995</v>
      </c>
      <c r="BF141" s="787"/>
      <c r="BG141" s="787"/>
      <c r="BH141" s="787"/>
      <c r="BI141" s="787"/>
      <c r="BJ141" s="787">
        <f t="shared" si="7"/>
        <v>20053.189999999995</v>
      </c>
      <c r="BK141" s="787"/>
      <c r="BL141" s="787"/>
      <c r="BM141" s="787"/>
      <c r="BN141" s="787">
        <v>0</v>
      </c>
      <c r="BO141" s="787"/>
      <c r="BP141" s="787"/>
      <c r="BQ141" s="787">
        <f t="shared" si="8"/>
        <v>0</v>
      </c>
      <c r="BR141" s="787"/>
      <c r="BS141" s="787"/>
      <c r="BT141" s="787"/>
      <c r="BU141" s="787"/>
      <c r="BV141" s="787"/>
      <c r="BW141" s="787"/>
      <c r="BX141" s="787"/>
      <c r="BY141" s="787"/>
      <c r="BZ141" s="787"/>
      <c r="CA141" s="787"/>
      <c r="CB141" s="787"/>
      <c r="CC141" s="787"/>
      <c r="CD141" s="787"/>
      <c r="CE141" s="787"/>
      <c r="CF141" s="787"/>
      <c r="CG141" s="787"/>
      <c r="CH141" s="787"/>
      <c r="CI141" s="787"/>
      <c r="CJ141" s="787"/>
      <c r="CK141" s="787"/>
      <c r="CL141" s="787"/>
      <c r="CM141" s="787"/>
      <c r="CN141" s="787"/>
      <c r="CO141" s="787"/>
      <c r="CP141" s="787"/>
      <c r="CQ141" s="787"/>
      <c r="CR141" s="787"/>
      <c r="CS141" s="787"/>
      <c r="CT141" s="787"/>
      <c r="CU141" s="787"/>
      <c r="CV141" s="787"/>
      <c r="CW141" s="787"/>
      <c r="CX141" s="787"/>
      <c r="CY141" s="787"/>
      <c r="CZ141" s="787"/>
      <c r="DA141" s="787"/>
      <c r="DB141" s="787"/>
      <c r="DC141" s="787"/>
      <c r="DD141" s="787"/>
      <c r="DE141" s="787"/>
      <c r="DF141" s="787"/>
      <c r="DG141" s="787"/>
      <c r="DH141" s="787"/>
      <c r="DI141" s="787"/>
      <c r="DJ141" s="787"/>
      <c r="DK141" s="787"/>
      <c r="DL141" s="787"/>
      <c r="DM141" s="787"/>
      <c r="DN141" s="787"/>
      <c r="DO141" s="787"/>
      <c r="DP141" s="787"/>
      <c r="DQ141" s="787"/>
      <c r="DR141" s="787"/>
      <c r="DS141" s="787"/>
      <c r="DT141" s="787"/>
      <c r="DU141" s="787"/>
      <c r="DV141" s="787"/>
      <c r="DW141" s="787"/>
      <c r="DX141" s="787"/>
      <c r="DY141" s="787"/>
      <c r="DZ141" s="787"/>
      <c r="EA141" s="787"/>
    </row>
    <row r="142" spans="1:131" ht="15.6">
      <c r="A142" s="782" t="s">
        <v>1436</v>
      </c>
      <c r="B142" s="782" t="s">
        <v>770</v>
      </c>
      <c r="C142" s="783">
        <v>3375</v>
      </c>
      <c r="D142" s="784" t="s">
        <v>771</v>
      </c>
      <c r="E142" s="785" t="s">
        <v>521</v>
      </c>
      <c r="F142" s="786">
        <v>46100</v>
      </c>
      <c r="G142" s="785" t="s">
        <v>5</v>
      </c>
      <c r="H142" s="785" t="s">
        <v>782</v>
      </c>
      <c r="I142" s="787">
        <v>2324198.3451499776</v>
      </c>
      <c r="J142" s="787">
        <v>0</v>
      </c>
      <c r="K142" s="787">
        <v>122142.99666666666</v>
      </c>
      <c r="L142" s="787"/>
      <c r="M142" s="787">
        <v>215130</v>
      </c>
      <c r="N142" s="787">
        <v>74551.64</v>
      </c>
      <c r="O142" s="787"/>
      <c r="P142" s="787"/>
      <c r="Q142" s="787">
        <v>0</v>
      </c>
      <c r="R142" s="787"/>
      <c r="S142" s="787"/>
      <c r="T142" s="787"/>
      <c r="U142" s="787"/>
      <c r="V142" s="787"/>
      <c r="W142" s="787"/>
      <c r="X142" s="787">
        <f t="shared" si="6"/>
        <v>2736022.9818166443</v>
      </c>
      <c r="Y142" s="787"/>
      <c r="Z142" s="787"/>
      <c r="AA142" s="787"/>
      <c r="AB142" s="787"/>
      <c r="AC142" s="787"/>
      <c r="AD142" s="787"/>
      <c r="AE142" s="787"/>
      <c r="AF142" s="787"/>
      <c r="AG142" s="787"/>
      <c r="AH142" s="787"/>
      <c r="AI142" s="787"/>
      <c r="AJ142" s="787"/>
      <c r="AK142" s="787"/>
      <c r="AL142" s="787"/>
      <c r="AM142" s="787"/>
      <c r="AN142" s="787"/>
      <c r="AO142" s="787">
        <v>3789.4699999999989</v>
      </c>
      <c r="AP142" s="787"/>
      <c r="AQ142" s="787"/>
      <c r="AR142" s="787"/>
      <c r="AS142" s="787"/>
      <c r="AT142" s="787"/>
      <c r="AU142" s="787"/>
      <c r="AV142" s="787"/>
      <c r="AW142" s="787"/>
      <c r="AX142" s="787"/>
      <c r="AY142" s="787"/>
      <c r="AZ142" s="787">
        <v>0</v>
      </c>
      <c r="BA142" s="787">
        <v>9471</v>
      </c>
      <c r="BB142" s="787"/>
      <c r="BC142" s="787"/>
      <c r="BD142" s="787"/>
      <c r="BE142" s="787">
        <v>10666.72</v>
      </c>
      <c r="BF142" s="787"/>
      <c r="BG142" s="787"/>
      <c r="BH142" s="787"/>
      <c r="BI142" s="787"/>
      <c r="BJ142" s="787">
        <f t="shared" si="7"/>
        <v>23927.19</v>
      </c>
      <c r="BK142" s="787"/>
      <c r="BL142" s="787"/>
      <c r="BM142" s="787"/>
      <c r="BN142" s="787">
        <v>0</v>
      </c>
      <c r="BO142" s="787"/>
      <c r="BP142" s="787"/>
      <c r="BQ142" s="787">
        <f t="shared" si="8"/>
        <v>0</v>
      </c>
      <c r="BR142" s="787"/>
      <c r="BS142" s="787"/>
      <c r="BT142" s="787"/>
      <c r="BU142" s="787"/>
      <c r="BV142" s="787"/>
      <c r="BW142" s="787"/>
      <c r="BX142" s="787"/>
      <c r="BY142" s="787"/>
      <c r="BZ142" s="787"/>
      <c r="CA142" s="787"/>
      <c r="CB142" s="787"/>
      <c r="CC142" s="787"/>
      <c r="CD142" s="787"/>
      <c r="CE142" s="787"/>
      <c r="CF142" s="787"/>
      <c r="CG142" s="787"/>
      <c r="CH142" s="787"/>
      <c r="CI142" s="787"/>
      <c r="CJ142" s="787"/>
      <c r="CK142" s="787"/>
      <c r="CL142" s="787"/>
      <c r="CM142" s="787"/>
      <c r="CN142" s="787"/>
      <c r="CO142" s="787"/>
      <c r="CP142" s="787"/>
      <c r="CQ142" s="787"/>
      <c r="CR142" s="787"/>
      <c r="CS142" s="787"/>
      <c r="CT142" s="787"/>
      <c r="CU142" s="787"/>
      <c r="CV142" s="787"/>
      <c r="CW142" s="787"/>
      <c r="CX142" s="787"/>
      <c r="CY142" s="787"/>
      <c r="CZ142" s="787"/>
      <c r="DA142" s="787"/>
      <c r="DB142" s="787"/>
      <c r="DC142" s="787"/>
      <c r="DD142" s="787"/>
      <c r="DE142" s="787"/>
      <c r="DF142" s="787"/>
      <c r="DG142" s="787"/>
      <c r="DH142" s="787"/>
      <c r="DI142" s="787"/>
      <c r="DJ142" s="787"/>
      <c r="DK142" s="787"/>
      <c r="DL142" s="787"/>
      <c r="DM142" s="787"/>
      <c r="DN142" s="787"/>
      <c r="DO142" s="787"/>
      <c r="DP142" s="787"/>
      <c r="DQ142" s="787"/>
      <c r="DR142" s="787"/>
      <c r="DS142" s="787"/>
      <c r="DT142" s="787"/>
      <c r="DU142" s="787"/>
      <c r="DV142" s="787"/>
      <c r="DW142" s="787"/>
      <c r="DX142" s="787"/>
      <c r="DY142" s="787"/>
      <c r="DZ142" s="787"/>
      <c r="EA142" s="787"/>
    </row>
    <row r="143" spans="1:131" ht="15.6">
      <c r="A143" s="782" t="s">
        <v>1437</v>
      </c>
      <c r="B143" s="782" t="s">
        <v>772</v>
      </c>
      <c r="C143" s="783">
        <v>3331</v>
      </c>
      <c r="D143" s="784" t="s">
        <v>773</v>
      </c>
      <c r="E143" s="785" t="s">
        <v>521</v>
      </c>
      <c r="F143" s="786" t="s">
        <v>1315</v>
      </c>
      <c r="G143" s="785" t="s">
        <v>5</v>
      </c>
      <c r="H143" s="785" t="s">
        <v>784</v>
      </c>
      <c r="I143" s="787">
        <v>1487791.2906678712</v>
      </c>
      <c r="J143" s="787">
        <v>0</v>
      </c>
      <c r="K143" s="787">
        <v>75077.396666666667</v>
      </c>
      <c r="L143" s="787"/>
      <c r="M143" s="787">
        <v>116255</v>
      </c>
      <c r="N143" s="787">
        <v>48400.86</v>
      </c>
      <c r="O143" s="787"/>
      <c r="P143" s="787"/>
      <c r="Q143" s="787">
        <v>5593.6393449999832</v>
      </c>
      <c r="R143" s="787"/>
      <c r="S143" s="787"/>
      <c r="T143" s="787"/>
      <c r="U143" s="787"/>
      <c r="V143" s="787"/>
      <c r="W143" s="787"/>
      <c r="X143" s="787">
        <f t="shared" si="6"/>
        <v>1733118.1866795381</v>
      </c>
      <c r="Y143" s="787"/>
      <c r="Z143" s="787"/>
      <c r="AA143" s="787"/>
      <c r="AB143" s="787"/>
      <c r="AC143" s="787"/>
      <c r="AD143" s="787"/>
      <c r="AE143" s="787"/>
      <c r="AF143" s="787"/>
      <c r="AG143" s="787"/>
      <c r="AH143" s="787"/>
      <c r="AI143" s="787"/>
      <c r="AJ143" s="787"/>
      <c r="AK143" s="787"/>
      <c r="AL143" s="787"/>
      <c r="AM143" s="787"/>
      <c r="AN143" s="787"/>
      <c r="AO143" s="787">
        <v>8213.56</v>
      </c>
      <c r="AP143" s="787"/>
      <c r="AQ143" s="787"/>
      <c r="AR143" s="787"/>
      <c r="AS143" s="787"/>
      <c r="AT143" s="787"/>
      <c r="AU143" s="787"/>
      <c r="AV143" s="787"/>
      <c r="AW143" s="787"/>
      <c r="AX143" s="787"/>
      <c r="AY143" s="787"/>
      <c r="AZ143" s="787">
        <v>115.00000000000004</v>
      </c>
      <c r="BA143" s="787">
        <v>0</v>
      </c>
      <c r="BB143" s="787"/>
      <c r="BC143" s="787"/>
      <c r="BD143" s="787"/>
      <c r="BE143" s="787">
        <v>5502.880000000001</v>
      </c>
      <c r="BF143" s="787"/>
      <c r="BG143" s="787"/>
      <c r="BH143" s="787"/>
      <c r="BI143" s="787"/>
      <c r="BJ143" s="787">
        <f t="shared" si="7"/>
        <v>13831.44</v>
      </c>
      <c r="BK143" s="787"/>
      <c r="BL143" s="787"/>
      <c r="BM143" s="787"/>
      <c r="BN143" s="787">
        <v>0</v>
      </c>
      <c r="BO143" s="787"/>
      <c r="BP143" s="787"/>
      <c r="BQ143" s="787">
        <f t="shared" si="8"/>
        <v>0</v>
      </c>
      <c r="BR143" s="787"/>
      <c r="BS143" s="787"/>
      <c r="BT143" s="787"/>
      <c r="BU143" s="787"/>
      <c r="BV143" s="787"/>
      <c r="BW143" s="787"/>
      <c r="BX143" s="787"/>
      <c r="BY143" s="787"/>
      <c r="BZ143" s="787"/>
      <c r="CA143" s="787"/>
      <c r="CB143" s="787"/>
      <c r="CC143" s="787"/>
      <c r="CD143" s="787"/>
      <c r="CE143" s="787"/>
      <c r="CF143" s="787"/>
      <c r="CG143" s="787"/>
      <c r="CH143" s="787"/>
      <c r="CI143" s="787"/>
      <c r="CJ143" s="787"/>
      <c r="CK143" s="787"/>
      <c r="CL143" s="787"/>
      <c r="CM143" s="787"/>
      <c r="CN143" s="787"/>
      <c r="CO143" s="787"/>
      <c r="CP143" s="787"/>
      <c r="CQ143" s="787"/>
      <c r="CR143" s="787"/>
      <c r="CS143" s="787"/>
      <c r="CT143" s="787"/>
      <c r="CU143" s="787"/>
      <c r="CV143" s="787"/>
      <c r="CW143" s="787"/>
      <c r="CX143" s="787"/>
      <c r="CY143" s="787"/>
      <c r="CZ143" s="787"/>
      <c r="DA143" s="787"/>
      <c r="DB143" s="787"/>
      <c r="DC143" s="787"/>
      <c r="DD143" s="787"/>
      <c r="DE143" s="787"/>
      <c r="DF143" s="787"/>
      <c r="DG143" s="787"/>
      <c r="DH143" s="787"/>
      <c r="DI143" s="787"/>
      <c r="DJ143" s="787"/>
      <c r="DK143" s="787"/>
      <c r="DL143" s="787"/>
      <c r="DM143" s="787"/>
      <c r="DN143" s="787"/>
      <c r="DO143" s="787"/>
      <c r="DP143" s="787"/>
      <c r="DQ143" s="787"/>
      <c r="DR143" s="787"/>
      <c r="DS143" s="787"/>
      <c r="DT143" s="787"/>
      <c r="DU143" s="787"/>
      <c r="DV143" s="787"/>
      <c r="DW143" s="787"/>
      <c r="DX143" s="787"/>
      <c r="DY143" s="787"/>
      <c r="DZ143" s="787"/>
      <c r="EA143" s="787"/>
    </row>
    <row r="144" spans="1:131" ht="15.6">
      <c r="A144" s="782" t="s">
        <v>1438</v>
      </c>
      <c r="B144" s="782" t="s">
        <v>774</v>
      </c>
      <c r="C144" s="783">
        <v>3386</v>
      </c>
      <c r="D144" s="784" t="s">
        <v>775</v>
      </c>
      <c r="E144" s="785" t="s">
        <v>521</v>
      </c>
      <c r="F144" s="786">
        <v>46094</v>
      </c>
      <c r="G144" s="785" t="s">
        <v>5</v>
      </c>
      <c r="H144" s="785" t="s">
        <v>786</v>
      </c>
      <c r="I144" s="787">
        <v>1560118.727338627</v>
      </c>
      <c r="J144" s="787">
        <v>0</v>
      </c>
      <c r="K144" s="787">
        <v>99878.787666666671</v>
      </c>
      <c r="L144" s="787"/>
      <c r="M144" s="787">
        <v>183315</v>
      </c>
      <c r="N144" s="787">
        <v>32944</v>
      </c>
      <c r="O144" s="787"/>
      <c r="P144" s="787"/>
      <c r="Q144" s="787">
        <v>10537.364249999973</v>
      </c>
      <c r="R144" s="787"/>
      <c r="S144" s="787"/>
      <c r="T144" s="787"/>
      <c r="U144" s="787"/>
      <c r="V144" s="787"/>
      <c r="W144" s="787"/>
      <c r="X144" s="787">
        <f t="shared" si="6"/>
        <v>1886793.8792552936</v>
      </c>
      <c r="Y144" s="787"/>
      <c r="Z144" s="787"/>
      <c r="AA144" s="787"/>
      <c r="AB144" s="787"/>
      <c r="AC144" s="787"/>
      <c r="AD144" s="787"/>
      <c r="AE144" s="787"/>
      <c r="AF144" s="787"/>
      <c r="AG144" s="787"/>
      <c r="AH144" s="787"/>
      <c r="AI144" s="787"/>
      <c r="AJ144" s="787"/>
      <c r="AK144" s="787"/>
      <c r="AL144" s="787"/>
      <c r="AM144" s="787"/>
      <c r="AN144" s="787"/>
      <c r="AO144" s="787">
        <v>5511.96</v>
      </c>
      <c r="AP144" s="787"/>
      <c r="AQ144" s="787"/>
      <c r="AR144" s="787"/>
      <c r="AS144" s="787"/>
      <c r="AT144" s="787"/>
      <c r="AU144" s="787"/>
      <c r="AV144" s="787"/>
      <c r="AW144" s="787"/>
      <c r="AX144" s="787"/>
      <c r="AY144" s="787"/>
      <c r="AZ144" s="787">
        <v>175.46</v>
      </c>
      <c r="BA144" s="787">
        <v>5139.75</v>
      </c>
      <c r="BB144" s="787"/>
      <c r="BC144" s="787"/>
      <c r="BD144" s="787"/>
      <c r="BE144" s="787">
        <v>5528.9600000000019</v>
      </c>
      <c r="BF144" s="787"/>
      <c r="BG144" s="787"/>
      <c r="BH144" s="787"/>
      <c r="BI144" s="787"/>
      <c r="BJ144" s="787">
        <f t="shared" si="7"/>
        <v>16356.130000000001</v>
      </c>
      <c r="BK144" s="787"/>
      <c r="BL144" s="787"/>
      <c r="BM144" s="787"/>
      <c r="BN144" s="787">
        <v>0</v>
      </c>
      <c r="BO144" s="787"/>
      <c r="BP144" s="787"/>
      <c r="BQ144" s="787">
        <f t="shared" si="8"/>
        <v>0</v>
      </c>
      <c r="BR144" s="787"/>
      <c r="BS144" s="787"/>
      <c r="BT144" s="787"/>
      <c r="BU144" s="787"/>
      <c r="BV144" s="787"/>
      <c r="BW144" s="787"/>
      <c r="BX144" s="787"/>
      <c r="BY144" s="787"/>
      <c r="BZ144" s="787"/>
      <c r="CA144" s="787"/>
      <c r="CB144" s="787"/>
      <c r="CC144" s="787"/>
      <c r="CD144" s="787"/>
      <c r="CE144" s="787"/>
      <c r="CF144" s="787"/>
      <c r="CG144" s="787"/>
      <c r="CH144" s="787"/>
      <c r="CI144" s="787"/>
      <c r="CJ144" s="787"/>
      <c r="CK144" s="787"/>
      <c r="CL144" s="787"/>
      <c r="CM144" s="787"/>
      <c r="CN144" s="787"/>
      <c r="CO144" s="787"/>
      <c r="CP144" s="787"/>
      <c r="CQ144" s="787"/>
      <c r="CR144" s="787"/>
      <c r="CS144" s="787"/>
      <c r="CT144" s="787"/>
      <c r="CU144" s="787"/>
      <c r="CV144" s="787"/>
      <c r="CW144" s="787"/>
      <c r="CX144" s="787"/>
      <c r="CY144" s="787"/>
      <c r="CZ144" s="787"/>
      <c r="DA144" s="787"/>
      <c r="DB144" s="787"/>
      <c r="DC144" s="787"/>
      <c r="DD144" s="787"/>
      <c r="DE144" s="787"/>
      <c r="DF144" s="787"/>
      <c r="DG144" s="787"/>
      <c r="DH144" s="787"/>
      <c r="DI144" s="787"/>
      <c r="DJ144" s="787"/>
      <c r="DK144" s="787"/>
      <c r="DL144" s="787"/>
      <c r="DM144" s="787"/>
      <c r="DN144" s="787"/>
      <c r="DO144" s="787"/>
      <c r="DP144" s="787"/>
      <c r="DQ144" s="787"/>
      <c r="DR144" s="787"/>
      <c r="DS144" s="787"/>
      <c r="DT144" s="787"/>
      <c r="DU144" s="787"/>
      <c r="DV144" s="787"/>
      <c r="DW144" s="787"/>
      <c r="DX144" s="787"/>
      <c r="DY144" s="787"/>
      <c r="DZ144" s="787"/>
      <c r="EA144" s="787"/>
    </row>
    <row r="145" spans="1:131" ht="15.6">
      <c r="A145" s="782" t="s">
        <v>1439</v>
      </c>
      <c r="B145" s="782" t="s">
        <v>776</v>
      </c>
      <c r="C145" s="783">
        <v>3363</v>
      </c>
      <c r="D145" s="784" t="s">
        <v>777</v>
      </c>
      <c r="E145" s="785" t="s">
        <v>521</v>
      </c>
      <c r="F145" s="786">
        <v>46092</v>
      </c>
      <c r="G145" s="785" t="s">
        <v>5</v>
      </c>
      <c r="H145" s="785" t="s">
        <v>788</v>
      </c>
      <c r="I145" s="787">
        <v>1732708.9769884539</v>
      </c>
      <c r="J145" s="787">
        <v>0</v>
      </c>
      <c r="K145" s="787">
        <v>62988.575333333341</v>
      </c>
      <c r="L145" s="787"/>
      <c r="M145" s="787">
        <v>148070</v>
      </c>
      <c r="N145" s="787">
        <v>55511</v>
      </c>
      <c r="O145" s="787"/>
      <c r="P145" s="787"/>
      <c r="Q145" s="787">
        <v>0</v>
      </c>
      <c r="R145" s="787"/>
      <c r="S145" s="787"/>
      <c r="T145" s="787"/>
      <c r="U145" s="787"/>
      <c r="V145" s="787"/>
      <c r="W145" s="787"/>
      <c r="X145" s="787">
        <f t="shared" si="6"/>
        <v>1999278.5523217872</v>
      </c>
      <c r="Y145" s="787"/>
      <c r="Z145" s="787"/>
      <c r="AA145" s="787"/>
      <c r="AB145" s="787"/>
      <c r="AC145" s="787"/>
      <c r="AD145" s="787"/>
      <c r="AE145" s="787"/>
      <c r="AF145" s="787"/>
      <c r="AG145" s="787"/>
      <c r="AH145" s="787"/>
      <c r="AI145" s="787"/>
      <c r="AJ145" s="787"/>
      <c r="AK145" s="787"/>
      <c r="AL145" s="787"/>
      <c r="AM145" s="787"/>
      <c r="AN145" s="787"/>
      <c r="AO145" s="787">
        <v>3073.98</v>
      </c>
      <c r="AP145" s="787"/>
      <c r="AQ145" s="787"/>
      <c r="AR145" s="787"/>
      <c r="AS145" s="787"/>
      <c r="AT145" s="787"/>
      <c r="AU145" s="787"/>
      <c r="AV145" s="787"/>
      <c r="AW145" s="787"/>
      <c r="AX145" s="787"/>
      <c r="AY145" s="787"/>
      <c r="AZ145" s="787">
        <v>0</v>
      </c>
      <c r="BA145" s="787">
        <v>5139.75</v>
      </c>
      <c r="BB145" s="787"/>
      <c r="BC145" s="787"/>
      <c r="BD145" s="787"/>
      <c r="BE145" s="787">
        <v>7589.2799999999979</v>
      </c>
      <c r="BF145" s="787"/>
      <c r="BG145" s="787"/>
      <c r="BH145" s="787"/>
      <c r="BI145" s="787"/>
      <c r="BJ145" s="787">
        <f t="shared" si="7"/>
        <v>15803.009999999998</v>
      </c>
      <c r="BK145" s="787"/>
      <c r="BL145" s="787"/>
      <c r="BM145" s="787"/>
      <c r="BN145" s="787">
        <v>0</v>
      </c>
      <c r="BO145" s="787"/>
      <c r="BP145" s="787"/>
      <c r="BQ145" s="787">
        <f t="shared" si="8"/>
        <v>0</v>
      </c>
      <c r="BR145" s="787"/>
      <c r="BS145" s="787"/>
      <c r="BT145" s="787"/>
      <c r="BU145" s="787"/>
      <c r="BV145" s="787"/>
      <c r="BW145" s="787"/>
      <c r="BX145" s="787"/>
      <c r="BY145" s="787"/>
      <c r="BZ145" s="787"/>
      <c r="CA145" s="787"/>
      <c r="CB145" s="787"/>
      <c r="CC145" s="787"/>
      <c r="CD145" s="787"/>
      <c r="CE145" s="787"/>
      <c r="CF145" s="787"/>
      <c r="CG145" s="787"/>
      <c r="CH145" s="787"/>
      <c r="CI145" s="787"/>
      <c r="CJ145" s="787"/>
      <c r="CK145" s="787"/>
      <c r="CL145" s="787"/>
      <c r="CM145" s="787"/>
      <c r="CN145" s="787"/>
      <c r="CO145" s="787"/>
      <c r="CP145" s="787"/>
      <c r="CQ145" s="787"/>
      <c r="CR145" s="787"/>
      <c r="CS145" s="787"/>
      <c r="CT145" s="787"/>
      <c r="CU145" s="787"/>
      <c r="CV145" s="787"/>
      <c r="CW145" s="787"/>
      <c r="CX145" s="787"/>
      <c r="CY145" s="787"/>
      <c r="CZ145" s="787"/>
      <c r="DA145" s="787"/>
      <c r="DB145" s="787"/>
      <c r="DC145" s="787"/>
      <c r="DD145" s="787"/>
      <c r="DE145" s="787"/>
      <c r="DF145" s="787"/>
      <c r="DG145" s="787"/>
      <c r="DH145" s="787"/>
      <c r="DI145" s="787"/>
      <c r="DJ145" s="787"/>
      <c r="DK145" s="787"/>
      <c r="DL145" s="787"/>
      <c r="DM145" s="787"/>
      <c r="DN145" s="787"/>
      <c r="DO145" s="787"/>
      <c r="DP145" s="787"/>
      <c r="DQ145" s="787"/>
      <c r="DR145" s="787"/>
      <c r="DS145" s="787"/>
      <c r="DT145" s="787"/>
      <c r="DU145" s="787"/>
      <c r="DV145" s="787"/>
      <c r="DW145" s="787"/>
      <c r="DX145" s="787"/>
      <c r="DY145" s="787"/>
      <c r="DZ145" s="787"/>
      <c r="EA145" s="787"/>
    </row>
    <row r="146" spans="1:131" ht="15.6">
      <c r="A146" s="782" t="s">
        <v>1440</v>
      </c>
      <c r="B146" s="782" t="s">
        <v>778</v>
      </c>
      <c r="C146" s="783">
        <v>3355</v>
      </c>
      <c r="D146" s="784" t="s">
        <v>779</v>
      </c>
      <c r="E146" s="785" t="s">
        <v>521</v>
      </c>
      <c r="F146" s="786">
        <v>46094</v>
      </c>
      <c r="G146" s="785" t="s">
        <v>5</v>
      </c>
      <c r="H146" s="785" t="s">
        <v>790</v>
      </c>
      <c r="I146" s="787">
        <v>2131260.1187073169</v>
      </c>
      <c r="J146" s="787">
        <v>0</v>
      </c>
      <c r="K146" s="787">
        <v>144800.67333333331</v>
      </c>
      <c r="L146" s="787"/>
      <c r="M146" s="787">
        <v>141610</v>
      </c>
      <c r="N146" s="787">
        <v>76594.289999999994</v>
      </c>
      <c r="O146" s="787"/>
      <c r="P146" s="787"/>
      <c r="Q146" s="787">
        <v>17802.486860000055</v>
      </c>
      <c r="R146" s="787"/>
      <c r="S146" s="787"/>
      <c r="T146" s="787"/>
      <c r="U146" s="787"/>
      <c r="V146" s="787"/>
      <c r="W146" s="787"/>
      <c r="X146" s="787">
        <f t="shared" si="6"/>
        <v>2512067.5689006504</v>
      </c>
      <c r="Y146" s="787"/>
      <c r="Z146" s="787"/>
      <c r="AA146" s="787"/>
      <c r="AB146" s="787"/>
      <c r="AC146" s="787"/>
      <c r="AD146" s="787"/>
      <c r="AE146" s="787"/>
      <c r="AF146" s="787"/>
      <c r="AG146" s="787"/>
      <c r="AH146" s="787"/>
      <c r="AI146" s="787"/>
      <c r="AJ146" s="787"/>
      <c r="AK146" s="787"/>
      <c r="AL146" s="787"/>
      <c r="AM146" s="787"/>
      <c r="AN146" s="787"/>
      <c r="AO146" s="787">
        <v>6200.9600000000019</v>
      </c>
      <c r="AP146" s="787"/>
      <c r="AQ146" s="787"/>
      <c r="AR146" s="787"/>
      <c r="AS146" s="787"/>
      <c r="AT146" s="787"/>
      <c r="AU146" s="787"/>
      <c r="AV146" s="787"/>
      <c r="AW146" s="787"/>
      <c r="AX146" s="787"/>
      <c r="AY146" s="787"/>
      <c r="AZ146" s="787">
        <v>147.57000000000002</v>
      </c>
      <c r="BA146" s="787">
        <v>9471</v>
      </c>
      <c r="BB146" s="787"/>
      <c r="BC146" s="787"/>
      <c r="BD146" s="787"/>
      <c r="BE146" s="787">
        <v>10171.200000000003</v>
      </c>
      <c r="BF146" s="787"/>
      <c r="BG146" s="787"/>
      <c r="BH146" s="787"/>
      <c r="BI146" s="787"/>
      <c r="BJ146" s="787">
        <f t="shared" si="7"/>
        <v>25990.730000000003</v>
      </c>
      <c r="BK146" s="787"/>
      <c r="BL146" s="787"/>
      <c r="BM146" s="787"/>
      <c r="BN146" s="787">
        <v>0</v>
      </c>
      <c r="BO146" s="787"/>
      <c r="BP146" s="787"/>
      <c r="BQ146" s="787">
        <f t="shared" si="8"/>
        <v>0</v>
      </c>
      <c r="BR146" s="787"/>
      <c r="BS146" s="787"/>
      <c r="BT146" s="787"/>
      <c r="BU146" s="787"/>
      <c r="BV146" s="787"/>
      <c r="BW146" s="787"/>
      <c r="BX146" s="787"/>
      <c r="BY146" s="787"/>
      <c r="BZ146" s="787"/>
      <c r="CA146" s="787"/>
      <c r="CB146" s="787"/>
      <c r="CC146" s="787"/>
      <c r="CD146" s="787"/>
      <c r="CE146" s="787"/>
      <c r="CF146" s="787"/>
      <c r="CG146" s="787"/>
      <c r="CH146" s="787"/>
      <c r="CI146" s="787"/>
      <c r="CJ146" s="787"/>
      <c r="CK146" s="787"/>
      <c r="CL146" s="787"/>
      <c r="CM146" s="787"/>
      <c r="CN146" s="787"/>
      <c r="CO146" s="787"/>
      <c r="CP146" s="787"/>
      <c r="CQ146" s="787"/>
      <c r="CR146" s="787"/>
      <c r="CS146" s="787"/>
      <c r="CT146" s="787"/>
      <c r="CU146" s="787"/>
      <c r="CV146" s="787"/>
      <c r="CW146" s="787"/>
      <c r="CX146" s="787"/>
      <c r="CY146" s="787"/>
      <c r="CZ146" s="787"/>
      <c r="DA146" s="787"/>
      <c r="DB146" s="787"/>
      <c r="DC146" s="787"/>
      <c r="DD146" s="787"/>
      <c r="DE146" s="787"/>
      <c r="DF146" s="787"/>
      <c r="DG146" s="787"/>
      <c r="DH146" s="787"/>
      <c r="DI146" s="787"/>
      <c r="DJ146" s="787"/>
      <c r="DK146" s="787"/>
      <c r="DL146" s="787"/>
      <c r="DM146" s="787"/>
      <c r="DN146" s="787"/>
      <c r="DO146" s="787"/>
      <c r="DP146" s="787"/>
      <c r="DQ146" s="787"/>
      <c r="DR146" s="787"/>
      <c r="DS146" s="787"/>
      <c r="DT146" s="787"/>
      <c r="DU146" s="787"/>
      <c r="DV146" s="787"/>
      <c r="DW146" s="787"/>
      <c r="DX146" s="787"/>
      <c r="DY146" s="787"/>
      <c r="DZ146" s="787"/>
      <c r="EA146" s="787"/>
    </row>
    <row r="147" spans="1:131" ht="15.6">
      <c r="A147" s="782" t="s">
        <v>1441</v>
      </c>
      <c r="B147" s="782" t="s">
        <v>780</v>
      </c>
      <c r="C147" s="783">
        <v>3367</v>
      </c>
      <c r="D147" s="784" t="s">
        <v>781</v>
      </c>
      <c r="E147" s="785" t="s">
        <v>521</v>
      </c>
      <c r="F147" s="786">
        <v>46094</v>
      </c>
      <c r="G147" s="785" t="s">
        <v>5</v>
      </c>
      <c r="H147" s="785" t="s">
        <v>792</v>
      </c>
      <c r="I147" s="787">
        <v>1412557.9450326143</v>
      </c>
      <c r="J147" s="787">
        <v>0</v>
      </c>
      <c r="K147" s="787">
        <v>42204.123333333337</v>
      </c>
      <c r="L147" s="787"/>
      <c r="M147" s="787">
        <v>148070</v>
      </c>
      <c r="N147" s="787">
        <v>40733.93</v>
      </c>
      <c r="O147" s="787"/>
      <c r="P147" s="787"/>
      <c r="Q147" s="787">
        <v>4294.4011100000253</v>
      </c>
      <c r="R147" s="787"/>
      <c r="S147" s="787"/>
      <c r="T147" s="787"/>
      <c r="U147" s="787"/>
      <c r="V147" s="787"/>
      <c r="W147" s="787"/>
      <c r="X147" s="787">
        <f t="shared" si="6"/>
        <v>1647860.3994759475</v>
      </c>
      <c r="Y147" s="787"/>
      <c r="Z147" s="787"/>
      <c r="AA147" s="787"/>
      <c r="AB147" s="787"/>
      <c r="AC147" s="787"/>
      <c r="AD147" s="787"/>
      <c r="AE147" s="787"/>
      <c r="AF147" s="787"/>
      <c r="AG147" s="787"/>
      <c r="AH147" s="787"/>
      <c r="AI147" s="787"/>
      <c r="AJ147" s="787"/>
      <c r="AK147" s="787"/>
      <c r="AL147" s="787"/>
      <c r="AM147" s="787"/>
      <c r="AN147" s="787"/>
      <c r="AO147" s="787">
        <v>3141.8199999999993</v>
      </c>
      <c r="AP147" s="787"/>
      <c r="AQ147" s="787"/>
      <c r="AR147" s="787"/>
      <c r="AS147" s="787"/>
      <c r="AT147" s="787"/>
      <c r="AU147" s="787"/>
      <c r="AV147" s="787"/>
      <c r="AW147" s="787"/>
      <c r="AX147" s="787"/>
      <c r="AY147" s="787"/>
      <c r="AZ147" s="787">
        <v>111.30999999999999</v>
      </c>
      <c r="BA147" s="787">
        <v>5139.75</v>
      </c>
      <c r="BB147" s="787"/>
      <c r="BC147" s="787"/>
      <c r="BD147" s="787"/>
      <c r="BE147" s="787">
        <v>5398.56</v>
      </c>
      <c r="BF147" s="787"/>
      <c r="BG147" s="787"/>
      <c r="BH147" s="787"/>
      <c r="BI147" s="787"/>
      <c r="BJ147" s="787">
        <f t="shared" si="7"/>
        <v>13791.439999999999</v>
      </c>
      <c r="BK147" s="787"/>
      <c r="BL147" s="787"/>
      <c r="BM147" s="787"/>
      <c r="BN147" s="787">
        <v>0</v>
      </c>
      <c r="BO147" s="787"/>
      <c r="BP147" s="787"/>
      <c r="BQ147" s="787">
        <f t="shared" si="8"/>
        <v>0</v>
      </c>
      <c r="BR147" s="787"/>
      <c r="BS147" s="787"/>
      <c r="BT147" s="787"/>
      <c r="BU147" s="787"/>
      <c r="BV147" s="787"/>
      <c r="BW147" s="787"/>
      <c r="BX147" s="787"/>
      <c r="BY147" s="787"/>
      <c r="BZ147" s="787"/>
      <c r="CA147" s="787"/>
      <c r="CB147" s="787"/>
      <c r="CC147" s="787"/>
      <c r="CD147" s="787"/>
      <c r="CE147" s="787"/>
      <c r="CF147" s="787"/>
      <c r="CG147" s="787"/>
      <c r="CH147" s="787"/>
      <c r="CI147" s="787"/>
      <c r="CJ147" s="787"/>
      <c r="CK147" s="787"/>
      <c r="CL147" s="787"/>
      <c r="CM147" s="787"/>
      <c r="CN147" s="787"/>
      <c r="CO147" s="787"/>
      <c r="CP147" s="787"/>
      <c r="CQ147" s="787"/>
      <c r="CR147" s="787"/>
      <c r="CS147" s="787"/>
      <c r="CT147" s="787"/>
      <c r="CU147" s="787"/>
      <c r="CV147" s="787"/>
      <c r="CW147" s="787"/>
      <c r="CX147" s="787"/>
      <c r="CY147" s="787"/>
      <c r="CZ147" s="787"/>
      <c r="DA147" s="787"/>
      <c r="DB147" s="787"/>
      <c r="DC147" s="787"/>
      <c r="DD147" s="787"/>
      <c r="DE147" s="787"/>
      <c r="DF147" s="787"/>
      <c r="DG147" s="787"/>
      <c r="DH147" s="787"/>
      <c r="DI147" s="787"/>
      <c r="DJ147" s="787"/>
      <c r="DK147" s="787"/>
      <c r="DL147" s="787"/>
      <c r="DM147" s="787"/>
      <c r="DN147" s="787"/>
      <c r="DO147" s="787"/>
      <c r="DP147" s="787"/>
      <c r="DQ147" s="787"/>
      <c r="DR147" s="787"/>
      <c r="DS147" s="787"/>
      <c r="DT147" s="787"/>
      <c r="DU147" s="787"/>
      <c r="DV147" s="787"/>
      <c r="DW147" s="787"/>
      <c r="DX147" s="787"/>
      <c r="DY147" s="787"/>
      <c r="DZ147" s="787"/>
      <c r="EA147" s="787"/>
    </row>
    <row r="148" spans="1:131" ht="15.6">
      <c r="A148" s="782" t="s">
        <v>1442</v>
      </c>
      <c r="B148" s="782" t="s">
        <v>782</v>
      </c>
      <c r="C148" s="783">
        <v>3010</v>
      </c>
      <c r="D148" s="784" t="s">
        <v>783</v>
      </c>
      <c r="E148" s="785" t="s">
        <v>521</v>
      </c>
      <c r="F148" s="786">
        <v>0</v>
      </c>
      <c r="G148" s="785" t="s">
        <v>5</v>
      </c>
      <c r="H148" s="785" t="s">
        <v>794</v>
      </c>
      <c r="I148" s="787">
        <v>2658314.0306348447</v>
      </c>
      <c r="J148" s="787">
        <v>0</v>
      </c>
      <c r="K148" s="787">
        <v>188087.33666666664</v>
      </c>
      <c r="L148" s="787"/>
      <c r="M148" s="787">
        <v>280225</v>
      </c>
      <c r="N148" s="787">
        <v>69211.929999999993</v>
      </c>
      <c r="O148" s="787"/>
      <c r="P148" s="787"/>
      <c r="Q148" s="787">
        <v>27838.200374999971</v>
      </c>
      <c r="R148" s="787"/>
      <c r="S148" s="787"/>
      <c r="T148" s="787"/>
      <c r="U148" s="787"/>
      <c r="V148" s="787"/>
      <c r="W148" s="787"/>
      <c r="X148" s="787">
        <f t="shared" si="6"/>
        <v>3223676.4976765113</v>
      </c>
      <c r="Y148" s="787"/>
      <c r="Z148" s="787"/>
      <c r="AA148" s="787"/>
      <c r="AB148" s="787"/>
      <c r="AC148" s="787"/>
      <c r="AD148" s="787"/>
      <c r="AE148" s="787"/>
      <c r="AF148" s="787"/>
      <c r="AG148" s="787"/>
      <c r="AH148" s="787"/>
      <c r="AI148" s="787"/>
      <c r="AJ148" s="787"/>
      <c r="AK148" s="787"/>
      <c r="AL148" s="787"/>
      <c r="AM148" s="787"/>
      <c r="AN148" s="787"/>
      <c r="AO148" s="787">
        <v>15367.06</v>
      </c>
      <c r="AP148" s="787"/>
      <c r="AQ148" s="787"/>
      <c r="AR148" s="787"/>
      <c r="AS148" s="787"/>
      <c r="AT148" s="787"/>
      <c r="AU148" s="787"/>
      <c r="AV148" s="787"/>
      <c r="AW148" s="787"/>
      <c r="AX148" s="787"/>
      <c r="AY148" s="787"/>
      <c r="AZ148" s="787">
        <v>42.41</v>
      </c>
      <c r="BA148" s="787">
        <v>9471</v>
      </c>
      <c r="BB148" s="787"/>
      <c r="BC148" s="787"/>
      <c r="BD148" s="787"/>
      <c r="BE148" s="787">
        <v>10953.599999999997</v>
      </c>
      <c r="BF148" s="787"/>
      <c r="BG148" s="787"/>
      <c r="BH148" s="787"/>
      <c r="BI148" s="787"/>
      <c r="BJ148" s="787">
        <f t="shared" si="7"/>
        <v>35834.07</v>
      </c>
      <c r="BK148" s="787"/>
      <c r="BL148" s="787"/>
      <c r="BM148" s="787"/>
      <c r="BN148" s="787">
        <v>8635</v>
      </c>
      <c r="BO148" s="787"/>
      <c r="BP148" s="787"/>
      <c r="BQ148" s="787">
        <f t="shared" si="8"/>
        <v>8635</v>
      </c>
      <c r="BR148" s="787"/>
      <c r="BS148" s="787"/>
      <c r="BT148" s="787"/>
      <c r="BU148" s="787"/>
      <c r="BV148" s="787"/>
      <c r="BW148" s="787"/>
      <c r="BX148" s="787"/>
      <c r="BY148" s="787"/>
      <c r="BZ148" s="787"/>
      <c r="CA148" s="787"/>
      <c r="CB148" s="787"/>
      <c r="CC148" s="787"/>
      <c r="CD148" s="787"/>
      <c r="CE148" s="787"/>
      <c r="CF148" s="787"/>
      <c r="CG148" s="787"/>
      <c r="CH148" s="787"/>
      <c r="CI148" s="787"/>
      <c r="CJ148" s="787"/>
      <c r="CK148" s="787"/>
      <c r="CL148" s="787"/>
      <c r="CM148" s="787"/>
      <c r="CN148" s="787"/>
      <c r="CO148" s="787"/>
      <c r="CP148" s="787"/>
      <c r="CQ148" s="787"/>
      <c r="CR148" s="787"/>
      <c r="CS148" s="787"/>
      <c r="CT148" s="787"/>
      <c r="CU148" s="787"/>
      <c r="CV148" s="787"/>
      <c r="CW148" s="787"/>
      <c r="CX148" s="787"/>
      <c r="CY148" s="787"/>
      <c r="CZ148" s="787"/>
      <c r="DA148" s="787"/>
      <c r="DB148" s="787"/>
      <c r="DC148" s="787"/>
      <c r="DD148" s="787"/>
      <c r="DE148" s="787"/>
      <c r="DF148" s="787"/>
      <c r="DG148" s="787"/>
      <c r="DH148" s="787"/>
      <c r="DI148" s="787"/>
      <c r="DJ148" s="787"/>
      <c r="DK148" s="787"/>
      <c r="DL148" s="787"/>
      <c r="DM148" s="787"/>
      <c r="DN148" s="787"/>
      <c r="DO148" s="787"/>
      <c r="DP148" s="787"/>
      <c r="DQ148" s="787"/>
      <c r="DR148" s="787"/>
      <c r="DS148" s="787"/>
      <c r="DT148" s="787"/>
      <c r="DU148" s="787"/>
      <c r="DV148" s="787"/>
      <c r="DW148" s="787"/>
      <c r="DX148" s="787"/>
      <c r="DY148" s="787"/>
      <c r="DZ148" s="787"/>
      <c r="EA148" s="787"/>
    </row>
    <row r="149" spans="1:131" ht="15.6">
      <c r="A149" s="782" t="s">
        <v>1443</v>
      </c>
      <c r="B149" s="782" t="s">
        <v>784</v>
      </c>
      <c r="C149" s="783">
        <v>4625</v>
      </c>
      <c r="D149" s="784" t="s">
        <v>785</v>
      </c>
      <c r="E149" s="785" t="s">
        <v>521</v>
      </c>
      <c r="F149" s="786">
        <v>46094</v>
      </c>
      <c r="G149" s="785" t="s">
        <v>5</v>
      </c>
      <c r="H149" s="785" t="s">
        <v>796</v>
      </c>
      <c r="I149" s="787">
        <v>5331904.2624883046</v>
      </c>
      <c r="J149" s="787">
        <v>0</v>
      </c>
      <c r="K149" s="787">
        <v>101819.14888888889</v>
      </c>
      <c r="L149" s="787"/>
      <c r="M149" s="787">
        <v>391300</v>
      </c>
      <c r="N149" s="787">
        <v>6799.5</v>
      </c>
      <c r="O149" s="787"/>
      <c r="P149" s="787"/>
      <c r="Q149" s="787">
        <v>17870.26481499997</v>
      </c>
      <c r="R149" s="787"/>
      <c r="S149" s="787"/>
      <c r="T149" s="787"/>
      <c r="U149" s="787"/>
      <c r="V149" s="787"/>
      <c r="W149" s="787"/>
      <c r="X149" s="787">
        <f t="shared" si="6"/>
        <v>5849693.1761921933</v>
      </c>
      <c r="Y149" s="787"/>
      <c r="Z149" s="787"/>
      <c r="AA149" s="787"/>
      <c r="AB149" s="787"/>
      <c r="AC149" s="787"/>
      <c r="AD149" s="787"/>
      <c r="AE149" s="787"/>
      <c r="AF149" s="787"/>
      <c r="AG149" s="787"/>
      <c r="AH149" s="787"/>
      <c r="AI149" s="787"/>
      <c r="AJ149" s="787"/>
      <c r="AK149" s="787"/>
      <c r="AL149" s="787"/>
      <c r="AM149" s="787"/>
      <c r="AN149" s="787"/>
      <c r="AO149" s="787">
        <v>13885.909999999998</v>
      </c>
      <c r="AP149" s="787"/>
      <c r="AQ149" s="787"/>
      <c r="AR149" s="787"/>
      <c r="AS149" s="787"/>
      <c r="AT149" s="787"/>
      <c r="AU149" s="787"/>
      <c r="AV149" s="787"/>
      <c r="AW149" s="787"/>
      <c r="AX149" s="787"/>
      <c r="AY149" s="787"/>
      <c r="AZ149" s="787">
        <v>173.56</v>
      </c>
      <c r="BA149" s="787">
        <v>0</v>
      </c>
      <c r="BB149" s="787"/>
      <c r="BC149" s="787"/>
      <c r="BD149" s="787"/>
      <c r="BE149" s="787">
        <v>12601.38</v>
      </c>
      <c r="BF149" s="787"/>
      <c r="BG149" s="787"/>
      <c r="BH149" s="787"/>
      <c r="BI149" s="787"/>
      <c r="BJ149" s="787">
        <f t="shared" si="7"/>
        <v>26660.85</v>
      </c>
      <c r="BK149" s="787"/>
      <c r="BL149" s="787"/>
      <c r="BM149" s="787"/>
      <c r="BN149" s="787">
        <v>0</v>
      </c>
      <c r="BO149" s="787"/>
      <c r="BP149" s="787"/>
      <c r="BQ149" s="787">
        <f t="shared" si="8"/>
        <v>0</v>
      </c>
      <c r="BR149" s="787"/>
      <c r="BS149" s="787"/>
      <c r="BT149" s="787"/>
      <c r="BU149" s="787"/>
      <c r="BV149" s="787"/>
      <c r="BW149" s="787"/>
      <c r="BX149" s="787"/>
      <c r="BY149" s="787"/>
      <c r="BZ149" s="787"/>
      <c r="CA149" s="787"/>
      <c r="CB149" s="787"/>
      <c r="CC149" s="787"/>
      <c r="CD149" s="787"/>
      <c r="CE149" s="787"/>
      <c r="CF149" s="787"/>
      <c r="CG149" s="787"/>
      <c r="CH149" s="787"/>
      <c r="CI149" s="787"/>
      <c r="CJ149" s="787"/>
      <c r="CK149" s="787"/>
      <c r="CL149" s="787"/>
      <c r="CM149" s="787"/>
      <c r="CN149" s="787"/>
      <c r="CO149" s="787"/>
      <c r="CP149" s="787"/>
      <c r="CQ149" s="787"/>
      <c r="CR149" s="787"/>
      <c r="CS149" s="787"/>
      <c r="CT149" s="787"/>
      <c r="CU149" s="787"/>
      <c r="CV149" s="787"/>
      <c r="CW149" s="787"/>
      <c r="CX149" s="787"/>
      <c r="CY149" s="787"/>
      <c r="CZ149" s="787"/>
      <c r="DA149" s="787"/>
      <c r="DB149" s="787"/>
      <c r="DC149" s="787"/>
      <c r="DD149" s="787"/>
      <c r="DE149" s="787"/>
      <c r="DF149" s="787"/>
      <c r="DG149" s="787"/>
      <c r="DH149" s="787"/>
      <c r="DI149" s="787"/>
      <c r="DJ149" s="787"/>
      <c r="DK149" s="787"/>
      <c r="DL149" s="787"/>
      <c r="DM149" s="787"/>
      <c r="DN149" s="787"/>
      <c r="DO149" s="787"/>
      <c r="DP149" s="787"/>
      <c r="DQ149" s="787"/>
      <c r="DR149" s="787"/>
      <c r="DS149" s="787"/>
      <c r="DT149" s="787"/>
      <c r="DU149" s="787"/>
      <c r="DV149" s="787"/>
      <c r="DW149" s="787"/>
      <c r="DX149" s="787"/>
      <c r="DY149" s="787"/>
      <c r="DZ149" s="787"/>
      <c r="EA149" s="787"/>
    </row>
    <row r="150" spans="1:131" ht="15.6">
      <c r="A150" s="782" t="s">
        <v>1444</v>
      </c>
      <c r="B150" s="782" t="s">
        <v>786</v>
      </c>
      <c r="C150" s="783">
        <v>3377</v>
      </c>
      <c r="D150" s="784" t="s">
        <v>787</v>
      </c>
      <c r="E150" s="785" t="s">
        <v>521</v>
      </c>
      <c r="F150" s="786">
        <v>46094</v>
      </c>
      <c r="G150" s="785" t="s">
        <v>5</v>
      </c>
      <c r="H150" s="785" t="s">
        <v>798</v>
      </c>
      <c r="I150" s="787">
        <v>1410244.4078671401</v>
      </c>
      <c r="J150" s="787">
        <v>0</v>
      </c>
      <c r="K150" s="787">
        <v>62078.559999999998</v>
      </c>
      <c r="L150" s="787"/>
      <c r="M150" s="787">
        <v>192005</v>
      </c>
      <c r="N150" s="787">
        <v>28457.64</v>
      </c>
      <c r="O150" s="787"/>
      <c r="P150" s="787"/>
      <c r="Q150" s="787">
        <v>0</v>
      </c>
      <c r="R150" s="787"/>
      <c r="S150" s="787"/>
      <c r="T150" s="787"/>
      <c r="U150" s="787"/>
      <c r="V150" s="787"/>
      <c r="W150" s="787"/>
      <c r="X150" s="787">
        <f t="shared" si="6"/>
        <v>1692785.6078671401</v>
      </c>
      <c r="Y150" s="787"/>
      <c r="Z150" s="787"/>
      <c r="AA150" s="787"/>
      <c r="AB150" s="787"/>
      <c r="AC150" s="787"/>
      <c r="AD150" s="787"/>
      <c r="AE150" s="787"/>
      <c r="AF150" s="787"/>
      <c r="AG150" s="787"/>
      <c r="AH150" s="787"/>
      <c r="AI150" s="787"/>
      <c r="AJ150" s="787"/>
      <c r="AK150" s="787"/>
      <c r="AL150" s="787"/>
      <c r="AM150" s="787"/>
      <c r="AN150" s="787"/>
      <c r="AO150" s="787">
        <v>4080.9700000000007</v>
      </c>
      <c r="AP150" s="787"/>
      <c r="AQ150" s="787"/>
      <c r="AR150" s="787"/>
      <c r="AS150" s="787"/>
      <c r="AT150" s="787"/>
      <c r="AU150" s="787"/>
      <c r="AV150" s="787"/>
      <c r="AW150" s="787"/>
      <c r="AX150" s="787"/>
      <c r="AY150" s="787"/>
      <c r="AZ150" s="787">
        <v>0</v>
      </c>
      <c r="BA150" s="787">
        <v>0</v>
      </c>
      <c r="BB150" s="787"/>
      <c r="BC150" s="787"/>
      <c r="BD150" s="787"/>
      <c r="BE150" s="787">
        <v>5137.7599999999993</v>
      </c>
      <c r="BF150" s="787"/>
      <c r="BG150" s="787"/>
      <c r="BH150" s="787"/>
      <c r="BI150" s="787"/>
      <c r="BJ150" s="787">
        <f t="shared" si="7"/>
        <v>9218.73</v>
      </c>
      <c r="BK150" s="787"/>
      <c r="BL150" s="787"/>
      <c r="BM150" s="787"/>
      <c r="BN150" s="787">
        <v>0</v>
      </c>
      <c r="BO150" s="787"/>
      <c r="BP150" s="787"/>
      <c r="BQ150" s="787">
        <f t="shared" si="8"/>
        <v>0</v>
      </c>
      <c r="BR150" s="787"/>
      <c r="BS150" s="787"/>
      <c r="BT150" s="787"/>
      <c r="BU150" s="787"/>
      <c r="BV150" s="787"/>
      <c r="BW150" s="787"/>
      <c r="BX150" s="787"/>
      <c r="BY150" s="787"/>
      <c r="BZ150" s="787"/>
      <c r="CA150" s="787"/>
      <c r="CB150" s="787"/>
      <c r="CC150" s="787"/>
      <c r="CD150" s="787"/>
      <c r="CE150" s="787"/>
      <c r="CF150" s="787"/>
      <c r="CG150" s="787"/>
      <c r="CH150" s="787"/>
      <c r="CI150" s="787"/>
      <c r="CJ150" s="787"/>
      <c r="CK150" s="787"/>
      <c r="CL150" s="787"/>
      <c r="CM150" s="787"/>
      <c r="CN150" s="787"/>
      <c r="CO150" s="787"/>
      <c r="CP150" s="787"/>
      <c r="CQ150" s="787"/>
      <c r="CR150" s="787"/>
      <c r="CS150" s="787"/>
      <c r="CT150" s="787"/>
      <c r="CU150" s="787"/>
      <c r="CV150" s="787"/>
      <c r="CW150" s="787"/>
      <c r="CX150" s="787"/>
      <c r="CY150" s="787"/>
      <c r="CZ150" s="787"/>
      <c r="DA150" s="787"/>
      <c r="DB150" s="787"/>
      <c r="DC150" s="787"/>
      <c r="DD150" s="787"/>
      <c r="DE150" s="787"/>
      <c r="DF150" s="787"/>
      <c r="DG150" s="787"/>
      <c r="DH150" s="787"/>
      <c r="DI150" s="787"/>
      <c r="DJ150" s="787"/>
      <c r="DK150" s="787"/>
      <c r="DL150" s="787"/>
      <c r="DM150" s="787"/>
      <c r="DN150" s="787"/>
      <c r="DO150" s="787"/>
      <c r="DP150" s="787"/>
      <c r="DQ150" s="787"/>
      <c r="DR150" s="787"/>
      <c r="DS150" s="787"/>
      <c r="DT150" s="787"/>
      <c r="DU150" s="787"/>
      <c r="DV150" s="787"/>
      <c r="DW150" s="787"/>
      <c r="DX150" s="787"/>
      <c r="DY150" s="787"/>
      <c r="DZ150" s="787"/>
      <c r="EA150" s="787"/>
    </row>
    <row r="151" spans="1:131" ht="15.6">
      <c r="A151" s="782" t="s">
        <v>1445</v>
      </c>
      <c r="B151" s="782" t="s">
        <v>788</v>
      </c>
      <c r="C151" s="783">
        <v>3371</v>
      </c>
      <c r="D151" s="784" t="s">
        <v>789</v>
      </c>
      <c r="E151" s="785" t="s">
        <v>521</v>
      </c>
      <c r="F151" s="786">
        <v>46094</v>
      </c>
      <c r="G151" s="785" t="s">
        <v>5</v>
      </c>
      <c r="H151" s="785" t="s">
        <v>800</v>
      </c>
      <c r="I151" s="787">
        <v>1535064.6820762265</v>
      </c>
      <c r="J151" s="787">
        <v>0</v>
      </c>
      <c r="K151" s="787">
        <v>95484.466666666645</v>
      </c>
      <c r="L151" s="787"/>
      <c r="M151" s="787">
        <v>99890</v>
      </c>
      <c r="N151" s="787">
        <v>105138.93</v>
      </c>
      <c r="O151" s="787"/>
      <c r="P151" s="787"/>
      <c r="Q151" s="787">
        <v>0</v>
      </c>
      <c r="R151" s="787"/>
      <c r="S151" s="787"/>
      <c r="T151" s="787"/>
      <c r="U151" s="787"/>
      <c r="V151" s="787"/>
      <c r="W151" s="787"/>
      <c r="X151" s="787">
        <f t="shared" si="6"/>
        <v>1835578.0787428929</v>
      </c>
      <c r="Y151" s="787"/>
      <c r="Z151" s="787"/>
      <c r="AA151" s="787"/>
      <c r="AB151" s="787"/>
      <c r="AC151" s="787"/>
      <c r="AD151" s="787"/>
      <c r="AE151" s="787"/>
      <c r="AF151" s="787"/>
      <c r="AG151" s="787"/>
      <c r="AH151" s="787"/>
      <c r="AI151" s="787"/>
      <c r="AJ151" s="787"/>
      <c r="AK151" s="787"/>
      <c r="AL151" s="787"/>
      <c r="AM151" s="787"/>
      <c r="AN151" s="787"/>
      <c r="AO151" s="787">
        <v>18761.88</v>
      </c>
      <c r="AP151" s="787"/>
      <c r="AQ151" s="787"/>
      <c r="AR151" s="787"/>
      <c r="AS151" s="787"/>
      <c r="AT151" s="787"/>
      <c r="AU151" s="787"/>
      <c r="AV151" s="787"/>
      <c r="AW151" s="787"/>
      <c r="AX151" s="787"/>
      <c r="AY151" s="787"/>
      <c r="AZ151" s="787">
        <v>0</v>
      </c>
      <c r="BA151" s="787">
        <v>7236</v>
      </c>
      <c r="BB151" s="787"/>
      <c r="BC151" s="787"/>
      <c r="BD151" s="787"/>
      <c r="BE151" s="787">
        <v>6989.4399999999978</v>
      </c>
      <c r="BF151" s="787"/>
      <c r="BG151" s="787"/>
      <c r="BH151" s="787"/>
      <c r="BI151" s="787"/>
      <c r="BJ151" s="787">
        <f t="shared" si="7"/>
        <v>32987.32</v>
      </c>
      <c r="BK151" s="787"/>
      <c r="BL151" s="787"/>
      <c r="BM151" s="787"/>
      <c r="BN151" s="787">
        <v>0</v>
      </c>
      <c r="BO151" s="787"/>
      <c r="BP151" s="787"/>
      <c r="BQ151" s="787">
        <f t="shared" si="8"/>
        <v>0</v>
      </c>
      <c r="BR151" s="787"/>
      <c r="BS151" s="787"/>
      <c r="BT151" s="787"/>
      <c r="BU151" s="787"/>
      <c r="BV151" s="787"/>
      <c r="BW151" s="787"/>
      <c r="BX151" s="787"/>
      <c r="BY151" s="787"/>
      <c r="BZ151" s="787"/>
      <c r="CA151" s="787"/>
      <c r="CB151" s="787"/>
      <c r="CC151" s="787"/>
      <c r="CD151" s="787"/>
      <c r="CE151" s="787"/>
      <c r="CF151" s="787"/>
      <c r="CG151" s="787"/>
      <c r="CH151" s="787"/>
      <c r="CI151" s="787"/>
      <c r="CJ151" s="787"/>
      <c r="CK151" s="787"/>
      <c r="CL151" s="787"/>
      <c r="CM151" s="787"/>
      <c r="CN151" s="787"/>
      <c r="CO151" s="787"/>
      <c r="CP151" s="787"/>
      <c r="CQ151" s="787"/>
      <c r="CR151" s="787"/>
      <c r="CS151" s="787"/>
      <c r="CT151" s="787"/>
      <c r="CU151" s="787"/>
      <c r="CV151" s="787"/>
      <c r="CW151" s="787"/>
      <c r="CX151" s="787"/>
      <c r="CY151" s="787"/>
      <c r="CZ151" s="787"/>
      <c r="DA151" s="787"/>
      <c r="DB151" s="787"/>
      <c r="DC151" s="787"/>
      <c r="DD151" s="787"/>
      <c r="DE151" s="787"/>
      <c r="DF151" s="787"/>
      <c r="DG151" s="787"/>
      <c r="DH151" s="787"/>
      <c r="DI151" s="787"/>
      <c r="DJ151" s="787"/>
      <c r="DK151" s="787"/>
      <c r="DL151" s="787"/>
      <c r="DM151" s="787"/>
      <c r="DN151" s="787"/>
      <c r="DO151" s="787"/>
      <c r="DP151" s="787"/>
      <c r="DQ151" s="787"/>
      <c r="DR151" s="787"/>
      <c r="DS151" s="787"/>
      <c r="DT151" s="787"/>
      <c r="DU151" s="787"/>
      <c r="DV151" s="787"/>
      <c r="DW151" s="787"/>
      <c r="DX151" s="787"/>
      <c r="DY151" s="787"/>
      <c r="DZ151" s="787"/>
      <c r="EA151" s="787"/>
    </row>
    <row r="152" spans="1:131" ht="15.6">
      <c r="A152" s="782" t="s">
        <v>1446</v>
      </c>
      <c r="B152" s="782" t="s">
        <v>790</v>
      </c>
      <c r="C152" s="783">
        <v>3307</v>
      </c>
      <c r="D152" s="784" t="s">
        <v>791</v>
      </c>
      <c r="E152" s="785"/>
      <c r="F152" s="786"/>
      <c r="G152" s="785"/>
      <c r="H152" s="785"/>
      <c r="I152" s="787">
        <v>1936863.692483301</v>
      </c>
      <c r="J152" s="787">
        <v>0</v>
      </c>
      <c r="K152" s="787">
        <v>93508</v>
      </c>
      <c r="L152" s="787"/>
      <c r="M152" s="787">
        <v>147455</v>
      </c>
      <c r="N152" s="787">
        <v>18788.93</v>
      </c>
      <c r="O152" s="787"/>
      <c r="P152" s="787"/>
      <c r="Q152" s="787">
        <v>14369.972</v>
      </c>
      <c r="R152" s="787"/>
      <c r="S152" s="787"/>
      <c r="T152" s="787"/>
      <c r="U152" s="787"/>
      <c r="V152" s="787"/>
      <c r="W152" s="787"/>
      <c r="X152" s="787">
        <f t="shared" si="6"/>
        <v>2210985.5944833015</v>
      </c>
      <c r="Y152" s="787"/>
      <c r="Z152" s="787"/>
      <c r="AA152" s="787"/>
      <c r="AB152" s="787"/>
      <c r="AC152" s="787"/>
      <c r="AD152" s="787"/>
      <c r="AE152" s="787"/>
      <c r="AF152" s="787"/>
      <c r="AG152" s="787"/>
      <c r="AH152" s="787"/>
      <c r="AI152" s="787"/>
      <c r="AJ152" s="787"/>
      <c r="AK152" s="787"/>
      <c r="AL152" s="787"/>
      <c r="AM152" s="787"/>
      <c r="AN152" s="787"/>
      <c r="AO152" s="787">
        <v>4398.9799999999987</v>
      </c>
      <c r="AP152" s="787"/>
      <c r="AQ152" s="787"/>
      <c r="AR152" s="787"/>
      <c r="AS152" s="787"/>
      <c r="AT152" s="787"/>
      <c r="AU152" s="787"/>
      <c r="AV152" s="787"/>
      <c r="AW152" s="787"/>
      <c r="AX152" s="787"/>
      <c r="AY152" s="787"/>
      <c r="AZ152" s="787">
        <v>121.84000000000002</v>
      </c>
      <c r="BA152" s="787">
        <v>9666</v>
      </c>
      <c r="BB152" s="787"/>
      <c r="BC152" s="787"/>
      <c r="BD152" s="787"/>
      <c r="BE152" s="787">
        <v>9336.64</v>
      </c>
      <c r="BF152" s="787"/>
      <c r="BG152" s="787"/>
      <c r="BH152" s="787"/>
      <c r="BI152" s="787"/>
      <c r="BJ152" s="787">
        <f t="shared" si="7"/>
        <v>23523.46</v>
      </c>
      <c r="BK152" s="787"/>
      <c r="BL152" s="787"/>
      <c r="BM152" s="787"/>
      <c r="BN152" s="787">
        <v>0</v>
      </c>
      <c r="BO152" s="787"/>
      <c r="BP152" s="787"/>
      <c r="BQ152" s="787">
        <f t="shared" si="8"/>
        <v>0</v>
      </c>
      <c r="BR152" s="787"/>
      <c r="BS152" s="787"/>
      <c r="BT152" s="787"/>
      <c r="BU152" s="787"/>
      <c r="BV152" s="787"/>
      <c r="BW152" s="787"/>
      <c r="BX152" s="787"/>
      <c r="BY152" s="787"/>
      <c r="BZ152" s="787"/>
      <c r="CA152" s="787"/>
      <c r="CB152" s="787"/>
      <c r="CC152" s="787"/>
      <c r="CD152" s="787"/>
      <c r="CE152" s="787"/>
      <c r="CF152" s="787"/>
      <c r="CG152" s="787"/>
      <c r="CH152" s="787"/>
      <c r="CI152" s="787"/>
      <c r="CJ152" s="787"/>
      <c r="CK152" s="787"/>
      <c r="CL152" s="787"/>
      <c r="CM152" s="787"/>
      <c r="CN152" s="787"/>
      <c r="CO152" s="787"/>
      <c r="CP152" s="787"/>
      <c r="CQ152" s="787"/>
      <c r="CR152" s="787"/>
      <c r="CS152" s="787"/>
      <c r="CT152" s="787"/>
      <c r="CU152" s="787"/>
      <c r="CV152" s="787"/>
      <c r="CW152" s="787"/>
      <c r="CX152" s="787"/>
      <c r="CY152" s="787"/>
      <c r="CZ152" s="787"/>
      <c r="DA152" s="787"/>
      <c r="DB152" s="787"/>
      <c r="DC152" s="787"/>
      <c r="DD152" s="787"/>
      <c r="DE152" s="787"/>
      <c r="DF152" s="787"/>
      <c r="DG152" s="787"/>
      <c r="DH152" s="787"/>
      <c r="DI152" s="787"/>
      <c r="DJ152" s="787"/>
      <c r="DK152" s="787"/>
      <c r="DL152" s="787"/>
      <c r="DM152" s="787"/>
      <c r="DN152" s="787"/>
      <c r="DO152" s="787"/>
      <c r="DP152" s="787"/>
      <c r="DQ152" s="787"/>
      <c r="DR152" s="787"/>
      <c r="DS152" s="787"/>
      <c r="DT152" s="787"/>
      <c r="DU152" s="787"/>
      <c r="DV152" s="787"/>
      <c r="DW152" s="787"/>
      <c r="DX152" s="787"/>
      <c r="DY152" s="787"/>
      <c r="DZ152" s="787"/>
      <c r="EA152" s="787"/>
    </row>
    <row r="153" spans="1:131" ht="15.6">
      <c r="A153" s="782" t="s">
        <v>1447</v>
      </c>
      <c r="B153" s="782" t="s">
        <v>792</v>
      </c>
      <c r="C153" s="783">
        <v>3361</v>
      </c>
      <c r="D153" s="784" t="s">
        <v>793</v>
      </c>
      <c r="E153" s="785" t="s">
        <v>521</v>
      </c>
      <c r="F153" s="786" t="s">
        <v>1322</v>
      </c>
      <c r="G153" s="785" t="s">
        <v>5</v>
      </c>
      <c r="H153" s="785" t="s">
        <v>804</v>
      </c>
      <c r="I153" s="787">
        <v>2073909.0420830147</v>
      </c>
      <c r="J153" s="787">
        <v>0</v>
      </c>
      <c r="K153" s="787">
        <v>42718.333333333328</v>
      </c>
      <c r="L153" s="787"/>
      <c r="M153" s="787">
        <v>243915</v>
      </c>
      <c r="N153" s="787">
        <v>54520.86</v>
      </c>
      <c r="O153" s="787"/>
      <c r="P153" s="787"/>
      <c r="Q153" s="787">
        <v>7115.8404300000248</v>
      </c>
      <c r="R153" s="787"/>
      <c r="S153" s="787"/>
      <c r="T153" s="787"/>
      <c r="U153" s="787"/>
      <c r="V153" s="787"/>
      <c r="W153" s="787"/>
      <c r="X153" s="787">
        <f t="shared" si="6"/>
        <v>2422179.075846348</v>
      </c>
      <c r="Y153" s="787"/>
      <c r="Z153" s="787"/>
      <c r="AA153" s="787"/>
      <c r="AB153" s="787"/>
      <c r="AC153" s="787"/>
      <c r="AD153" s="787"/>
      <c r="AE153" s="787"/>
      <c r="AF153" s="787"/>
      <c r="AG153" s="787"/>
      <c r="AH153" s="787"/>
      <c r="AI153" s="787"/>
      <c r="AJ153" s="787"/>
      <c r="AK153" s="787"/>
      <c r="AL153" s="787"/>
      <c r="AM153" s="787"/>
      <c r="AN153" s="787"/>
      <c r="AO153" s="787">
        <v>6942.96</v>
      </c>
      <c r="AP153" s="787"/>
      <c r="AQ153" s="787"/>
      <c r="AR153" s="787"/>
      <c r="AS153" s="787"/>
      <c r="AT153" s="787"/>
      <c r="AU153" s="787"/>
      <c r="AV153" s="787"/>
      <c r="AW153" s="787"/>
      <c r="AX153" s="787"/>
      <c r="AY153" s="787"/>
      <c r="AZ153" s="787">
        <v>153.73000000000002</v>
      </c>
      <c r="BA153" s="787">
        <v>9471</v>
      </c>
      <c r="BB153" s="787"/>
      <c r="BC153" s="787"/>
      <c r="BD153" s="787"/>
      <c r="BE153" s="787">
        <v>8580.32</v>
      </c>
      <c r="BF153" s="787"/>
      <c r="BG153" s="787"/>
      <c r="BH153" s="787"/>
      <c r="BI153" s="787"/>
      <c r="BJ153" s="787">
        <f t="shared" si="7"/>
        <v>25148.010000000002</v>
      </c>
      <c r="BK153" s="787"/>
      <c r="BL153" s="787"/>
      <c r="BM153" s="787"/>
      <c r="BN153" s="787">
        <v>0</v>
      </c>
      <c r="BO153" s="787"/>
      <c r="BP153" s="787"/>
      <c r="BQ153" s="787">
        <f t="shared" si="8"/>
        <v>0</v>
      </c>
      <c r="BR153" s="787"/>
      <c r="BS153" s="787"/>
      <c r="BT153" s="787"/>
      <c r="BU153" s="787"/>
      <c r="BV153" s="787"/>
      <c r="BW153" s="787"/>
      <c r="BX153" s="787"/>
      <c r="BY153" s="787"/>
      <c r="BZ153" s="787"/>
      <c r="CA153" s="787"/>
      <c r="CB153" s="787"/>
      <c r="CC153" s="787"/>
      <c r="CD153" s="787"/>
      <c r="CE153" s="787"/>
      <c r="CF153" s="787"/>
      <c r="CG153" s="787"/>
      <c r="CH153" s="787"/>
      <c r="CI153" s="787"/>
      <c r="CJ153" s="787"/>
      <c r="CK153" s="787"/>
      <c r="CL153" s="787"/>
      <c r="CM153" s="787"/>
      <c r="CN153" s="787"/>
      <c r="CO153" s="787"/>
      <c r="CP153" s="787"/>
      <c r="CQ153" s="787"/>
      <c r="CR153" s="787"/>
      <c r="CS153" s="787"/>
      <c r="CT153" s="787"/>
      <c r="CU153" s="787"/>
      <c r="CV153" s="787"/>
      <c r="CW153" s="787"/>
      <c r="CX153" s="787"/>
      <c r="CY153" s="787"/>
      <c r="CZ153" s="787"/>
      <c r="DA153" s="787"/>
      <c r="DB153" s="787"/>
      <c r="DC153" s="787"/>
      <c r="DD153" s="787"/>
      <c r="DE153" s="787"/>
      <c r="DF153" s="787"/>
      <c r="DG153" s="787"/>
      <c r="DH153" s="787"/>
      <c r="DI153" s="787"/>
      <c r="DJ153" s="787"/>
      <c r="DK153" s="787"/>
      <c r="DL153" s="787"/>
      <c r="DM153" s="787"/>
      <c r="DN153" s="787"/>
      <c r="DO153" s="787"/>
      <c r="DP153" s="787"/>
      <c r="DQ153" s="787"/>
      <c r="DR153" s="787"/>
      <c r="DS153" s="787"/>
      <c r="DT153" s="787"/>
      <c r="DU153" s="787"/>
      <c r="DV153" s="787"/>
      <c r="DW153" s="787"/>
      <c r="DX153" s="787"/>
      <c r="DY153" s="787"/>
      <c r="DZ153" s="787"/>
      <c r="EA153" s="787"/>
    </row>
    <row r="154" spans="1:131" ht="15.6">
      <c r="A154" s="782" t="s">
        <v>1448</v>
      </c>
      <c r="B154" s="782" t="s">
        <v>924</v>
      </c>
      <c r="C154" s="783">
        <v>3382</v>
      </c>
      <c r="D154" s="784" t="s">
        <v>925</v>
      </c>
      <c r="E154" s="785" t="s">
        <v>521</v>
      </c>
      <c r="F154" s="786">
        <v>0</v>
      </c>
      <c r="G154" s="785" t="s">
        <v>5</v>
      </c>
      <c r="H154" s="785" t="s">
        <v>874</v>
      </c>
      <c r="I154" s="787">
        <v>1284145.8869547979</v>
      </c>
      <c r="J154" s="787">
        <v>0</v>
      </c>
      <c r="K154" s="787">
        <v>86460.66333333333</v>
      </c>
      <c r="L154" s="787"/>
      <c r="M154" s="787">
        <v>114690</v>
      </c>
      <c r="N154" s="787">
        <v>42219</v>
      </c>
      <c r="O154" s="787"/>
      <c r="P154" s="787"/>
      <c r="Q154" s="787">
        <v>961.08607999998628</v>
      </c>
      <c r="R154" s="787"/>
      <c r="S154" s="787"/>
      <c r="T154" s="787"/>
      <c r="U154" s="787"/>
      <c r="V154" s="787"/>
      <c r="W154" s="787"/>
      <c r="X154" s="787">
        <f t="shared" si="6"/>
        <v>1528476.6363681313</v>
      </c>
      <c r="Y154" s="787"/>
      <c r="Z154" s="787"/>
      <c r="AA154" s="787"/>
      <c r="AB154" s="787"/>
      <c r="AC154" s="787"/>
      <c r="AD154" s="787"/>
      <c r="AE154" s="787"/>
      <c r="AF154" s="787"/>
      <c r="AG154" s="787"/>
      <c r="AH154" s="787"/>
      <c r="AI154" s="787"/>
      <c r="AJ154" s="787"/>
      <c r="AK154" s="787"/>
      <c r="AL154" s="787"/>
      <c r="AM154" s="787"/>
      <c r="AN154" s="787"/>
      <c r="AO154" s="787">
        <v>4557.9799999999996</v>
      </c>
      <c r="AP154" s="787"/>
      <c r="AQ154" s="787"/>
      <c r="AR154" s="787"/>
      <c r="AS154" s="787"/>
      <c r="AT154" s="787"/>
      <c r="AU154" s="787"/>
      <c r="AV154" s="787"/>
      <c r="AW154" s="787"/>
      <c r="AX154" s="787"/>
      <c r="AY154" s="787"/>
      <c r="AZ154" s="787">
        <v>0</v>
      </c>
      <c r="BA154" s="787">
        <v>0</v>
      </c>
      <c r="BB154" s="787"/>
      <c r="BC154" s="787"/>
      <c r="BD154" s="787"/>
      <c r="BE154" s="787">
        <v>5476.7999999999984</v>
      </c>
      <c r="BF154" s="787"/>
      <c r="BG154" s="787"/>
      <c r="BH154" s="787"/>
      <c r="BI154" s="787"/>
      <c r="BJ154" s="787">
        <f t="shared" si="7"/>
        <v>10034.779999999999</v>
      </c>
      <c r="BK154" s="787"/>
      <c r="BL154" s="787"/>
      <c r="BM154" s="787"/>
      <c r="BN154" s="787">
        <v>0</v>
      </c>
      <c r="BO154" s="787"/>
      <c r="BP154" s="787"/>
      <c r="BQ154" s="787">
        <f t="shared" si="8"/>
        <v>0</v>
      </c>
      <c r="BR154" s="787"/>
      <c r="BS154" s="787"/>
      <c r="BT154" s="787"/>
      <c r="BU154" s="787"/>
      <c r="BV154" s="787"/>
      <c r="BW154" s="787"/>
      <c r="BX154" s="787"/>
      <c r="BY154" s="787"/>
      <c r="BZ154" s="787"/>
      <c r="CA154" s="787"/>
      <c r="CB154" s="787"/>
      <c r="CC154" s="787"/>
      <c r="CD154" s="787"/>
      <c r="CE154" s="787"/>
      <c r="CF154" s="787"/>
      <c r="CG154" s="787"/>
      <c r="CH154" s="787"/>
      <c r="CI154" s="787"/>
      <c r="CJ154" s="787"/>
      <c r="CK154" s="787"/>
      <c r="CL154" s="787"/>
      <c r="CM154" s="787"/>
      <c r="CN154" s="787"/>
      <c r="CO154" s="787"/>
      <c r="CP154" s="787"/>
      <c r="CQ154" s="787"/>
      <c r="CR154" s="787"/>
      <c r="CS154" s="787"/>
      <c r="CT154" s="787"/>
      <c r="CU154" s="787"/>
      <c r="CV154" s="787"/>
      <c r="CW154" s="787"/>
      <c r="CX154" s="787"/>
      <c r="CY154" s="787"/>
      <c r="CZ154" s="787"/>
      <c r="DA154" s="787"/>
      <c r="DB154" s="787"/>
      <c r="DC154" s="787"/>
      <c r="DD154" s="787"/>
      <c r="DE154" s="787"/>
      <c r="DF154" s="787"/>
      <c r="DG154" s="787"/>
      <c r="DH154" s="787"/>
      <c r="DI154" s="787"/>
      <c r="DJ154" s="787"/>
      <c r="DK154" s="787"/>
      <c r="DL154" s="787"/>
      <c r="DM154" s="787"/>
      <c r="DN154" s="787"/>
      <c r="DO154" s="787"/>
      <c r="DP154" s="787"/>
      <c r="DQ154" s="787"/>
      <c r="DR154" s="787"/>
      <c r="DS154" s="787"/>
      <c r="DT154" s="787"/>
      <c r="DU154" s="787"/>
      <c r="DV154" s="787"/>
      <c r="DW154" s="787"/>
      <c r="DX154" s="787"/>
      <c r="DY154" s="787"/>
      <c r="DZ154" s="787"/>
      <c r="EA154" s="787"/>
    </row>
    <row r="155" spans="1:131" ht="15.6">
      <c r="A155" s="782" t="s">
        <v>1449</v>
      </c>
      <c r="B155" s="782" t="s">
        <v>794</v>
      </c>
      <c r="C155" s="783">
        <v>3344</v>
      </c>
      <c r="D155" s="784" t="s">
        <v>795</v>
      </c>
      <c r="E155" s="785" t="s">
        <v>521</v>
      </c>
      <c r="F155" s="786">
        <v>46092</v>
      </c>
      <c r="G155" s="785" t="s">
        <v>5</v>
      </c>
      <c r="H155" s="785" t="s">
        <v>806</v>
      </c>
      <c r="I155" s="787">
        <v>2212932.9329626816</v>
      </c>
      <c r="J155" s="787">
        <v>0</v>
      </c>
      <c r="K155" s="787">
        <v>105983.66666666667</v>
      </c>
      <c r="L155" s="787"/>
      <c r="M155" s="787">
        <v>123715</v>
      </c>
      <c r="N155" s="787">
        <v>98978.64</v>
      </c>
      <c r="O155" s="787"/>
      <c r="P155" s="787"/>
      <c r="Q155" s="787">
        <v>9784.8848399999479</v>
      </c>
      <c r="R155" s="787"/>
      <c r="S155" s="787"/>
      <c r="T155" s="787"/>
      <c r="U155" s="787"/>
      <c r="V155" s="787"/>
      <c r="W155" s="787"/>
      <c r="X155" s="787">
        <f t="shared" si="6"/>
        <v>2551395.1244693482</v>
      </c>
      <c r="Y155" s="787"/>
      <c r="Z155" s="787"/>
      <c r="AA155" s="787"/>
      <c r="AB155" s="787"/>
      <c r="AC155" s="787"/>
      <c r="AD155" s="787"/>
      <c r="AE155" s="787"/>
      <c r="AF155" s="787"/>
      <c r="AG155" s="787"/>
      <c r="AH155" s="787"/>
      <c r="AI155" s="787"/>
      <c r="AJ155" s="787"/>
      <c r="AK155" s="787"/>
      <c r="AL155" s="787"/>
      <c r="AM155" s="787"/>
      <c r="AN155" s="787"/>
      <c r="AO155" s="787">
        <v>3047.4799999999996</v>
      </c>
      <c r="AP155" s="787"/>
      <c r="AQ155" s="787"/>
      <c r="AR155" s="787"/>
      <c r="AS155" s="787"/>
      <c r="AT155" s="787"/>
      <c r="AU155" s="787"/>
      <c r="AV155" s="787"/>
      <c r="AW155" s="787"/>
      <c r="AX155" s="787"/>
      <c r="AY155" s="787"/>
      <c r="AZ155" s="787">
        <v>118.13</v>
      </c>
      <c r="BA155" s="787">
        <v>9471</v>
      </c>
      <c r="BB155" s="787"/>
      <c r="BC155" s="787"/>
      <c r="BD155" s="787"/>
      <c r="BE155" s="787">
        <v>10953.599999999997</v>
      </c>
      <c r="BF155" s="787"/>
      <c r="BG155" s="787"/>
      <c r="BH155" s="787"/>
      <c r="BI155" s="787"/>
      <c r="BJ155" s="787">
        <f t="shared" si="7"/>
        <v>23590.21</v>
      </c>
      <c r="BK155" s="787"/>
      <c r="BL155" s="787"/>
      <c r="BM155" s="787"/>
      <c r="BN155" s="787">
        <v>0</v>
      </c>
      <c r="BO155" s="787"/>
      <c r="BP155" s="787"/>
      <c r="BQ155" s="787">
        <f t="shared" si="8"/>
        <v>0</v>
      </c>
      <c r="BR155" s="787"/>
      <c r="BS155" s="787"/>
      <c r="BT155" s="787"/>
      <c r="BU155" s="787"/>
      <c r="BV155" s="787"/>
      <c r="BW155" s="787"/>
      <c r="BX155" s="787"/>
      <c r="BY155" s="787"/>
      <c r="BZ155" s="787"/>
      <c r="CA155" s="787"/>
      <c r="CB155" s="787"/>
      <c r="CC155" s="787"/>
      <c r="CD155" s="787"/>
      <c r="CE155" s="787"/>
      <c r="CF155" s="787"/>
      <c r="CG155" s="787"/>
      <c r="CH155" s="787"/>
      <c r="CI155" s="787"/>
      <c r="CJ155" s="787"/>
      <c r="CK155" s="787"/>
      <c r="CL155" s="787"/>
      <c r="CM155" s="787"/>
      <c r="CN155" s="787"/>
      <c r="CO155" s="787"/>
      <c r="CP155" s="787"/>
      <c r="CQ155" s="787"/>
      <c r="CR155" s="787"/>
      <c r="CS155" s="787"/>
      <c r="CT155" s="787"/>
      <c r="CU155" s="787"/>
      <c r="CV155" s="787"/>
      <c r="CW155" s="787"/>
      <c r="CX155" s="787"/>
      <c r="CY155" s="787"/>
      <c r="CZ155" s="787"/>
      <c r="DA155" s="787"/>
      <c r="DB155" s="787"/>
      <c r="DC155" s="787"/>
      <c r="DD155" s="787"/>
      <c r="DE155" s="787"/>
      <c r="DF155" s="787"/>
      <c r="DG155" s="787"/>
      <c r="DH155" s="787"/>
      <c r="DI155" s="787"/>
      <c r="DJ155" s="787"/>
      <c r="DK155" s="787"/>
      <c r="DL155" s="787"/>
      <c r="DM155" s="787"/>
      <c r="DN155" s="787"/>
      <c r="DO155" s="787"/>
      <c r="DP155" s="787"/>
      <c r="DQ155" s="787"/>
      <c r="DR155" s="787"/>
      <c r="DS155" s="787"/>
      <c r="DT155" s="787"/>
      <c r="DU155" s="787"/>
      <c r="DV155" s="787"/>
      <c r="DW155" s="787"/>
      <c r="DX155" s="787"/>
      <c r="DY155" s="787"/>
      <c r="DZ155" s="787"/>
      <c r="EA155" s="787"/>
    </row>
    <row r="156" spans="1:131" ht="15.6">
      <c r="A156" s="782" t="s">
        <v>1450</v>
      </c>
      <c r="B156" s="782" t="s">
        <v>796</v>
      </c>
      <c r="C156" s="783">
        <v>3025</v>
      </c>
      <c r="D156" s="784" t="s">
        <v>797</v>
      </c>
      <c r="E156" s="785" t="s">
        <v>521</v>
      </c>
      <c r="F156" s="786">
        <v>46094</v>
      </c>
      <c r="G156" s="785" t="s">
        <v>5</v>
      </c>
      <c r="H156" s="785" t="s">
        <v>808</v>
      </c>
      <c r="I156" s="787">
        <v>2276074.8299793173</v>
      </c>
      <c r="J156" s="787">
        <v>0</v>
      </c>
      <c r="K156" s="787">
        <v>275566.94433333329</v>
      </c>
      <c r="L156" s="787"/>
      <c r="M156" s="787">
        <v>161970</v>
      </c>
      <c r="N156" s="787">
        <v>88269.86</v>
      </c>
      <c r="O156" s="787"/>
      <c r="P156" s="787"/>
      <c r="Q156" s="787">
        <v>9300.1064999999999</v>
      </c>
      <c r="R156" s="787"/>
      <c r="S156" s="787"/>
      <c r="T156" s="787"/>
      <c r="U156" s="787"/>
      <c r="V156" s="787"/>
      <c r="W156" s="787"/>
      <c r="X156" s="787">
        <f t="shared" si="6"/>
        <v>2811181.7408126509</v>
      </c>
      <c r="Y156" s="787"/>
      <c r="Z156" s="787"/>
      <c r="AA156" s="787"/>
      <c r="AB156" s="787"/>
      <c r="AC156" s="787"/>
      <c r="AD156" s="787"/>
      <c r="AE156" s="787"/>
      <c r="AF156" s="787"/>
      <c r="AG156" s="787"/>
      <c r="AH156" s="787"/>
      <c r="AI156" s="787"/>
      <c r="AJ156" s="787"/>
      <c r="AK156" s="787"/>
      <c r="AL156" s="787"/>
      <c r="AM156" s="787"/>
      <c r="AN156" s="787"/>
      <c r="AO156" s="787">
        <v>5126.119999999999</v>
      </c>
      <c r="AP156" s="787"/>
      <c r="AQ156" s="787"/>
      <c r="AR156" s="787"/>
      <c r="AS156" s="787"/>
      <c r="AT156" s="787"/>
      <c r="AU156" s="787"/>
      <c r="AV156" s="787"/>
      <c r="AW156" s="787"/>
      <c r="AX156" s="787"/>
      <c r="AY156" s="787"/>
      <c r="AZ156" s="787">
        <v>82.579999999999984</v>
      </c>
      <c r="BA156" s="787">
        <v>9471</v>
      </c>
      <c r="BB156" s="787"/>
      <c r="BC156" s="787"/>
      <c r="BD156" s="787"/>
      <c r="BE156" s="787">
        <v>10718.88</v>
      </c>
      <c r="BF156" s="787"/>
      <c r="BG156" s="787"/>
      <c r="BH156" s="787"/>
      <c r="BI156" s="787"/>
      <c r="BJ156" s="787">
        <f t="shared" si="7"/>
        <v>25398.579999999998</v>
      </c>
      <c r="BK156" s="787"/>
      <c r="BL156" s="787"/>
      <c r="BM156" s="787"/>
      <c r="BN156" s="787">
        <v>0</v>
      </c>
      <c r="BO156" s="787"/>
      <c r="BP156" s="787"/>
      <c r="BQ156" s="787">
        <f t="shared" si="8"/>
        <v>0</v>
      </c>
      <c r="BR156" s="787"/>
      <c r="BS156" s="787"/>
      <c r="BT156" s="787"/>
      <c r="BU156" s="787"/>
      <c r="BV156" s="787"/>
      <c r="BW156" s="787"/>
      <c r="BX156" s="787"/>
      <c r="BY156" s="787"/>
      <c r="BZ156" s="787"/>
      <c r="CA156" s="787"/>
      <c r="CB156" s="787"/>
      <c r="CC156" s="787"/>
      <c r="CD156" s="787"/>
      <c r="CE156" s="787"/>
      <c r="CF156" s="787"/>
      <c r="CG156" s="787"/>
      <c r="CH156" s="787"/>
      <c r="CI156" s="787"/>
      <c r="CJ156" s="787"/>
      <c r="CK156" s="787"/>
      <c r="CL156" s="787"/>
      <c r="CM156" s="787"/>
      <c r="CN156" s="787"/>
      <c r="CO156" s="787"/>
      <c r="CP156" s="787"/>
      <c r="CQ156" s="787"/>
      <c r="CR156" s="787"/>
      <c r="CS156" s="787"/>
      <c r="CT156" s="787"/>
      <c r="CU156" s="787"/>
      <c r="CV156" s="787"/>
      <c r="CW156" s="787"/>
      <c r="CX156" s="787"/>
      <c r="CY156" s="787"/>
      <c r="CZ156" s="787"/>
      <c r="DA156" s="787"/>
      <c r="DB156" s="787"/>
      <c r="DC156" s="787"/>
      <c r="DD156" s="787"/>
      <c r="DE156" s="787"/>
      <c r="DF156" s="787"/>
      <c r="DG156" s="787"/>
      <c r="DH156" s="787"/>
      <c r="DI156" s="787"/>
      <c r="DJ156" s="787"/>
      <c r="DK156" s="787"/>
      <c r="DL156" s="787"/>
      <c r="DM156" s="787"/>
      <c r="DN156" s="787"/>
      <c r="DO156" s="787"/>
      <c r="DP156" s="787"/>
      <c r="DQ156" s="787"/>
      <c r="DR156" s="787"/>
      <c r="DS156" s="787"/>
      <c r="DT156" s="787"/>
      <c r="DU156" s="787"/>
      <c r="DV156" s="787"/>
      <c r="DW156" s="787"/>
      <c r="DX156" s="787"/>
      <c r="DY156" s="787"/>
      <c r="DZ156" s="787"/>
      <c r="EA156" s="787"/>
    </row>
    <row r="157" spans="1:131" ht="15.6">
      <c r="A157" s="782" t="s">
        <v>1451</v>
      </c>
      <c r="B157" s="782" t="s">
        <v>798</v>
      </c>
      <c r="C157" s="783">
        <v>3016</v>
      </c>
      <c r="D157" s="784" t="s">
        <v>799</v>
      </c>
      <c r="E157" s="785" t="s">
        <v>521</v>
      </c>
      <c r="F157" s="786">
        <v>46094</v>
      </c>
      <c r="G157" s="785" t="s">
        <v>5</v>
      </c>
      <c r="H157" s="785" t="s">
        <v>810</v>
      </c>
      <c r="I157" s="787">
        <v>1480120.8025428576</v>
      </c>
      <c r="J157" s="787">
        <v>0</v>
      </c>
      <c r="K157" s="787">
        <v>135682.33666666667</v>
      </c>
      <c r="L157" s="787"/>
      <c r="M157" s="787">
        <v>204525</v>
      </c>
      <c r="N157" s="787">
        <v>30135</v>
      </c>
      <c r="O157" s="787"/>
      <c r="P157" s="787"/>
      <c r="Q157" s="787">
        <v>0</v>
      </c>
      <c r="R157" s="787"/>
      <c r="S157" s="787"/>
      <c r="T157" s="787"/>
      <c r="U157" s="787"/>
      <c r="V157" s="787"/>
      <c r="W157" s="787"/>
      <c r="X157" s="787">
        <f t="shared" si="6"/>
        <v>1850463.1392095243</v>
      </c>
      <c r="Y157" s="787"/>
      <c r="Z157" s="787"/>
      <c r="AA157" s="787"/>
      <c r="AB157" s="787"/>
      <c r="AC157" s="787"/>
      <c r="AD157" s="787"/>
      <c r="AE157" s="787"/>
      <c r="AF157" s="787"/>
      <c r="AG157" s="787"/>
      <c r="AH157" s="787"/>
      <c r="AI157" s="787"/>
      <c r="AJ157" s="787"/>
      <c r="AK157" s="787"/>
      <c r="AL157" s="787"/>
      <c r="AM157" s="787"/>
      <c r="AN157" s="787"/>
      <c r="AO157" s="787">
        <v>15625.330000000004</v>
      </c>
      <c r="AP157" s="787"/>
      <c r="AQ157" s="787"/>
      <c r="AR157" s="787"/>
      <c r="AS157" s="787"/>
      <c r="AT157" s="787"/>
      <c r="AU157" s="787"/>
      <c r="AV157" s="787"/>
      <c r="AW157" s="787"/>
      <c r="AX157" s="787"/>
      <c r="AY157" s="787"/>
      <c r="AZ157" s="787">
        <v>0</v>
      </c>
      <c r="BA157" s="787">
        <v>5139.75</v>
      </c>
      <c r="BB157" s="787"/>
      <c r="BC157" s="787"/>
      <c r="BD157" s="787"/>
      <c r="BE157" s="787">
        <v>5320.32</v>
      </c>
      <c r="BF157" s="787"/>
      <c r="BG157" s="787"/>
      <c r="BH157" s="787"/>
      <c r="BI157" s="787"/>
      <c r="BJ157" s="787">
        <f t="shared" si="7"/>
        <v>26085.4</v>
      </c>
      <c r="BK157" s="787"/>
      <c r="BL157" s="787"/>
      <c r="BM157" s="787"/>
      <c r="BN157" s="787">
        <v>6362.5</v>
      </c>
      <c r="BO157" s="787"/>
      <c r="BP157" s="787"/>
      <c r="BQ157" s="787">
        <f t="shared" si="8"/>
        <v>6362.5</v>
      </c>
      <c r="BR157" s="787"/>
      <c r="BS157" s="787"/>
      <c r="BT157" s="787"/>
      <c r="BU157" s="787"/>
      <c r="BV157" s="787"/>
      <c r="BW157" s="787"/>
      <c r="BX157" s="787"/>
      <c r="BY157" s="787"/>
      <c r="BZ157" s="787"/>
      <c r="CA157" s="787"/>
      <c r="CB157" s="787"/>
      <c r="CC157" s="787"/>
      <c r="CD157" s="787"/>
      <c r="CE157" s="787"/>
      <c r="CF157" s="787"/>
      <c r="CG157" s="787"/>
      <c r="CH157" s="787"/>
      <c r="CI157" s="787"/>
      <c r="CJ157" s="787"/>
      <c r="CK157" s="787"/>
      <c r="CL157" s="787"/>
      <c r="CM157" s="787"/>
      <c r="CN157" s="787"/>
      <c r="CO157" s="787"/>
      <c r="CP157" s="787"/>
      <c r="CQ157" s="787"/>
      <c r="CR157" s="787"/>
      <c r="CS157" s="787"/>
      <c r="CT157" s="787"/>
      <c r="CU157" s="787"/>
      <c r="CV157" s="787"/>
      <c r="CW157" s="787"/>
      <c r="CX157" s="787"/>
      <c r="CY157" s="787"/>
      <c r="CZ157" s="787"/>
      <c r="DA157" s="787"/>
      <c r="DB157" s="787"/>
      <c r="DC157" s="787"/>
      <c r="DD157" s="787"/>
      <c r="DE157" s="787"/>
      <c r="DF157" s="787"/>
      <c r="DG157" s="787"/>
      <c r="DH157" s="787"/>
      <c r="DI157" s="787"/>
      <c r="DJ157" s="787"/>
      <c r="DK157" s="787"/>
      <c r="DL157" s="787"/>
      <c r="DM157" s="787"/>
      <c r="DN157" s="787"/>
      <c r="DO157" s="787"/>
      <c r="DP157" s="787"/>
      <c r="DQ157" s="787"/>
      <c r="DR157" s="787"/>
      <c r="DS157" s="787"/>
      <c r="DT157" s="787"/>
      <c r="DU157" s="787"/>
      <c r="DV157" s="787"/>
      <c r="DW157" s="787"/>
      <c r="DX157" s="787"/>
      <c r="DY157" s="787"/>
      <c r="DZ157" s="787"/>
      <c r="EA157" s="787"/>
    </row>
    <row r="158" spans="1:131" ht="15.6">
      <c r="A158" s="782" t="s">
        <v>1452</v>
      </c>
      <c r="B158" s="782" t="s">
        <v>926</v>
      </c>
      <c r="C158" s="783">
        <v>3346</v>
      </c>
      <c r="D158" s="784" t="s">
        <v>927</v>
      </c>
      <c r="E158" s="785" t="s">
        <v>521</v>
      </c>
      <c r="F158" s="786">
        <v>46094</v>
      </c>
      <c r="G158" s="785" t="s">
        <v>5</v>
      </c>
      <c r="H158" s="785" t="s">
        <v>878</v>
      </c>
      <c r="I158" s="787">
        <v>2444223.3771132822</v>
      </c>
      <c r="J158" s="787">
        <v>0</v>
      </c>
      <c r="K158" s="787">
        <v>176158.22999999998</v>
      </c>
      <c r="L158" s="787"/>
      <c r="M158" s="787">
        <v>238520</v>
      </c>
      <c r="N158" s="787">
        <v>88710.69</v>
      </c>
      <c r="O158" s="787"/>
      <c r="P158" s="787"/>
      <c r="Q158" s="787">
        <v>4017.54</v>
      </c>
      <c r="R158" s="787"/>
      <c r="S158" s="787"/>
      <c r="T158" s="787"/>
      <c r="U158" s="787"/>
      <c r="V158" s="787"/>
      <c r="W158" s="787"/>
      <c r="X158" s="787">
        <f t="shared" si="6"/>
        <v>2951629.8371132822</v>
      </c>
      <c r="Y158" s="787"/>
      <c r="Z158" s="787"/>
      <c r="AA158" s="787"/>
      <c r="AB158" s="787"/>
      <c r="AC158" s="787"/>
      <c r="AD158" s="787"/>
      <c r="AE158" s="787"/>
      <c r="AF158" s="787"/>
      <c r="AG158" s="787"/>
      <c r="AH158" s="787"/>
      <c r="AI158" s="787"/>
      <c r="AJ158" s="787"/>
      <c r="AK158" s="787"/>
      <c r="AL158" s="787"/>
      <c r="AM158" s="787"/>
      <c r="AN158" s="787"/>
      <c r="AO158" s="787">
        <v>7128.4500000000016</v>
      </c>
      <c r="AP158" s="787"/>
      <c r="AQ158" s="787"/>
      <c r="AR158" s="787"/>
      <c r="AS158" s="787"/>
      <c r="AT158" s="787"/>
      <c r="AU158" s="787"/>
      <c r="AV158" s="787"/>
      <c r="AW158" s="787"/>
      <c r="AX158" s="787"/>
      <c r="AY158" s="787"/>
      <c r="AZ158" s="787">
        <v>128.76999999999998</v>
      </c>
      <c r="BA158" s="787">
        <v>9471</v>
      </c>
      <c r="BB158" s="787"/>
      <c r="BC158" s="787"/>
      <c r="BD158" s="787"/>
      <c r="BE158" s="787">
        <v>9284.4800000000014</v>
      </c>
      <c r="BF158" s="787"/>
      <c r="BG158" s="787"/>
      <c r="BH158" s="787"/>
      <c r="BI158" s="787"/>
      <c r="BJ158" s="787">
        <f t="shared" si="7"/>
        <v>26012.700000000004</v>
      </c>
      <c r="BK158" s="787"/>
      <c r="BL158" s="787"/>
      <c r="BM158" s="787"/>
      <c r="BN158" s="787">
        <v>0</v>
      </c>
      <c r="BO158" s="787"/>
      <c r="BP158" s="787"/>
      <c r="BQ158" s="787">
        <f t="shared" si="8"/>
        <v>0</v>
      </c>
      <c r="BR158" s="787"/>
      <c r="BS158" s="787"/>
      <c r="BT158" s="787"/>
      <c r="BU158" s="787"/>
      <c r="BV158" s="787"/>
      <c r="BW158" s="787"/>
      <c r="BX158" s="787"/>
      <c r="BY158" s="787"/>
      <c r="BZ158" s="787"/>
      <c r="CA158" s="787"/>
      <c r="CB158" s="787"/>
      <c r="CC158" s="787"/>
      <c r="CD158" s="787"/>
      <c r="CE158" s="787"/>
      <c r="CF158" s="787"/>
      <c r="CG158" s="787"/>
      <c r="CH158" s="787"/>
      <c r="CI158" s="787"/>
      <c r="CJ158" s="787"/>
      <c r="CK158" s="787"/>
      <c r="CL158" s="787"/>
      <c r="CM158" s="787"/>
      <c r="CN158" s="787"/>
      <c r="CO158" s="787"/>
      <c r="CP158" s="787"/>
      <c r="CQ158" s="787"/>
      <c r="CR158" s="787"/>
      <c r="CS158" s="787"/>
      <c r="CT158" s="787"/>
      <c r="CU158" s="787"/>
      <c r="CV158" s="787"/>
      <c r="CW158" s="787"/>
      <c r="CX158" s="787"/>
      <c r="CY158" s="787"/>
      <c r="CZ158" s="787"/>
      <c r="DA158" s="787"/>
      <c r="DB158" s="787"/>
      <c r="DC158" s="787"/>
      <c r="DD158" s="787"/>
      <c r="DE158" s="787"/>
      <c r="DF158" s="787"/>
      <c r="DG158" s="787"/>
      <c r="DH158" s="787"/>
      <c r="DI158" s="787"/>
      <c r="DJ158" s="787"/>
      <c r="DK158" s="787"/>
      <c r="DL158" s="787"/>
      <c r="DM158" s="787"/>
      <c r="DN158" s="787"/>
      <c r="DO158" s="787"/>
      <c r="DP158" s="787"/>
      <c r="DQ158" s="787"/>
      <c r="DR158" s="787"/>
      <c r="DS158" s="787"/>
      <c r="DT158" s="787"/>
      <c r="DU158" s="787"/>
      <c r="DV158" s="787"/>
      <c r="DW158" s="787"/>
      <c r="DX158" s="787"/>
      <c r="DY158" s="787"/>
      <c r="DZ158" s="787"/>
      <c r="EA158" s="787"/>
    </row>
    <row r="159" spans="1:131" ht="15.6">
      <c r="A159" s="782" t="s">
        <v>1453</v>
      </c>
      <c r="B159" s="782" t="s">
        <v>800</v>
      </c>
      <c r="C159" s="783">
        <v>4606</v>
      </c>
      <c r="D159" s="784" t="s">
        <v>801</v>
      </c>
      <c r="E159" s="785" t="s">
        <v>521</v>
      </c>
      <c r="F159" s="786">
        <v>46094</v>
      </c>
      <c r="G159" s="785" t="s">
        <v>5</v>
      </c>
      <c r="H159" s="785" t="s">
        <v>800</v>
      </c>
      <c r="I159" s="787">
        <v>6229674.320727163</v>
      </c>
      <c r="J159" s="787">
        <v>1331388.9733333334</v>
      </c>
      <c r="K159" s="787">
        <v>75863</v>
      </c>
      <c r="L159" s="787"/>
      <c r="M159" s="787">
        <v>284370</v>
      </c>
      <c r="N159" s="787">
        <v>15918.52</v>
      </c>
      <c r="O159" s="787"/>
      <c r="P159" s="787"/>
      <c r="Q159" s="787">
        <v>0</v>
      </c>
      <c r="R159" s="787"/>
      <c r="S159" s="787"/>
      <c r="T159" s="787"/>
      <c r="U159" s="787"/>
      <c r="V159" s="787"/>
      <c r="W159" s="787"/>
      <c r="X159" s="787">
        <f t="shared" si="6"/>
        <v>7937214.8140604962</v>
      </c>
      <c r="Y159" s="787"/>
      <c r="Z159" s="787"/>
      <c r="AA159" s="787"/>
      <c r="AB159" s="787"/>
      <c r="AC159" s="787"/>
      <c r="AD159" s="787"/>
      <c r="AE159" s="787"/>
      <c r="AF159" s="787"/>
      <c r="AG159" s="787"/>
      <c r="AH159" s="787"/>
      <c r="AI159" s="787"/>
      <c r="AJ159" s="787"/>
      <c r="AK159" s="787"/>
      <c r="AL159" s="787"/>
      <c r="AM159" s="787"/>
      <c r="AN159" s="787"/>
      <c r="AO159" s="787">
        <v>14945.910000000002</v>
      </c>
      <c r="AP159" s="787"/>
      <c r="AQ159" s="787"/>
      <c r="AR159" s="787"/>
      <c r="AS159" s="787"/>
      <c r="AT159" s="787"/>
      <c r="AU159" s="787"/>
      <c r="AV159" s="787"/>
      <c r="AW159" s="787"/>
      <c r="AX159" s="787"/>
      <c r="AY159" s="787"/>
      <c r="AZ159" s="787">
        <v>0</v>
      </c>
      <c r="BA159" s="787">
        <v>24312.75</v>
      </c>
      <c r="BB159" s="787"/>
      <c r="BC159" s="787"/>
      <c r="BD159" s="787"/>
      <c r="BE159" s="787">
        <v>17029.980000000003</v>
      </c>
      <c r="BF159" s="787"/>
      <c r="BG159" s="787"/>
      <c r="BH159" s="787"/>
      <c r="BI159" s="787"/>
      <c r="BJ159" s="787">
        <f t="shared" si="7"/>
        <v>56288.640000000007</v>
      </c>
      <c r="BK159" s="787"/>
      <c r="BL159" s="787"/>
      <c r="BM159" s="787"/>
      <c r="BN159" s="787">
        <v>0</v>
      </c>
      <c r="BO159" s="787"/>
      <c r="BP159" s="787"/>
      <c r="BQ159" s="787">
        <f t="shared" si="8"/>
        <v>0</v>
      </c>
      <c r="BR159" s="787"/>
      <c r="BS159" s="787"/>
      <c r="BT159" s="787"/>
      <c r="BU159" s="787"/>
      <c r="BV159" s="787"/>
      <c r="BW159" s="787"/>
      <c r="BX159" s="787"/>
      <c r="BY159" s="787"/>
      <c r="BZ159" s="787"/>
      <c r="CA159" s="787"/>
      <c r="CB159" s="787"/>
      <c r="CC159" s="787"/>
      <c r="CD159" s="787"/>
      <c r="CE159" s="787"/>
      <c r="CF159" s="787"/>
      <c r="CG159" s="787"/>
      <c r="CH159" s="787"/>
      <c r="CI159" s="787"/>
      <c r="CJ159" s="787"/>
      <c r="CK159" s="787"/>
      <c r="CL159" s="787"/>
      <c r="CM159" s="787"/>
      <c r="CN159" s="787"/>
      <c r="CO159" s="787"/>
      <c r="CP159" s="787"/>
      <c r="CQ159" s="787"/>
      <c r="CR159" s="787"/>
      <c r="CS159" s="787"/>
      <c r="CT159" s="787"/>
      <c r="CU159" s="787"/>
      <c r="CV159" s="787"/>
      <c r="CW159" s="787"/>
      <c r="CX159" s="787"/>
      <c r="CY159" s="787"/>
      <c r="CZ159" s="787"/>
      <c r="DA159" s="787"/>
      <c r="DB159" s="787"/>
      <c r="DC159" s="787"/>
      <c r="DD159" s="787"/>
      <c r="DE159" s="787"/>
      <c r="DF159" s="787"/>
      <c r="DG159" s="787"/>
      <c r="DH159" s="787"/>
      <c r="DI159" s="787"/>
      <c r="DJ159" s="787"/>
      <c r="DK159" s="787"/>
      <c r="DL159" s="787"/>
      <c r="DM159" s="787"/>
      <c r="DN159" s="787"/>
      <c r="DO159" s="787"/>
      <c r="DP159" s="787"/>
      <c r="DQ159" s="787"/>
      <c r="DR159" s="787"/>
      <c r="DS159" s="787"/>
      <c r="DT159" s="787"/>
      <c r="DU159" s="787"/>
      <c r="DV159" s="787"/>
      <c r="DW159" s="787"/>
      <c r="DX159" s="787"/>
      <c r="DY159" s="787"/>
      <c r="DZ159" s="787"/>
      <c r="EA159" s="787"/>
    </row>
    <row r="160" spans="1:131" ht="15.6">
      <c r="A160" s="782" t="s">
        <v>1454</v>
      </c>
      <c r="B160" s="782" t="s">
        <v>802</v>
      </c>
      <c r="C160" s="783">
        <v>3428</v>
      </c>
      <c r="D160" s="784" t="s">
        <v>803</v>
      </c>
      <c r="E160" s="785" t="s">
        <v>521</v>
      </c>
      <c r="F160" s="786" t="s">
        <v>1322</v>
      </c>
      <c r="G160" s="785" t="s">
        <v>5</v>
      </c>
      <c r="H160" s="785" t="s">
        <v>802</v>
      </c>
      <c r="I160" s="787">
        <v>2394551.2330353311</v>
      </c>
      <c r="J160" s="787">
        <v>0</v>
      </c>
      <c r="K160" s="787">
        <v>197963.82666666666</v>
      </c>
      <c r="L160" s="787"/>
      <c r="M160" s="787">
        <v>128690</v>
      </c>
      <c r="N160" s="787">
        <v>81892</v>
      </c>
      <c r="O160" s="787"/>
      <c r="P160" s="787"/>
      <c r="Q160" s="787">
        <v>0</v>
      </c>
      <c r="R160" s="787"/>
      <c r="S160" s="787"/>
      <c r="T160" s="787"/>
      <c r="U160" s="787"/>
      <c r="V160" s="787"/>
      <c r="W160" s="787"/>
      <c r="X160" s="787">
        <f t="shared" si="6"/>
        <v>2803097.0597019978</v>
      </c>
      <c r="Y160" s="787"/>
      <c r="Z160" s="787"/>
      <c r="AA160" s="787"/>
      <c r="AB160" s="787"/>
      <c r="AC160" s="787"/>
      <c r="AD160" s="787"/>
      <c r="AE160" s="787"/>
      <c r="AF160" s="787"/>
      <c r="AG160" s="787"/>
      <c r="AH160" s="787"/>
      <c r="AI160" s="787"/>
      <c r="AJ160" s="787"/>
      <c r="AK160" s="787"/>
      <c r="AL160" s="787"/>
      <c r="AM160" s="787"/>
      <c r="AN160" s="787"/>
      <c r="AO160" s="787">
        <v>44784.73000000001</v>
      </c>
      <c r="AP160" s="787"/>
      <c r="AQ160" s="787"/>
      <c r="AR160" s="787"/>
      <c r="AS160" s="787"/>
      <c r="AT160" s="787"/>
      <c r="AU160" s="787"/>
      <c r="AV160" s="787"/>
      <c r="AW160" s="787"/>
      <c r="AX160" s="787"/>
      <c r="AY160" s="787"/>
      <c r="AZ160" s="787">
        <v>0</v>
      </c>
      <c r="BA160" s="787">
        <v>9471</v>
      </c>
      <c r="BB160" s="787"/>
      <c r="BC160" s="787"/>
      <c r="BD160" s="787"/>
      <c r="BE160" s="787">
        <v>10744.96</v>
      </c>
      <c r="BF160" s="787"/>
      <c r="BG160" s="787"/>
      <c r="BH160" s="787"/>
      <c r="BI160" s="787"/>
      <c r="BJ160" s="787">
        <f t="shared" si="7"/>
        <v>65000.69000000001</v>
      </c>
      <c r="BK160" s="787"/>
      <c r="BL160" s="787"/>
      <c r="BM160" s="787"/>
      <c r="BN160" s="787">
        <v>0</v>
      </c>
      <c r="BO160" s="787"/>
      <c r="BP160" s="787"/>
      <c r="BQ160" s="787">
        <f t="shared" si="8"/>
        <v>0</v>
      </c>
      <c r="BR160" s="787"/>
      <c r="BS160" s="787"/>
      <c r="BT160" s="787"/>
      <c r="BU160" s="787"/>
      <c r="BV160" s="787"/>
      <c r="BW160" s="787"/>
      <c r="BX160" s="787"/>
      <c r="BY160" s="787"/>
      <c r="BZ160" s="787"/>
      <c r="CA160" s="787"/>
      <c r="CB160" s="787"/>
      <c r="CC160" s="787"/>
      <c r="CD160" s="787"/>
      <c r="CE160" s="787"/>
      <c r="CF160" s="787"/>
      <c r="CG160" s="787"/>
      <c r="CH160" s="787"/>
      <c r="CI160" s="787"/>
      <c r="CJ160" s="787"/>
      <c r="CK160" s="787"/>
      <c r="CL160" s="787"/>
      <c r="CM160" s="787"/>
      <c r="CN160" s="787"/>
      <c r="CO160" s="787"/>
      <c r="CP160" s="787"/>
      <c r="CQ160" s="787"/>
      <c r="CR160" s="787"/>
      <c r="CS160" s="787"/>
      <c r="CT160" s="787"/>
      <c r="CU160" s="787"/>
      <c r="CV160" s="787"/>
      <c r="CW160" s="787"/>
      <c r="CX160" s="787"/>
      <c r="CY160" s="787"/>
      <c r="CZ160" s="787"/>
      <c r="DA160" s="787"/>
      <c r="DB160" s="787"/>
      <c r="DC160" s="787"/>
      <c r="DD160" s="787"/>
      <c r="DE160" s="787"/>
      <c r="DF160" s="787"/>
      <c r="DG160" s="787"/>
      <c r="DH160" s="787"/>
      <c r="DI160" s="787"/>
      <c r="DJ160" s="787"/>
      <c r="DK160" s="787"/>
      <c r="DL160" s="787"/>
      <c r="DM160" s="787"/>
      <c r="DN160" s="787"/>
      <c r="DO160" s="787"/>
      <c r="DP160" s="787"/>
      <c r="DQ160" s="787"/>
      <c r="DR160" s="787"/>
      <c r="DS160" s="787"/>
      <c r="DT160" s="787"/>
      <c r="DU160" s="787"/>
      <c r="DV160" s="787"/>
      <c r="DW160" s="787"/>
      <c r="DX160" s="787"/>
      <c r="DY160" s="787"/>
      <c r="DZ160" s="787"/>
      <c r="EA160" s="787"/>
    </row>
    <row r="161" spans="1:131" ht="15.6">
      <c r="A161" s="782" t="s">
        <v>1455</v>
      </c>
      <c r="B161" s="782" t="s">
        <v>804</v>
      </c>
      <c r="C161" s="783">
        <v>3019</v>
      </c>
      <c r="D161" s="784" t="s">
        <v>805</v>
      </c>
      <c r="E161" s="785" t="s">
        <v>521</v>
      </c>
      <c r="F161" s="786">
        <v>46094</v>
      </c>
      <c r="G161" s="785" t="s">
        <v>5</v>
      </c>
      <c r="H161" s="785" t="s">
        <v>818</v>
      </c>
      <c r="I161" s="787">
        <v>2593925.4865974844</v>
      </c>
      <c r="J161" s="787">
        <v>0</v>
      </c>
      <c r="K161" s="787">
        <v>279644.09999999998</v>
      </c>
      <c r="L161" s="787"/>
      <c r="M161" s="787">
        <v>325325</v>
      </c>
      <c r="N161" s="787">
        <v>59262</v>
      </c>
      <c r="O161" s="787"/>
      <c r="P161" s="787"/>
      <c r="Q161" s="787">
        <v>21166.239260000002</v>
      </c>
      <c r="R161" s="787"/>
      <c r="S161" s="787"/>
      <c r="T161" s="787"/>
      <c r="U161" s="787"/>
      <c r="V161" s="787"/>
      <c r="W161" s="787"/>
      <c r="X161" s="787">
        <f t="shared" si="6"/>
        <v>3279322.8258574847</v>
      </c>
      <c r="Y161" s="787"/>
      <c r="Z161" s="787"/>
      <c r="AA161" s="787"/>
      <c r="AB161" s="787"/>
      <c r="AC161" s="787"/>
      <c r="AD161" s="787"/>
      <c r="AE161" s="787"/>
      <c r="AF161" s="787"/>
      <c r="AG161" s="787"/>
      <c r="AH161" s="787"/>
      <c r="AI161" s="787"/>
      <c r="AJ161" s="787"/>
      <c r="AK161" s="787"/>
      <c r="AL161" s="787"/>
      <c r="AM161" s="787"/>
      <c r="AN161" s="787"/>
      <c r="AO161" s="787">
        <v>27824.829999999998</v>
      </c>
      <c r="AP161" s="787"/>
      <c r="AQ161" s="787"/>
      <c r="AR161" s="787"/>
      <c r="AS161" s="787"/>
      <c r="AT161" s="787"/>
      <c r="AU161" s="787"/>
      <c r="AV161" s="787"/>
      <c r="AW161" s="787"/>
      <c r="AX161" s="787"/>
      <c r="AY161" s="787"/>
      <c r="AZ161" s="787">
        <v>86.81</v>
      </c>
      <c r="BA161" s="787">
        <v>9471</v>
      </c>
      <c r="BB161" s="787"/>
      <c r="BC161" s="787"/>
      <c r="BD161" s="787"/>
      <c r="BE161" s="787">
        <v>10614.560000000003</v>
      </c>
      <c r="BF161" s="787"/>
      <c r="BG161" s="787"/>
      <c r="BH161" s="787"/>
      <c r="BI161" s="787"/>
      <c r="BJ161" s="787">
        <f t="shared" si="7"/>
        <v>47997.200000000004</v>
      </c>
      <c r="BK161" s="787"/>
      <c r="BL161" s="787"/>
      <c r="BM161" s="787"/>
      <c r="BN161" s="787">
        <v>8612.5</v>
      </c>
      <c r="BO161" s="787"/>
      <c r="BP161" s="787"/>
      <c r="BQ161" s="787">
        <f t="shared" si="8"/>
        <v>8612.5</v>
      </c>
      <c r="BR161" s="787"/>
      <c r="BS161" s="787"/>
      <c r="BT161" s="787"/>
      <c r="BU161" s="787"/>
      <c r="BV161" s="787"/>
      <c r="BW161" s="787"/>
      <c r="BX161" s="787"/>
      <c r="BY161" s="787"/>
      <c r="BZ161" s="787"/>
      <c r="CA161" s="787"/>
      <c r="CB161" s="787"/>
      <c r="CC161" s="787"/>
      <c r="CD161" s="787"/>
      <c r="CE161" s="787"/>
      <c r="CF161" s="787"/>
      <c r="CG161" s="787"/>
      <c r="CH161" s="787"/>
      <c r="CI161" s="787"/>
      <c r="CJ161" s="787"/>
      <c r="CK161" s="787"/>
      <c r="CL161" s="787"/>
      <c r="CM161" s="787"/>
      <c r="CN161" s="787"/>
      <c r="CO161" s="787"/>
      <c r="CP161" s="787"/>
      <c r="CQ161" s="787"/>
      <c r="CR161" s="787"/>
      <c r="CS161" s="787"/>
      <c r="CT161" s="787"/>
      <c r="CU161" s="787"/>
      <c r="CV161" s="787"/>
      <c r="CW161" s="787"/>
      <c r="CX161" s="787"/>
      <c r="CY161" s="787"/>
      <c r="CZ161" s="787"/>
      <c r="DA161" s="787"/>
      <c r="DB161" s="787"/>
      <c r="DC161" s="787"/>
      <c r="DD161" s="787"/>
      <c r="DE161" s="787"/>
      <c r="DF161" s="787"/>
      <c r="DG161" s="787"/>
      <c r="DH161" s="787"/>
      <c r="DI161" s="787"/>
      <c r="DJ161" s="787"/>
      <c r="DK161" s="787"/>
      <c r="DL161" s="787"/>
      <c r="DM161" s="787"/>
      <c r="DN161" s="787"/>
      <c r="DO161" s="787"/>
      <c r="DP161" s="787"/>
      <c r="DQ161" s="787"/>
      <c r="DR161" s="787"/>
      <c r="DS161" s="787"/>
      <c r="DT161" s="787"/>
      <c r="DU161" s="787"/>
      <c r="DV161" s="787"/>
      <c r="DW161" s="787"/>
      <c r="DX161" s="787"/>
      <c r="DY161" s="787"/>
      <c r="DZ161" s="787"/>
      <c r="EA161" s="787"/>
    </row>
    <row r="162" spans="1:131" ht="15.6">
      <c r="A162" s="782" t="s">
        <v>1456</v>
      </c>
      <c r="B162" s="782" t="s">
        <v>930</v>
      </c>
      <c r="C162" s="783">
        <v>1009</v>
      </c>
      <c r="D162" s="784" t="s">
        <v>931</v>
      </c>
      <c r="E162" s="785" t="s">
        <v>521</v>
      </c>
      <c r="F162" s="786">
        <v>46094</v>
      </c>
      <c r="G162" s="785" t="s">
        <v>5</v>
      </c>
      <c r="H162" s="785" t="s">
        <v>886</v>
      </c>
      <c r="I162" s="787">
        <v>713504.15031338995</v>
      </c>
      <c r="J162" s="787">
        <v>0</v>
      </c>
      <c r="K162" s="787">
        <v>32251.733199999999</v>
      </c>
      <c r="L162" s="787"/>
      <c r="M162" s="787">
        <v>0</v>
      </c>
      <c r="N162" s="787">
        <v>0</v>
      </c>
      <c r="O162" s="787"/>
      <c r="P162" s="787"/>
      <c r="Q162" s="787">
        <v>0</v>
      </c>
      <c r="R162" s="787"/>
      <c r="S162" s="787"/>
      <c r="T162" s="787"/>
      <c r="U162" s="787"/>
      <c r="V162" s="787"/>
      <c r="W162" s="787"/>
      <c r="X162" s="787">
        <f t="shared" si="6"/>
        <v>745755.88351338997</v>
      </c>
      <c r="Y162" s="787"/>
      <c r="Z162" s="787"/>
      <c r="AA162" s="787"/>
      <c r="AB162" s="787"/>
      <c r="AC162" s="787"/>
      <c r="AD162" s="787"/>
      <c r="AE162" s="787"/>
      <c r="AF162" s="787"/>
      <c r="AG162" s="787"/>
      <c r="AH162" s="787"/>
      <c r="AI162" s="787"/>
      <c r="AJ162" s="787"/>
      <c r="AK162" s="787"/>
      <c r="AL162" s="787"/>
      <c r="AM162" s="787"/>
      <c r="AN162" s="787"/>
      <c r="AO162" s="787">
        <v>0</v>
      </c>
      <c r="AP162" s="787"/>
      <c r="AQ162" s="787"/>
      <c r="AR162" s="787"/>
      <c r="AS162" s="787"/>
      <c r="AT162" s="787"/>
      <c r="AU162" s="787"/>
      <c r="AV162" s="787"/>
      <c r="AW162" s="787"/>
      <c r="AX162" s="787"/>
      <c r="AY162" s="787"/>
      <c r="AZ162" s="787">
        <v>0</v>
      </c>
      <c r="BA162" s="787">
        <v>3291.75</v>
      </c>
      <c r="BB162" s="787"/>
      <c r="BC162" s="787"/>
      <c r="BD162" s="787"/>
      <c r="BE162" s="787">
        <v>0</v>
      </c>
      <c r="BF162" s="787"/>
      <c r="BG162" s="787"/>
      <c r="BH162" s="787"/>
      <c r="BI162" s="787"/>
      <c r="BJ162" s="787">
        <f t="shared" si="7"/>
        <v>3291.75</v>
      </c>
      <c r="BK162" s="787"/>
      <c r="BL162" s="787"/>
      <c r="BM162" s="787"/>
      <c r="BN162" s="787">
        <v>4823.5</v>
      </c>
      <c r="BO162" s="787"/>
      <c r="BP162" s="787"/>
      <c r="BQ162" s="787">
        <f t="shared" si="8"/>
        <v>4823.5</v>
      </c>
      <c r="BR162" s="787"/>
      <c r="BS162" s="787"/>
      <c r="BT162" s="787"/>
      <c r="BU162" s="787"/>
      <c r="BV162" s="787"/>
      <c r="BW162" s="787"/>
      <c r="BX162" s="787"/>
      <c r="BY162" s="787"/>
      <c r="BZ162" s="787"/>
      <c r="CA162" s="787"/>
      <c r="CB162" s="787"/>
      <c r="CC162" s="787"/>
      <c r="CD162" s="787"/>
      <c r="CE162" s="787"/>
      <c r="CF162" s="787"/>
      <c r="CG162" s="787"/>
      <c r="CH162" s="787"/>
      <c r="CI162" s="787"/>
      <c r="CJ162" s="787"/>
      <c r="CK162" s="787"/>
      <c r="CL162" s="787"/>
      <c r="CM162" s="787"/>
      <c r="CN162" s="787"/>
      <c r="CO162" s="787"/>
      <c r="CP162" s="787"/>
      <c r="CQ162" s="787"/>
      <c r="CR162" s="787"/>
      <c r="CS162" s="787"/>
      <c r="CT162" s="787"/>
      <c r="CU162" s="787"/>
      <c r="CV162" s="787"/>
      <c r="CW162" s="787"/>
      <c r="CX162" s="787"/>
      <c r="CY162" s="787"/>
      <c r="CZ162" s="787"/>
      <c r="DA162" s="787"/>
      <c r="DB162" s="787"/>
      <c r="DC162" s="787"/>
      <c r="DD162" s="787"/>
      <c r="DE162" s="787"/>
      <c r="DF162" s="787"/>
      <c r="DG162" s="787"/>
      <c r="DH162" s="787"/>
      <c r="DI162" s="787"/>
      <c r="DJ162" s="787"/>
      <c r="DK162" s="787"/>
      <c r="DL162" s="787"/>
      <c r="DM162" s="787"/>
      <c r="DN162" s="787"/>
      <c r="DO162" s="787"/>
      <c r="DP162" s="787"/>
      <c r="DQ162" s="787"/>
      <c r="DR162" s="787"/>
      <c r="DS162" s="787"/>
      <c r="DT162" s="787"/>
      <c r="DU162" s="787"/>
      <c r="DV162" s="787"/>
      <c r="DW162" s="787"/>
      <c r="DX162" s="787"/>
      <c r="DY162" s="787"/>
      <c r="DZ162" s="787"/>
      <c r="EA162" s="787"/>
    </row>
    <row r="163" spans="1:131" ht="15.6">
      <c r="A163" s="782" t="s">
        <v>1457</v>
      </c>
      <c r="B163" s="782" t="s">
        <v>806</v>
      </c>
      <c r="C163" s="783">
        <v>2178</v>
      </c>
      <c r="D163" s="784" t="s">
        <v>807</v>
      </c>
      <c r="E163" s="785" t="s">
        <v>521</v>
      </c>
      <c r="F163" s="786">
        <v>46094</v>
      </c>
      <c r="G163" s="785" t="s">
        <v>5</v>
      </c>
      <c r="H163" s="785" t="s">
        <v>820</v>
      </c>
      <c r="I163" s="787">
        <v>1467374.320300546</v>
      </c>
      <c r="J163" s="787">
        <v>0</v>
      </c>
      <c r="K163" s="787">
        <v>8306</v>
      </c>
      <c r="L163" s="787"/>
      <c r="M163" s="787">
        <v>161620</v>
      </c>
      <c r="N163" s="787">
        <v>36016</v>
      </c>
      <c r="O163" s="787"/>
      <c r="P163" s="787"/>
      <c r="Q163" s="787">
        <v>6005.2388100000126</v>
      </c>
      <c r="R163" s="787"/>
      <c r="S163" s="787"/>
      <c r="T163" s="787"/>
      <c r="U163" s="787"/>
      <c r="V163" s="787"/>
      <c r="W163" s="787"/>
      <c r="X163" s="787">
        <f t="shared" si="6"/>
        <v>1679321.559110546</v>
      </c>
      <c r="Y163" s="787"/>
      <c r="Z163" s="787"/>
      <c r="AA163" s="787"/>
      <c r="AB163" s="787"/>
      <c r="AC163" s="787"/>
      <c r="AD163" s="787"/>
      <c r="AE163" s="787"/>
      <c r="AF163" s="787"/>
      <c r="AG163" s="787"/>
      <c r="AH163" s="787"/>
      <c r="AI163" s="787"/>
      <c r="AJ163" s="787"/>
      <c r="AK163" s="787"/>
      <c r="AL163" s="787"/>
      <c r="AM163" s="787"/>
      <c r="AN163" s="787"/>
      <c r="AO163" s="787">
        <v>16400.14</v>
      </c>
      <c r="AP163" s="787"/>
      <c r="AQ163" s="787"/>
      <c r="AR163" s="787"/>
      <c r="AS163" s="787"/>
      <c r="AT163" s="787"/>
      <c r="AU163" s="787"/>
      <c r="AV163" s="787"/>
      <c r="AW163" s="787"/>
      <c r="AX163" s="787"/>
      <c r="AY163" s="787"/>
      <c r="AZ163" s="787">
        <v>13.91</v>
      </c>
      <c r="BA163" s="787">
        <v>5139.75</v>
      </c>
      <c r="BB163" s="787"/>
      <c r="BC163" s="787"/>
      <c r="BD163" s="787"/>
      <c r="BE163" s="787">
        <v>5372.48</v>
      </c>
      <c r="BF163" s="787"/>
      <c r="BG163" s="787"/>
      <c r="BH163" s="787"/>
      <c r="BI163" s="787"/>
      <c r="BJ163" s="787">
        <f t="shared" si="7"/>
        <v>26926.28</v>
      </c>
      <c r="BK163" s="787"/>
      <c r="BL163" s="787"/>
      <c r="BM163" s="787"/>
      <c r="BN163" s="787">
        <v>6518.2</v>
      </c>
      <c r="BO163" s="787"/>
      <c r="BP163" s="787"/>
      <c r="BQ163" s="787">
        <f t="shared" si="8"/>
        <v>6518.2</v>
      </c>
      <c r="BR163" s="787"/>
      <c r="BS163" s="787"/>
      <c r="BT163" s="787"/>
      <c r="BU163" s="787"/>
      <c r="BV163" s="787"/>
      <c r="BW163" s="787"/>
      <c r="BX163" s="787"/>
      <c r="BY163" s="787"/>
      <c r="BZ163" s="787"/>
      <c r="CA163" s="787"/>
      <c r="CB163" s="787"/>
      <c r="CC163" s="787"/>
      <c r="CD163" s="787"/>
      <c r="CE163" s="787"/>
      <c r="CF163" s="787"/>
      <c r="CG163" s="787"/>
      <c r="CH163" s="787"/>
      <c r="CI163" s="787"/>
      <c r="CJ163" s="787"/>
      <c r="CK163" s="787"/>
      <c r="CL163" s="787"/>
      <c r="CM163" s="787"/>
      <c r="CN163" s="787"/>
      <c r="CO163" s="787"/>
      <c r="CP163" s="787"/>
      <c r="CQ163" s="787"/>
      <c r="CR163" s="787"/>
      <c r="CS163" s="787"/>
      <c r="CT163" s="787"/>
      <c r="CU163" s="787"/>
      <c r="CV163" s="787"/>
      <c r="CW163" s="787"/>
      <c r="CX163" s="787"/>
      <c r="CY163" s="787"/>
      <c r="CZ163" s="787"/>
      <c r="DA163" s="787"/>
      <c r="DB163" s="787"/>
      <c r="DC163" s="787"/>
      <c r="DD163" s="787"/>
      <c r="DE163" s="787"/>
      <c r="DF163" s="787"/>
      <c r="DG163" s="787"/>
      <c r="DH163" s="787"/>
      <c r="DI163" s="787"/>
      <c r="DJ163" s="787"/>
      <c r="DK163" s="787"/>
      <c r="DL163" s="787"/>
      <c r="DM163" s="787"/>
      <c r="DN163" s="787"/>
      <c r="DO163" s="787"/>
      <c r="DP163" s="787"/>
      <c r="DQ163" s="787"/>
      <c r="DR163" s="787"/>
      <c r="DS163" s="787"/>
      <c r="DT163" s="787"/>
      <c r="DU163" s="787"/>
      <c r="DV163" s="787"/>
      <c r="DW163" s="787"/>
      <c r="DX163" s="787"/>
      <c r="DY163" s="787"/>
      <c r="DZ163" s="787"/>
      <c r="EA163" s="787"/>
    </row>
    <row r="164" spans="1:131" ht="15.6">
      <c r="A164" s="782" t="s">
        <v>1458</v>
      </c>
      <c r="B164" s="782" t="s">
        <v>808</v>
      </c>
      <c r="C164" s="783">
        <v>2184</v>
      </c>
      <c r="D164" s="784" t="s">
        <v>809</v>
      </c>
      <c r="E164" s="785" t="s">
        <v>521</v>
      </c>
      <c r="F164" s="786">
        <v>46090</v>
      </c>
      <c r="G164" s="785" t="s">
        <v>5</v>
      </c>
      <c r="H164" s="785" t="s">
        <v>822</v>
      </c>
      <c r="I164" s="787">
        <v>2471070.6835654657</v>
      </c>
      <c r="J164" s="787">
        <v>0</v>
      </c>
      <c r="K164" s="787">
        <v>189380.39</v>
      </c>
      <c r="L164" s="787"/>
      <c r="M164" s="787">
        <v>279075</v>
      </c>
      <c r="N164" s="787">
        <v>68333.290000000008</v>
      </c>
      <c r="O164" s="787"/>
      <c r="P164" s="787"/>
      <c r="Q164" s="787">
        <v>32172.838755000041</v>
      </c>
      <c r="R164" s="787"/>
      <c r="S164" s="787"/>
      <c r="T164" s="787"/>
      <c r="U164" s="787"/>
      <c r="V164" s="787"/>
      <c r="W164" s="787"/>
      <c r="X164" s="787">
        <f t="shared" si="6"/>
        <v>3040032.2023204658</v>
      </c>
      <c r="Y164" s="787"/>
      <c r="Z164" s="787"/>
      <c r="AA164" s="787"/>
      <c r="AB164" s="787"/>
      <c r="AC164" s="787"/>
      <c r="AD164" s="787"/>
      <c r="AE164" s="787"/>
      <c r="AF164" s="787"/>
      <c r="AG164" s="787"/>
      <c r="AH164" s="787"/>
      <c r="AI164" s="787"/>
      <c r="AJ164" s="787"/>
      <c r="AK164" s="787"/>
      <c r="AL164" s="787"/>
      <c r="AM164" s="787"/>
      <c r="AN164" s="787"/>
      <c r="AO164" s="787">
        <v>30739.81</v>
      </c>
      <c r="AP164" s="787"/>
      <c r="AQ164" s="787"/>
      <c r="AR164" s="787"/>
      <c r="AS164" s="787"/>
      <c r="AT164" s="787"/>
      <c r="AU164" s="787"/>
      <c r="AV164" s="787"/>
      <c r="AW164" s="787"/>
      <c r="AX164" s="787"/>
      <c r="AY164" s="787"/>
      <c r="AZ164" s="787">
        <v>187.25</v>
      </c>
      <c r="BA164" s="787">
        <v>9471</v>
      </c>
      <c r="BB164" s="787"/>
      <c r="BC164" s="787"/>
      <c r="BD164" s="787"/>
      <c r="BE164" s="787">
        <v>10797.12</v>
      </c>
      <c r="BF164" s="787"/>
      <c r="BG164" s="787"/>
      <c r="BH164" s="787"/>
      <c r="BI164" s="787"/>
      <c r="BJ164" s="787">
        <f t="shared" si="7"/>
        <v>51195.18</v>
      </c>
      <c r="BK164" s="787"/>
      <c r="BL164" s="787"/>
      <c r="BM164" s="787"/>
      <c r="BN164" s="787">
        <v>8839.75</v>
      </c>
      <c r="BO164" s="787"/>
      <c r="BP164" s="787"/>
      <c r="BQ164" s="787">
        <f t="shared" si="8"/>
        <v>8839.75</v>
      </c>
      <c r="BR164" s="787"/>
      <c r="BS164" s="787"/>
      <c r="BT164" s="787"/>
      <c r="BU164" s="787"/>
      <c r="BV164" s="787"/>
      <c r="BW164" s="787"/>
      <c r="BX164" s="787"/>
      <c r="BY164" s="787"/>
      <c r="BZ164" s="787"/>
      <c r="CA164" s="787"/>
      <c r="CB164" s="787"/>
      <c r="CC164" s="787"/>
      <c r="CD164" s="787"/>
      <c r="CE164" s="787"/>
      <c r="CF164" s="787"/>
      <c r="CG164" s="787"/>
      <c r="CH164" s="787"/>
      <c r="CI164" s="787"/>
      <c r="CJ164" s="787"/>
      <c r="CK164" s="787"/>
      <c r="CL164" s="787"/>
      <c r="CM164" s="787"/>
      <c r="CN164" s="787"/>
      <c r="CO164" s="787"/>
      <c r="CP164" s="787"/>
      <c r="CQ164" s="787"/>
      <c r="CR164" s="787"/>
      <c r="CS164" s="787"/>
      <c r="CT164" s="787"/>
      <c r="CU164" s="787"/>
      <c r="CV164" s="787"/>
      <c r="CW164" s="787"/>
      <c r="CX164" s="787"/>
      <c r="CY164" s="787"/>
      <c r="CZ164" s="787"/>
      <c r="DA164" s="787"/>
      <c r="DB164" s="787"/>
      <c r="DC164" s="787"/>
      <c r="DD164" s="787"/>
      <c r="DE164" s="787"/>
      <c r="DF164" s="787"/>
      <c r="DG164" s="787"/>
      <c r="DH164" s="787"/>
      <c r="DI164" s="787"/>
      <c r="DJ164" s="787"/>
      <c r="DK164" s="787"/>
      <c r="DL164" s="787"/>
      <c r="DM164" s="787"/>
      <c r="DN164" s="787"/>
      <c r="DO164" s="787"/>
      <c r="DP164" s="787"/>
      <c r="DQ164" s="787"/>
      <c r="DR164" s="787"/>
      <c r="DS164" s="787"/>
      <c r="DT164" s="787"/>
      <c r="DU164" s="787"/>
      <c r="DV164" s="787"/>
      <c r="DW164" s="787"/>
      <c r="DX164" s="787"/>
      <c r="DY164" s="787"/>
      <c r="DZ164" s="787"/>
      <c r="EA164" s="787"/>
    </row>
    <row r="165" spans="1:131" ht="15.6">
      <c r="A165" s="782" t="s">
        <v>1459</v>
      </c>
      <c r="B165" s="782" t="s">
        <v>810</v>
      </c>
      <c r="C165" s="783">
        <v>2190</v>
      </c>
      <c r="D165" s="784" t="s">
        <v>811</v>
      </c>
      <c r="E165" s="785" t="s">
        <v>521</v>
      </c>
      <c r="F165" s="786">
        <v>46094</v>
      </c>
      <c r="G165" s="785" t="s">
        <v>5</v>
      </c>
      <c r="H165" s="785" t="s">
        <v>824</v>
      </c>
      <c r="I165" s="787">
        <v>1066974.7467947369</v>
      </c>
      <c r="J165" s="787">
        <v>0</v>
      </c>
      <c r="K165" s="787">
        <v>56920.460000000006</v>
      </c>
      <c r="L165" s="787"/>
      <c r="M165" s="787">
        <v>150700</v>
      </c>
      <c r="N165" s="787">
        <v>32292</v>
      </c>
      <c r="O165" s="787"/>
      <c r="P165" s="787"/>
      <c r="Q165" s="787">
        <v>1772.936639999989</v>
      </c>
      <c r="R165" s="787"/>
      <c r="S165" s="787"/>
      <c r="T165" s="787"/>
      <c r="U165" s="787"/>
      <c r="V165" s="787"/>
      <c r="W165" s="787"/>
      <c r="X165" s="787">
        <f t="shared" si="6"/>
        <v>1308660.1434347369</v>
      </c>
      <c r="Y165" s="787"/>
      <c r="Z165" s="787"/>
      <c r="AA165" s="787"/>
      <c r="AB165" s="787"/>
      <c r="AC165" s="787"/>
      <c r="AD165" s="787"/>
      <c r="AE165" s="787"/>
      <c r="AF165" s="787"/>
      <c r="AG165" s="787"/>
      <c r="AH165" s="787"/>
      <c r="AI165" s="787"/>
      <c r="AJ165" s="787"/>
      <c r="AK165" s="787"/>
      <c r="AL165" s="787"/>
      <c r="AM165" s="787"/>
      <c r="AN165" s="787"/>
      <c r="AO165" s="787">
        <v>21694.67</v>
      </c>
      <c r="AP165" s="787"/>
      <c r="AQ165" s="787"/>
      <c r="AR165" s="787"/>
      <c r="AS165" s="787"/>
      <c r="AT165" s="787"/>
      <c r="AU165" s="787"/>
      <c r="AV165" s="787"/>
      <c r="AW165" s="787"/>
      <c r="AX165" s="787"/>
      <c r="AY165" s="787"/>
      <c r="AZ165" s="787">
        <v>22.19</v>
      </c>
      <c r="BA165" s="787">
        <v>5139.75</v>
      </c>
      <c r="BB165" s="787"/>
      <c r="BC165" s="787"/>
      <c r="BD165" s="787"/>
      <c r="BE165" s="787">
        <v>4068.4799999999996</v>
      </c>
      <c r="BF165" s="787"/>
      <c r="BG165" s="787"/>
      <c r="BH165" s="787"/>
      <c r="BI165" s="787"/>
      <c r="BJ165" s="787">
        <f t="shared" si="7"/>
        <v>30925.089999999997</v>
      </c>
      <c r="BK165" s="787"/>
      <c r="BL165" s="787"/>
      <c r="BM165" s="787"/>
      <c r="BN165" s="787">
        <v>5923.75</v>
      </c>
      <c r="BO165" s="787"/>
      <c r="BP165" s="787"/>
      <c r="BQ165" s="787">
        <f t="shared" si="8"/>
        <v>5923.75</v>
      </c>
      <c r="BR165" s="787"/>
      <c r="BS165" s="787"/>
      <c r="BT165" s="787"/>
      <c r="BU165" s="787"/>
      <c r="BV165" s="787"/>
      <c r="BW165" s="787"/>
      <c r="BX165" s="787"/>
      <c r="BY165" s="787"/>
      <c r="BZ165" s="787"/>
      <c r="CA165" s="787"/>
      <c r="CB165" s="787"/>
      <c r="CC165" s="787"/>
      <c r="CD165" s="787"/>
      <c r="CE165" s="787"/>
      <c r="CF165" s="787"/>
      <c r="CG165" s="787"/>
      <c r="CH165" s="787"/>
      <c r="CI165" s="787"/>
      <c r="CJ165" s="787"/>
      <c r="CK165" s="787"/>
      <c r="CL165" s="787"/>
      <c r="CM165" s="787"/>
      <c r="CN165" s="787"/>
      <c r="CO165" s="787"/>
      <c r="CP165" s="787"/>
      <c r="CQ165" s="787"/>
      <c r="CR165" s="787"/>
      <c r="CS165" s="787"/>
      <c r="CT165" s="787"/>
      <c r="CU165" s="787"/>
      <c r="CV165" s="787"/>
      <c r="CW165" s="787"/>
      <c r="CX165" s="787"/>
      <c r="CY165" s="787"/>
      <c r="CZ165" s="787"/>
      <c r="DA165" s="787"/>
      <c r="DB165" s="787"/>
      <c r="DC165" s="787"/>
      <c r="DD165" s="787"/>
      <c r="DE165" s="787"/>
      <c r="DF165" s="787"/>
      <c r="DG165" s="787"/>
      <c r="DH165" s="787"/>
      <c r="DI165" s="787"/>
      <c r="DJ165" s="787"/>
      <c r="DK165" s="787"/>
      <c r="DL165" s="787"/>
      <c r="DM165" s="787"/>
      <c r="DN165" s="787"/>
      <c r="DO165" s="787"/>
      <c r="DP165" s="787"/>
      <c r="DQ165" s="787"/>
      <c r="DR165" s="787"/>
      <c r="DS165" s="787"/>
      <c r="DT165" s="787"/>
      <c r="DU165" s="787"/>
      <c r="DV165" s="787"/>
      <c r="DW165" s="787"/>
      <c r="DX165" s="787"/>
      <c r="DY165" s="787"/>
      <c r="DZ165" s="787"/>
      <c r="EA165" s="787"/>
    </row>
    <row r="166" spans="1:131" ht="15.6">
      <c r="A166" s="782" t="s">
        <v>1460</v>
      </c>
      <c r="B166" s="782" t="s">
        <v>812</v>
      </c>
      <c r="C166" s="783">
        <v>7035</v>
      </c>
      <c r="D166" s="784" t="s">
        <v>813</v>
      </c>
      <c r="E166" s="785" t="s">
        <v>521</v>
      </c>
      <c r="F166" s="786">
        <v>46094</v>
      </c>
      <c r="G166" s="785" t="s">
        <v>5</v>
      </c>
      <c r="H166" s="785" t="s">
        <v>826</v>
      </c>
      <c r="I166" s="787">
        <v>1651958.7521739129</v>
      </c>
      <c r="J166" s="787">
        <v>0</v>
      </c>
      <c r="K166" s="787">
        <v>2188864.4310491639</v>
      </c>
      <c r="L166" s="787"/>
      <c r="M166" s="787">
        <v>133635</v>
      </c>
      <c r="N166" s="787">
        <v>25299.09</v>
      </c>
      <c r="O166" s="787"/>
      <c r="P166" s="787"/>
      <c r="Q166" s="787">
        <v>0</v>
      </c>
      <c r="R166" s="787"/>
      <c r="S166" s="787"/>
      <c r="T166" s="787"/>
      <c r="U166" s="787"/>
      <c r="V166" s="787"/>
      <c r="W166" s="787"/>
      <c r="X166" s="787">
        <f t="shared" si="6"/>
        <v>3999757.2732230769</v>
      </c>
      <c r="Y166" s="787"/>
      <c r="Z166" s="787"/>
      <c r="AA166" s="787"/>
      <c r="AB166" s="787"/>
      <c r="AC166" s="787"/>
      <c r="AD166" s="787"/>
      <c r="AE166" s="787"/>
      <c r="AF166" s="787"/>
      <c r="AG166" s="787"/>
      <c r="AH166" s="787"/>
      <c r="AI166" s="787"/>
      <c r="AJ166" s="787"/>
      <c r="AK166" s="787"/>
      <c r="AL166" s="787"/>
      <c r="AM166" s="787"/>
      <c r="AN166" s="787"/>
      <c r="AO166" s="787">
        <v>0</v>
      </c>
      <c r="AP166" s="787"/>
      <c r="AQ166" s="787"/>
      <c r="AR166" s="787"/>
      <c r="AS166" s="787"/>
      <c r="AT166" s="787"/>
      <c r="AU166" s="787"/>
      <c r="AV166" s="787"/>
      <c r="AW166" s="787"/>
      <c r="AX166" s="787"/>
      <c r="AY166" s="787"/>
      <c r="AZ166" s="787">
        <v>0</v>
      </c>
      <c r="BA166" s="787">
        <v>5139.75</v>
      </c>
      <c r="BB166" s="787"/>
      <c r="BC166" s="787"/>
      <c r="BD166" s="787"/>
      <c r="BE166" s="787">
        <v>0</v>
      </c>
      <c r="BF166" s="787"/>
      <c r="BG166" s="787"/>
      <c r="BH166" s="787"/>
      <c r="BI166" s="787"/>
      <c r="BJ166" s="787">
        <f t="shared" si="7"/>
        <v>5139.75</v>
      </c>
      <c r="BK166" s="787"/>
      <c r="BL166" s="787"/>
      <c r="BM166" s="787"/>
      <c r="BN166" s="787">
        <v>11644.38</v>
      </c>
      <c r="BO166" s="787"/>
      <c r="BP166" s="787"/>
      <c r="BQ166" s="787">
        <f t="shared" si="8"/>
        <v>11644.38</v>
      </c>
      <c r="BR166" s="787"/>
      <c r="BS166" s="787"/>
      <c r="BT166" s="787"/>
      <c r="BU166" s="787"/>
      <c r="BV166" s="787"/>
      <c r="BW166" s="787"/>
      <c r="BX166" s="787"/>
      <c r="BY166" s="787"/>
      <c r="BZ166" s="787"/>
      <c r="CA166" s="787"/>
      <c r="CB166" s="787"/>
      <c r="CC166" s="787"/>
      <c r="CD166" s="787"/>
      <c r="CE166" s="787"/>
      <c r="CF166" s="787"/>
      <c r="CG166" s="787"/>
      <c r="CH166" s="787"/>
      <c r="CI166" s="787"/>
      <c r="CJ166" s="787"/>
      <c r="CK166" s="787"/>
      <c r="CL166" s="787"/>
      <c r="CM166" s="787"/>
      <c r="CN166" s="787"/>
      <c r="CO166" s="787"/>
      <c r="CP166" s="787"/>
      <c r="CQ166" s="787"/>
      <c r="CR166" s="787"/>
      <c r="CS166" s="787"/>
      <c r="CT166" s="787"/>
      <c r="CU166" s="787"/>
      <c r="CV166" s="787"/>
      <c r="CW166" s="787"/>
      <c r="CX166" s="787"/>
      <c r="CY166" s="787"/>
      <c r="CZ166" s="787"/>
      <c r="DA166" s="787"/>
      <c r="DB166" s="787"/>
      <c r="DC166" s="787"/>
      <c r="DD166" s="787"/>
      <c r="DE166" s="787"/>
      <c r="DF166" s="787"/>
      <c r="DG166" s="787"/>
      <c r="DH166" s="787"/>
      <c r="DI166" s="787"/>
      <c r="DJ166" s="787"/>
      <c r="DK166" s="787"/>
      <c r="DL166" s="787"/>
      <c r="DM166" s="787"/>
      <c r="DN166" s="787"/>
      <c r="DO166" s="787"/>
      <c r="DP166" s="787"/>
      <c r="DQ166" s="787"/>
      <c r="DR166" s="787"/>
      <c r="DS166" s="787"/>
      <c r="DT166" s="787"/>
      <c r="DU166" s="787"/>
      <c r="DV166" s="787"/>
      <c r="DW166" s="787"/>
      <c r="DX166" s="787"/>
      <c r="DY166" s="787"/>
      <c r="DZ166" s="787"/>
      <c r="EA166" s="787"/>
    </row>
    <row r="167" spans="1:131" ht="15.6">
      <c r="A167" s="782" t="s">
        <v>1461</v>
      </c>
      <c r="B167" s="782" t="s">
        <v>816</v>
      </c>
      <c r="C167" s="783">
        <v>7045</v>
      </c>
      <c r="D167" s="784" t="s">
        <v>817</v>
      </c>
      <c r="E167" s="785" t="s">
        <v>521</v>
      </c>
      <c r="F167" s="786" t="s">
        <v>1462</v>
      </c>
      <c r="G167" s="785" t="s">
        <v>5</v>
      </c>
      <c r="H167" s="785" t="s">
        <v>828</v>
      </c>
      <c r="I167" s="787">
        <v>2973525.7439130433</v>
      </c>
      <c r="J167" s="787">
        <v>0</v>
      </c>
      <c r="K167" s="787">
        <v>4317979.3027119478</v>
      </c>
      <c r="L167" s="787"/>
      <c r="M167" s="787">
        <v>189110</v>
      </c>
      <c r="N167" s="787">
        <v>41157</v>
      </c>
      <c r="O167" s="787"/>
      <c r="P167" s="787"/>
      <c r="Q167" s="787">
        <v>60081.397504999986</v>
      </c>
      <c r="R167" s="787"/>
      <c r="S167" s="787"/>
      <c r="T167" s="787"/>
      <c r="U167" s="787"/>
      <c r="V167" s="787"/>
      <c r="W167" s="787"/>
      <c r="X167" s="787">
        <f t="shared" si="6"/>
        <v>7581853.4441299913</v>
      </c>
      <c r="Y167" s="787"/>
      <c r="Z167" s="787"/>
      <c r="AA167" s="787"/>
      <c r="AB167" s="787"/>
      <c r="AC167" s="787"/>
      <c r="AD167" s="787"/>
      <c r="AE167" s="787"/>
      <c r="AF167" s="787"/>
      <c r="AG167" s="787"/>
      <c r="AH167" s="787"/>
      <c r="AI167" s="787"/>
      <c r="AJ167" s="787"/>
      <c r="AK167" s="787"/>
      <c r="AL167" s="787"/>
      <c r="AM167" s="787"/>
      <c r="AN167" s="787"/>
      <c r="AO167" s="787">
        <v>0</v>
      </c>
      <c r="AP167" s="787"/>
      <c r="AQ167" s="787"/>
      <c r="AR167" s="787"/>
      <c r="AS167" s="787"/>
      <c r="AT167" s="787"/>
      <c r="AU167" s="787"/>
      <c r="AV167" s="787"/>
      <c r="AW167" s="787"/>
      <c r="AX167" s="787"/>
      <c r="AY167" s="787"/>
      <c r="AZ167" s="787">
        <v>103.51000000000002</v>
      </c>
      <c r="BA167" s="787">
        <v>5139.75</v>
      </c>
      <c r="BB167" s="787"/>
      <c r="BC167" s="787"/>
      <c r="BD167" s="787"/>
      <c r="BE167" s="787">
        <v>0</v>
      </c>
      <c r="BF167" s="787"/>
      <c r="BG167" s="787"/>
      <c r="BH167" s="787"/>
      <c r="BI167" s="787"/>
      <c r="BJ167" s="787">
        <f t="shared" si="7"/>
        <v>5243.26</v>
      </c>
      <c r="BK167" s="787"/>
      <c r="BL167" s="787"/>
      <c r="BM167" s="787"/>
      <c r="BN167" s="787">
        <v>18175</v>
      </c>
      <c r="BO167" s="787"/>
      <c r="BP167" s="787"/>
      <c r="BQ167" s="787">
        <f t="shared" si="8"/>
        <v>18175</v>
      </c>
      <c r="BR167" s="787"/>
      <c r="BS167" s="787"/>
      <c r="BT167" s="787"/>
      <c r="BU167" s="787"/>
      <c r="BV167" s="787"/>
      <c r="BW167" s="787"/>
      <c r="BX167" s="787"/>
      <c r="BY167" s="787"/>
      <c r="BZ167" s="787"/>
      <c r="CA167" s="787"/>
      <c r="CB167" s="787"/>
      <c r="CC167" s="787"/>
      <c r="CD167" s="787"/>
      <c r="CE167" s="787"/>
      <c r="CF167" s="787"/>
      <c r="CG167" s="787"/>
      <c r="CH167" s="787"/>
      <c r="CI167" s="787"/>
      <c r="CJ167" s="787"/>
      <c r="CK167" s="787"/>
      <c r="CL167" s="787"/>
      <c r="CM167" s="787"/>
      <c r="CN167" s="787"/>
      <c r="CO167" s="787"/>
      <c r="CP167" s="787"/>
      <c r="CQ167" s="787"/>
      <c r="CR167" s="787"/>
      <c r="CS167" s="787"/>
      <c r="CT167" s="787"/>
      <c r="CU167" s="787"/>
      <c r="CV167" s="787"/>
      <c r="CW167" s="787"/>
      <c r="CX167" s="787"/>
      <c r="CY167" s="787"/>
      <c r="CZ167" s="787"/>
      <c r="DA167" s="787"/>
      <c r="DB167" s="787"/>
      <c r="DC167" s="787"/>
      <c r="DD167" s="787"/>
      <c r="DE167" s="787"/>
      <c r="DF167" s="787"/>
      <c r="DG167" s="787"/>
      <c r="DH167" s="787"/>
      <c r="DI167" s="787"/>
      <c r="DJ167" s="787"/>
      <c r="DK167" s="787"/>
      <c r="DL167" s="787"/>
      <c r="DM167" s="787"/>
      <c r="DN167" s="787"/>
      <c r="DO167" s="787"/>
      <c r="DP167" s="787"/>
      <c r="DQ167" s="787"/>
      <c r="DR167" s="787"/>
      <c r="DS167" s="787"/>
      <c r="DT167" s="787"/>
      <c r="DU167" s="787"/>
      <c r="DV167" s="787"/>
      <c r="DW167" s="787"/>
      <c r="DX167" s="787"/>
      <c r="DY167" s="787"/>
      <c r="DZ167" s="787"/>
      <c r="EA167" s="787"/>
    </row>
    <row r="168" spans="1:131" ht="15.6">
      <c r="A168" s="782" t="s">
        <v>1463</v>
      </c>
      <c r="B168" s="782" t="s">
        <v>818</v>
      </c>
      <c r="C168" s="783">
        <v>2192</v>
      </c>
      <c r="D168" s="784" t="s">
        <v>819</v>
      </c>
      <c r="E168" s="785" t="s">
        <v>521</v>
      </c>
      <c r="F168" s="786">
        <v>46086</v>
      </c>
      <c r="G168" s="785" t="s">
        <v>5</v>
      </c>
      <c r="H168" s="785" t="s">
        <v>830</v>
      </c>
      <c r="I168" s="787">
        <v>2897422.8692380865</v>
      </c>
      <c r="J168" s="787">
        <v>0</v>
      </c>
      <c r="K168" s="787">
        <v>78998.266666666663</v>
      </c>
      <c r="L168" s="787"/>
      <c r="M168" s="787">
        <v>386325</v>
      </c>
      <c r="N168" s="787">
        <v>19052</v>
      </c>
      <c r="O168" s="787"/>
      <c r="P168" s="787"/>
      <c r="Q168" s="787">
        <v>15280.429709999848</v>
      </c>
      <c r="R168" s="787"/>
      <c r="S168" s="787"/>
      <c r="T168" s="787"/>
      <c r="U168" s="787"/>
      <c r="V168" s="787"/>
      <c r="W168" s="787"/>
      <c r="X168" s="787">
        <f t="shared" si="6"/>
        <v>3397078.5656147529</v>
      </c>
      <c r="Y168" s="787"/>
      <c r="Z168" s="787"/>
      <c r="AA168" s="787"/>
      <c r="AB168" s="787"/>
      <c r="AC168" s="787"/>
      <c r="AD168" s="787"/>
      <c r="AE168" s="787"/>
      <c r="AF168" s="787"/>
      <c r="AG168" s="787"/>
      <c r="AH168" s="787"/>
      <c r="AI168" s="787"/>
      <c r="AJ168" s="787"/>
      <c r="AK168" s="787"/>
      <c r="AL168" s="787"/>
      <c r="AM168" s="787"/>
      <c r="AN168" s="787"/>
      <c r="AO168" s="787">
        <v>33654.799999999996</v>
      </c>
      <c r="AP168" s="787"/>
      <c r="AQ168" s="787"/>
      <c r="AR168" s="787"/>
      <c r="AS168" s="787"/>
      <c r="AT168" s="787"/>
      <c r="AU168" s="787"/>
      <c r="AV168" s="787"/>
      <c r="AW168" s="787"/>
      <c r="AX168" s="787"/>
      <c r="AY168" s="787"/>
      <c r="AZ168" s="787">
        <v>58.39</v>
      </c>
      <c r="BA168" s="787">
        <v>12566.4</v>
      </c>
      <c r="BB168" s="787"/>
      <c r="BC168" s="787"/>
      <c r="BD168" s="787"/>
      <c r="BE168" s="787">
        <v>12518.400000000003</v>
      </c>
      <c r="BF168" s="787"/>
      <c r="BG168" s="787"/>
      <c r="BH168" s="787"/>
      <c r="BI168" s="787"/>
      <c r="BJ168" s="787">
        <f t="shared" si="7"/>
        <v>58797.99</v>
      </c>
      <c r="BK168" s="787"/>
      <c r="BL168" s="787"/>
      <c r="BM168" s="787"/>
      <c r="BN168" s="787">
        <v>9400</v>
      </c>
      <c r="BO168" s="787"/>
      <c r="BP168" s="787"/>
      <c r="BQ168" s="787">
        <f t="shared" si="8"/>
        <v>9400</v>
      </c>
      <c r="BR168" s="787"/>
      <c r="BS168" s="787"/>
      <c r="BT168" s="787"/>
      <c r="BU168" s="787"/>
      <c r="BV168" s="787"/>
      <c r="BW168" s="787"/>
      <c r="BX168" s="787"/>
      <c r="BY168" s="787"/>
      <c r="BZ168" s="787"/>
      <c r="CA168" s="787"/>
      <c r="CB168" s="787"/>
      <c r="CC168" s="787"/>
      <c r="CD168" s="787"/>
      <c r="CE168" s="787"/>
      <c r="CF168" s="787"/>
      <c r="CG168" s="787"/>
      <c r="CH168" s="787"/>
      <c r="CI168" s="787"/>
      <c r="CJ168" s="787"/>
      <c r="CK168" s="787"/>
      <c r="CL168" s="787"/>
      <c r="CM168" s="787"/>
      <c r="CN168" s="787"/>
      <c r="CO168" s="787"/>
      <c r="CP168" s="787"/>
      <c r="CQ168" s="787"/>
      <c r="CR168" s="787"/>
      <c r="CS168" s="787"/>
      <c r="CT168" s="787"/>
      <c r="CU168" s="787"/>
      <c r="CV168" s="787"/>
      <c r="CW168" s="787"/>
      <c r="CX168" s="787"/>
      <c r="CY168" s="787"/>
      <c r="CZ168" s="787"/>
      <c r="DA168" s="787"/>
      <c r="DB168" s="787"/>
      <c r="DC168" s="787"/>
      <c r="DD168" s="787"/>
      <c r="DE168" s="787"/>
      <c r="DF168" s="787"/>
      <c r="DG168" s="787"/>
      <c r="DH168" s="787"/>
      <c r="DI168" s="787"/>
      <c r="DJ168" s="787"/>
      <c r="DK168" s="787"/>
      <c r="DL168" s="787"/>
      <c r="DM168" s="787"/>
      <c r="DN168" s="787"/>
      <c r="DO168" s="787"/>
      <c r="DP168" s="787"/>
      <c r="DQ168" s="787"/>
      <c r="DR168" s="787"/>
      <c r="DS168" s="787"/>
      <c r="DT168" s="787"/>
      <c r="DU168" s="787"/>
      <c r="DV168" s="787"/>
      <c r="DW168" s="787"/>
      <c r="DX168" s="787"/>
      <c r="DY168" s="787"/>
      <c r="DZ168" s="787"/>
      <c r="EA168" s="787"/>
    </row>
    <row r="169" spans="1:131" ht="15.6">
      <c r="A169" s="782" t="s">
        <v>1464</v>
      </c>
      <c r="B169" s="782" t="s">
        <v>820</v>
      </c>
      <c r="C169" s="783">
        <v>7014</v>
      </c>
      <c r="D169" s="784" t="s">
        <v>821</v>
      </c>
      <c r="E169" s="785" t="s">
        <v>521</v>
      </c>
      <c r="F169" s="786">
        <v>0</v>
      </c>
      <c r="G169" s="785" t="s">
        <v>5</v>
      </c>
      <c r="H169" s="785" t="s">
        <v>832</v>
      </c>
      <c r="I169" s="787">
        <v>3194793.5065217391</v>
      </c>
      <c r="J169" s="787">
        <v>28140.096738792461</v>
      </c>
      <c r="K169" s="787">
        <v>5634089.2318736725</v>
      </c>
      <c r="L169" s="787"/>
      <c r="M169" s="787">
        <v>181110</v>
      </c>
      <c r="N169" s="787">
        <v>37431.64</v>
      </c>
      <c r="O169" s="787"/>
      <c r="P169" s="787"/>
      <c r="Q169" s="787">
        <v>0</v>
      </c>
      <c r="R169" s="787"/>
      <c r="S169" s="787"/>
      <c r="T169" s="787"/>
      <c r="U169" s="787"/>
      <c r="V169" s="787"/>
      <c r="W169" s="787"/>
      <c r="X169" s="787">
        <f t="shared" si="6"/>
        <v>9075564.4751342051</v>
      </c>
      <c r="Y169" s="787"/>
      <c r="Z169" s="787"/>
      <c r="AA169" s="787"/>
      <c r="AB169" s="787"/>
      <c r="AC169" s="787"/>
      <c r="AD169" s="787"/>
      <c r="AE169" s="787"/>
      <c r="AF169" s="787"/>
      <c r="AG169" s="787"/>
      <c r="AH169" s="787"/>
      <c r="AI169" s="787"/>
      <c r="AJ169" s="787"/>
      <c r="AK169" s="787"/>
      <c r="AL169" s="787"/>
      <c r="AM169" s="787"/>
      <c r="AN169" s="787"/>
      <c r="AO169" s="787">
        <v>0</v>
      </c>
      <c r="AP169" s="787"/>
      <c r="AQ169" s="787"/>
      <c r="AR169" s="787"/>
      <c r="AS169" s="787"/>
      <c r="AT169" s="787"/>
      <c r="AU169" s="787"/>
      <c r="AV169" s="787"/>
      <c r="AW169" s="787"/>
      <c r="AX169" s="787"/>
      <c r="AY169" s="787"/>
      <c r="AZ169" s="787">
        <v>0</v>
      </c>
      <c r="BA169" s="787">
        <v>7209</v>
      </c>
      <c r="BB169" s="787"/>
      <c r="BC169" s="787"/>
      <c r="BD169" s="787"/>
      <c r="BE169" s="787">
        <v>0</v>
      </c>
      <c r="BF169" s="787"/>
      <c r="BG169" s="787"/>
      <c r="BH169" s="787"/>
      <c r="BI169" s="787"/>
      <c r="BJ169" s="787">
        <f t="shared" si="7"/>
        <v>7209</v>
      </c>
      <c r="BK169" s="787"/>
      <c r="BL169" s="787"/>
      <c r="BM169" s="787"/>
      <c r="BN169" s="787">
        <v>18124.38</v>
      </c>
      <c r="BO169" s="787"/>
      <c r="BP169" s="787"/>
      <c r="BQ169" s="787">
        <f t="shared" si="8"/>
        <v>18124.38</v>
      </c>
      <c r="BR169" s="787"/>
      <c r="BS169" s="787"/>
      <c r="BT169" s="787"/>
      <c r="BU169" s="787"/>
      <c r="BV169" s="787"/>
      <c r="BW169" s="787"/>
      <c r="BX169" s="787"/>
      <c r="BY169" s="787"/>
      <c r="BZ169" s="787"/>
      <c r="CA169" s="787"/>
      <c r="CB169" s="787"/>
      <c r="CC169" s="787"/>
      <c r="CD169" s="787"/>
      <c r="CE169" s="787"/>
      <c r="CF169" s="787"/>
      <c r="CG169" s="787"/>
      <c r="CH169" s="787"/>
      <c r="CI169" s="787"/>
      <c r="CJ169" s="787"/>
      <c r="CK169" s="787"/>
      <c r="CL169" s="787"/>
      <c r="CM169" s="787"/>
      <c r="CN169" s="787"/>
      <c r="CO169" s="787"/>
      <c r="CP169" s="787"/>
      <c r="CQ169" s="787"/>
      <c r="CR169" s="787"/>
      <c r="CS169" s="787"/>
      <c r="CT169" s="787"/>
      <c r="CU169" s="787"/>
      <c r="CV169" s="787"/>
      <c r="CW169" s="787"/>
      <c r="CX169" s="787"/>
      <c r="CY169" s="787"/>
      <c r="CZ169" s="787"/>
      <c r="DA169" s="787"/>
      <c r="DB169" s="787"/>
      <c r="DC169" s="787"/>
      <c r="DD169" s="787"/>
      <c r="DE169" s="787"/>
      <c r="DF169" s="787"/>
      <c r="DG169" s="787"/>
      <c r="DH169" s="787"/>
      <c r="DI169" s="787"/>
      <c r="DJ169" s="787"/>
      <c r="DK169" s="787"/>
      <c r="DL169" s="787"/>
      <c r="DM169" s="787"/>
      <c r="DN169" s="787"/>
      <c r="DO169" s="787"/>
      <c r="DP169" s="787"/>
      <c r="DQ169" s="787"/>
      <c r="DR169" s="787"/>
      <c r="DS169" s="787"/>
      <c r="DT169" s="787"/>
      <c r="DU169" s="787"/>
      <c r="DV169" s="787"/>
      <c r="DW169" s="787"/>
      <c r="DX169" s="787"/>
      <c r="DY169" s="787"/>
      <c r="DZ169" s="787"/>
      <c r="EA169" s="787"/>
    </row>
    <row r="170" spans="1:131" ht="15.6">
      <c r="A170" s="782" t="s">
        <v>1465</v>
      </c>
      <c r="B170" s="782" t="s">
        <v>822</v>
      </c>
      <c r="C170" s="783">
        <v>7009</v>
      </c>
      <c r="D170" s="784" t="s">
        <v>823</v>
      </c>
      <c r="E170" s="785" t="s">
        <v>521</v>
      </c>
      <c r="F170" s="786">
        <v>46094</v>
      </c>
      <c r="G170" s="785" t="s">
        <v>5</v>
      </c>
      <c r="H170" s="785" t="s">
        <v>834</v>
      </c>
      <c r="I170" s="787">
        <v>2511635.291304348</v>
      </c>
      <c r="J170" s="787">
        <v>38510.704199766471</v>
      </c>
      <c r="K170" s="787">
        <v>4128856.340089797</v>
      </c>
      <c r="L170" s="787"/>
      <c r="M170" s="787">
        <v>125190</v>
      </c>
      <c r="N170" s="787">
        <v>27418.29</v>
      </c>
      <c r="O170" s="787"/>
      <c r="P170" s="787"/>
      <c r="Q170" s="787">
        <v>0</v>
      </c>
      <c r="R170" s="787"/>
      <c r="S170" s="787"/>
      <c r="T170" s="787"/>
      <c r="U170" s="787"/>
      <c r="V170" s="787"/>
      <c r="W170" s="787"/>
      <c r="X170" s="787">
        <f t="shared" si="6"/>
        <v>6831610.6255939109</v>
      </c>
      <c r="Y170" s="787"/>
      <c r="Z170" s="787"/>
      <c r="AA170" s="787"/>
      <c r="AB170" s="787"/>
      <c r="AC170" s="787"/>
      <c r="AD170" s="787"/>
      <c r="AE170" s="787"/>
      <c r="AF170" s="787"/>
      <c r="AG170" s="787"/>
      <c r="AH170" s="787"/>
      <c r="AI170" s="787"/>
      <c r="AJ170" s="787"/>
      <c r="AK170" s="787"/>
      <c r="AL170" s="787"/>
      <c r="AM170" s="787"/>
      <c r="AN170" s="787"/>
      <c r="AO170" s="787">
        <v>0</v>
      </c>
      <c r="AP170" s="787"/>
      <c r="AQ170" s="787"/>
      <c r="AR170" s="787"/>
      <c r="AS170" s="787"/>
      <c r="AT170" s="787"/>
      <c r="AU170" s="787"/>
      <c r="AV170" s="787"/>
      <c r="AW170" s="787"/>
      <c r="AX170" s="787"/>
      <c r="AY170" s="787"/>
      <c r="AZ170" s="787">
        <v>0</v>
      </c>
      <c r="BA170" s="787">
        <v>6237</v>
      </c>
      <c r="BB170" s="787"/>
      <c r="BC170" s="787"/>
      <c r="BD170" s="787"/>
      <c r="BE170" s="787">
        <v>0</v>
      </c>
      <c r="BF170" s="787"/>
      <c r="BG170" s="787"/>
      <c r="BH170" s="787"/>
      <c r="BI170" s="787"/>
      <c r="BJ170" s="787">
        <f t="shared" si="7"/>
        <v>6237</v>
      </c>
      <c r="BK170" s="787"/>
      <c r="BL170" s="787"/>
      <c r="BM170" s="787"/>
      <c r="BN170" s="787">
        <v>15122.31</v>
      </c>
      <c r="BO170" s="787"/>
      <c r="BP170" s="787"/>
      <c r="BQ170" s="787">
        <f t="shared" si="8"/>
        <v>15122.31</v>
      </c>
      <c r="BR170" s="787"/>
      <c r="BS170" s="787"/>
      <c r="BT170" s="787"/>
      <c r="BU170" s="787"/>
      <c r="BV170" s="787"/>
      <c r="BW170" s="787"/>
      <c r="BX170" s="787"/>
      <c r="BY170" s="787"/>
      <c r="BZ170" s="787"/>
      <c r="CA170" s="787"/>
      <c r="CB170" s="787"/>
      <c r="CC170" s="787"/>
      <c r="CD170" s="787"/>
      <c r="CE170" s="787"/>
      <c r="CF170" s="787"/>
      <c r="CG170" s="787"/>
      <c r="CH170" s="787"/>
      <c r="CI170" s="787"/>
      <c r="CJ170" s="787"/>
      <c r="CK170" s="787"/>
      <c r="CL170" s="787"/>
      <c r="CM170" s="787"/>
      <c r="CN170" s="787"/>
      <c r="CO170" s="787"/>
      <c r="CP170" s="787"/>
      <c r="CQ170" s="787"/>
      <c r="CR170" s="787"/>
      <c r="CS170" s="787"/>
      <c r="CT170" s="787"/>
      <c r="CU170" s="787"/>
      <c r="CV170" s="787"/>
      <c r="CW170" s="787"/>
      <c r="CX170" s="787"/>
      <c r="CY170" s="787"/>
      <c r="CZ170" s="787"/>
      <c r="DA170" s="787"/>
      <c r="DB170" s="787"/>
      <c r="DC170" s="787"/>
      <c r="DD170" s="787"/>
      <c r="DE170" s="787"/>
      <c r="DF170" s="787"/>
      <c r="DG170" s="787"/>
      <c r="DH170" s="787"/>
      <c r="DI170" s="787"/>
      <c r="DJ170" s="787"/>
      <c r="DK170" s="787"/>
      <c r="DL170" s="787"/>
      <c r="DM170" s="787"/>
      <c r="DN170" s="787"/>
      <c r="DO170" s="787"/>
      <c r="DP170" s="787"/>
      <c r="DQ170" s="787"/>
      <c r="DR170" s="787"/>
      <c r="DS170" s="787"/>
      <c r="DT170" s="787"/>
      <c r="DU170" s="787"/>
      <c r="DV170" s="787"/>
      <c r="DW170" s="787"/>
      <c r="DX170" s="787"/>
      <c r="DY170" s="787"/>
      <c r="DZ170" s="787"/>
      <c r="EA170" s="787"/>
    </row>
    <row r="171" spans="1:131" ht="15.6">
      <c r="A171" s="782" t="s">
        <v>1466</v>
      </c>
      <c r="B171" s="782" t="s">
        <v>824</v>
      </c>
      <c r="C171" s="783">
        <v>5203</v>
      </c>
      <c r="D171" s="784" t="s">
        <v>825</v>
      </c>
      <c r="E171" s="785" t="s">
        <v>521</v>
      </c>
      <c r="F171" s="786">
        <v>46094</v>
      </c>
      <c r="G171" s="785" t="s">
        <v>5</v>
      </c>
      <c r="H171" s="785" t="s">
        <v>836</v>
      </c>
      <c r="I171" s="787">
        <v>1676895.894228993</v>
      </c>
      <c r="J171" s="787">
        <v>0</v>
      </c>
      <c r="K171" s="787">
        <v>79440.183333333334</v>
      </c>
      <c r="L171" s="787"/>
      <c r="M171" s="787">
        <v>26870</v>
      </c>
      <c r="N171" s="787">
        <v>120992</v>
      </c>
      <c r="O171" s="787"/>
      <c r="P171" s="787"/>
      <c r="Q171" s="787">
        <v>0</v>
      </c>
      <c r="R171" s="787"/>
      <c r="S171" s="787"/>
      <c r="T171" s="787"/>
      <c r="U171" s="787"/>
      <c r="V171" s="787"/>
      <c r="W171" s="787"/>
      <c r="X171" s="787">
        <f t="shared" si="6"/>
        <v>1904198.0775623263</v>
      </c>
      <c r="Y171" s="787"/>
      <c r="Z171" s="787"/>
      <c r="AA171" s="787"/>
      <c r="AB171" s="787"/>
      <c r="AC171" s="787"/>
      <c r="AD171" s="787"/>
      <c r="AE171" s="787"/>
      <c r="AF171" s="787"/>
      <c r="AG171" s="787"/>
      <c r="AH171" s="787"/>
      <c r="AI171" s="787"/>
      <c r="AJ171" s="787"/>
      <c r="AK171" s="787"/>
      <c r="AL171" s="787"/>
      <c r="AM171" s="787"/>
      <c r="AN171" s="787"/>
      <c r="AO171" s="787">
        <v>6271.1699999999992</v>
      </c>
      <c r="AP171" s="787"/>
      <c r="AQ171" s="787"/>
      <c r="AR171" s="787"/>
      <c r="AS171" s="787"/>
      <c r="AT171" s="787"/>
      <c r="AU171" s="787"/>
      <c r="AV171" s="787"/>
      <c r="AW171" s="787"/>
      <c r="AX171" s="787"/>
      <c r="AY171" s="787"/>
      <c r="AZ171" s="787">
        <v>0</v>
      </c>
      <c r="BA171" s="787">
        <v>5139.75</v>
      </c>
      <c r="BB171" s="787"/>
      <c r="BC171" s="787"/>
      <c r="BD171" s="787"/>
      <c r="BE171" s="787">
        <v>6885.1200000000017</v>
      </c>
      <c r="BF171" s="787"/>
      <c r="BG171" s="787"/>
      <c r="BH171" s="787"/>
      <c r="BI171" s="787"/>
      <c r="BJ171" s="787">
        <f t="shared" si="7"/>
        <v>18296.04</v>
      </c>
      <c r="BK171" s="787"/>
      <c r="BL171" s="787"/>
      <c r="BM171" s="787"/>
      <c r="BN171" s="787">
        <v>7685.5</v>
      </c>
      <c r="BO171" s="787"/>
      <c r="BP171" s="787"/>
      <c r="BQ171" s="787">
        <f t="shared" si="8"/>
        <v>7685.5</v>
      </c>
      <c r="BR171" s="787"/>
      <c r="BS171" s="787"/>
      <c r="BT171" s="787"/>
      <c r="BU171" s="787"/>
      <c r="BV171" s="787"/>
      <c r="BW171" s="787"/>
      <c r="BX171" s="787"/>
      <c r="BY171" s="787"/>
      <c r="BZ171" s="787"/>
      <c r="CA171" s="787"/>
      <c r="CB171" s="787"/>
      <c r="CC171" s="787"/>
      <c r="CD171" s="787"/>
      <c r="CE171" s="787"/>
      <c r="CF171" s="787"/>
      <c r="CG171" s="787"/>
      <c r="CH171" s="787"/>
      <c r="CI171" s="787"/>
      <c r="CJ171" s="787"/>
      <c r="CK171" s="787"/>
      <c r="CL171" s="787"/>
      <c r="CM171" s="787"/>
      <c r="CN171" s="787"/>
      <c r="CO171" s="787"/>
      <c r="CP171" s="787"/>
      <c r="CQ171" s="787"/>
      <c r="CR171" s="787"/>
      <c r="CS171" s="787"/>
      <c r="CT171" s="787"/>
      <c r="CU171" s="787"/>
      <c r="CV171" s="787"/>
      <c r="CW171" s="787"/>
      <c r="CX171" s="787"/>
      <c r="CY171" s="787"/>
      <c r="CZ171" s="787"/>
      <c r="DA171" s="787"/>
      <c r="DB171" s="787"/>
      <c r="DC171" s="787"/>
      <c r="DD171" s="787"/>
      <c r="DE171" s="787"/>
      <c r="DF171" s="787"/>
      <c r="DG171" s="787"/>
      <c r="DH171" s="787"/>
      <c r="DI171" s="787"/>
      <c r="DJ171" s="787"/>
      <c r="DK171" s="787"/>
      <c r="DL171" s="787"/>
      <c r="DM171" s="787"/>
      <c r="DN171" s="787"/>
      <c r="DO171" s="787"/>
      <c r="DP171" s="787"/>
      <c r="DQ171" s="787"/>
      <c r="DR171" s="787"/>
      <c r="DS171" s="787"/>
      <c r="DT171" s="787"/>
      <c r="DU171" s="787"/>
      <c r="DV171" s="787"/>
      <c r="DW171" s="787"/>
      <c r="DX171" s="787"/>
      <c r="DY171" s="787"/>
      <c r="DZ171" s="787"/>
      <c r="EA171" s="787"/>
    </row>
    <row r="172" spans="1:131" ht="15.6">
      <c r="A172" s="782" t="s">
        <v>1467</v>
      </c>
      <c r="B172" s="782" t="s">
        <v>826</v>
      </c>
      <c r="C172" s="783">
        <v>5202</v>
      </c>
      <c r="D172" s="784" t="s">
        <v>827</v>
      </c>
      <c r="E172" s="785" t="s">
        <v>521</v>
      </c>
      <c r="F172" s="786">
        <v>0</v>
      </c>
      <c r="G172" s="785" t="s">
        <v>5</v>
      </c>
      <c r="H172" s="785" t="s">
        <v>838</v>
      </c>
      <c r="I172" s="787">
        <v>1839883.4700000004</v>
      </c>
      <c r="J172" s="787">
        <v>0</v>
      </c>
      <c r="K172" s="787">
        <v>112846.99333333332</v>
      </c>
      <c r="L172" s="787"/>
      <c r="M172" s="787">
        <v>93130</v>
      </c>
      <c r="N172" s="787">
        <v>21204.93</v>
      </c>
      <c r="O172" s="787"/>
      <c r="P172" s="787"/>
      <c r="Q172" s="787">
        <v>0</v>
      </c>
      <c r="R172" s="787"/>
      <c r="S172" s="787"/>
      <c r="T172" s="787"/>
      <c r="U172" s="787"/>
      <c r="V172" s="787"/>
      <c r="W172" s="787"/>
      <c r="X172" s="787">
        <f t="shared" si="6"/>
        <v>2067065.3933333338</v>
      </c>
      <c r="Y172" s="787"/>
      <c r="Z172" s="787"/>
      <c r="AA172" s="787"/>
      <c r="AB172" s="787"/>
      <c r="AC172" s="787"/>
      <c r="AD172" s="787"/>
      <c r="AE172" s="787"/>
      <c r="AF172" s="787"/>
      <c r="AG172" s="787"/>
      <c r="AH172" s="787"/>
      <c r="AI172" s="787"/>
      <c r="AJ172" s="787"/>
      <c r="AK172" s="787"/>
      <c r="AL172" s="787"/>
      <c r="AM172" s="787"/>
      <c r="AN172" s="787"/>
      <c r="AO172" s="787">
        <v>4213.47</v>
      </c>
      <c r="AP172" s="787"/>
      <c r="AQ172" s="787"/>
      <c r="AR172" s="787"/>
      <c r="AS172" s="787"/>
      <c r="AT172" s="787"/>
      <c r="AU172" s="787"/>
      <c r="AV172" s="787"/>
      <c r="AW172" s="787"/>
      <c r="AX172" s="787"/>
      <c r="AY172" s="787"/>
      <c r="AZ172" s="787">
        <v>0</v>
      </c>
      <c r="BA172" s="787">
        <v>0</v>
      </c>
      <c r="BB172" s="787"/>
      <c r="BC172" s="787"/>
      <c r="BD172" s="787"/>
      <c r="BE172" s="787">
        <v>9388.7999999999975</v>
      </c>
      <c r="BF172" s="787"/>
      <c r="BG172" s="787"/>
      <c r="BH172" s="787"/>
      <c r="BI172" s="787"/>
      <c r="BJ172" s="787">
        <f t="shared" si="7"/>
        <v>13602.269999999997</v>
      </c>
      <c r="BK172" s="787"/>
      <c r="BL172" s="787"/>
      <c r="BM172" s="787"/>
      <c r="BN172" s="787">
        <v>8027.5</v>
      </c>
      <c r="BO172" s="787"/>
      <c r="BP172" s="787"/>
      <c r="BQ172" s="787">
        <f t="shared" si="8"/>
        <v>8027.5</v>
      </c>
      <c r="BR172" s="787"/>
      <c r="BS172" s="787"/>
      <c r="BT172" s="787"/>
      <c r="BU172" s="787"/>
      <c r="BV172" s="787"/>
      <c r="BW172" s="787"/>
      <c r="BX172" s="787"/>
      <c r="BY172" s="787"/>
      <c r="BZ172" s="787"/>
      <c r="CA172" s="787"/>
      <c r="CB172" s="787"/>
      <c r="CC172" s="787"/>
      <c r="CD172" s="787"/>
      <c r="CE172" s="787"/>
      <c r="CF172" s="787"/>
      <c r="CG172" s="787"/>
      <c r="CH172" s="787"/>
      <c r="CI172" s="787"/>
      <c r="CJ172" s="787"/>
      <c r="CK172" s="787"/>
      <c r="CL172" s="787"/>
      <c r="CM172" s="787"/>
      <c r="CN172" s="787"/>
      <c r="CO172" s="787"/>
      <c r="CP172" s="787"/>
      <c r="CQ172" s="787"/>
      <c r="CR172" s="787"/>
      <c r="CS172" s="787"/>
      <c r="CT172" s="787"/>
      <c r="CU172" s="787"/>
      <c r="CV172" s="787"/>
      <c r="CW172" s="787"/>
      <c r="CX172" s="787"/>
      <c r="CY172" s="787"/>
      <c r="CZ172" s="787"/>
      <c r="DA172" s="787"/>
      <c r="DB172" s="787"/>
      <c r="DC172" s="787"/>
      <c r="DD172" s="787"/>
      <c r="DE172" s="787"/>
      <c r="DF172" s="787"/>
      <c r="DG172" s="787"/>
      <c r="DH172" s="787"/>
      <c r="DI172" s="787"/>
      <c r="DJ172" s="787"/>
      <c r="DK172" s="787"/>
      <c r="DL172" s="787"/>
      <c r="DM172" s="787"/>
      <c r="DN172" s="787"/>
      <c r="DO172" s="787"/>
      <c r="DP172" s="787"/>
      <c r="DQ172" s="787"/>
      <c r="DR172" s="787"/>
      <c r="DS172" s="787"/>
      <c r="DT172" s="787"/>
      <c r="DU172" s="787"/>
      <c r="DV172" s="787"/>
      <c r="DW172" s="787"/>
      <c r="DX172" s="787"/>
      <c r="DY172" s="787"/>
      <c r="DZ172" s="787"/>
      <c r="EA172" s="787"/>
    </row>
    <row r="173" spans="1:131" ht="15.6">
      <c r="A173" s="782" t="s">
        <v>1468</v>
      </c>
      <c r="B173" s="782" t="s">
        <v>828</v>
      </c>
      <c r="C173" s="783">
        <v>2108</v>
      </c>
      <c r="D173" s="784" t="s">
        <v>829</v>
      </c>
      <c r="E173" s="785" t="s">
        <v>521</v>
      </c>
      <c r="F173" s="786">
        <v>0</v>
      </c>
      <c r="G173" s="785" t="s">
        <v>5</v>
      </c>
      <c r="H173" s="785" t="s">
        <v>840</v>
      </c>
      <c r="I173" s="787">
        <v>5226735.5124850953</v>
      </c>
      <c r="J173" s="787">
        <v>0</v>
      </c>
      <c r="K173" s="787">
        <v>461413.36666666658</v>
      </c>
      <c r="L173" s="787"/>
      <c r="M173" s="787">
        <v>542370</v>
      </c>
      <c r="N173" s="787">
        <v>154862.17000000001</v>
      </c>
      <c r="O173" s="787"/>
      <c r="P173" s="787"/>
      <c r="Q173" s="787">
        <v>54341.944669999903</v>
      </c>
      <c r="R173" s="787"/>
      <c r="S173" s="787"/>
      <c r="T173" s="787"/>
      <c r="U173" s="787"/>
      <c r="V173" s="787"/>
      <c r="W173" s="787"/>
      <c r="X173" s="787">
        <f t="shared" si="6"/>
        <v>6439722.9938217616</v>
      </c>
      <c r="Y173" s="787"/>
      <c r="Z173" s="787"/>
      <c r="AA173" s="787"/>
      <c r="AB173" s="787"/>
      <c r="AC173" s="787"/>
      <c r="AD173" s="787"/>
      <c r="AE173" s="787"/>
      <c r="AF173" s="787"/>
      <c r="AG173" s="787"/>
      <c r="AH173" s="787"/>
      <c r="AI173" s="787"/>
      <c r="AJ173" s="787"/>
      <c r="AK173" s="787"/>
      <c r="AL173" s="787"/>
      <c r="AM173" s="787"/>
      <c r="AN173" s="787"/>
      <c r="AO173" s="787">
        <v>75170.080000000002</v>
      </c>
      <c r="AP173" s="787"/>
      <c r="AQ173" s="787"/>
      <c r="AR173" s="787"/>
      <c r="AS173" s="787"/>
      <c r="AT173" s="787"/>
      <c r="AU173" s="787"/>
      <c r="AV173" s="787"/>
      <c r="AW173" s="787"/>
      <c r="AX173" s="787"/>
      <c r="AY173" s="787"/>
      <c r="AZ173" s="787">
        <v>11.23</v>
      </c>
      <c r="BA173" s="787">
        <v>24312.75</v>
      </c>
      <c r="BB173" s="787"/>
      <c r="BC173" s="787"/>
      <c r="BD173" s="787"/>
      <c r="BE173" s="787">
        <v>21802.879999999994</v>
      </c>
      <c r="BF173" s="787"/>
      <c r="BG173" s="787"/>
      <c r="BH173" s="787"/>
      <c r="BI173" s="787"/>
      <c r="BJ173" s="787">
        <f t="shared" si="7"/>
        <v>121296.93999999999</v>
      </c>
      <c r="BK173" s="787"/>
      <c r="BL173" s="787"/>
      <c r="BM173" s="787"/>
      <c r="BN173" s="787">
        <v>13981</v>
      </c>
      <c r="BO173" s="787"/>
      <c r="BP173" s="787"/>
      <c r="BQ173" s="787">
        <f t="shared" si="8"/>
        <v>13981</v>
      </c>
      <c r="BR173" s="787"/>
      <c r="BS173" s="787"/>
      <c r="BT173" s="787"/>
      <c r="BU173" s="787"/>
      <c r="BV173" s="787"/>
      <c r="BW173" s="787"/>
      <c r="BX173" s="787"/>
      <c r="BY173" s="787"/>
      <c r="BZ173" s="787"/>
      <c r="CA173" s="787"/>
      <c r="CB173" s="787"/>
      <c r="CC173" s="787"/>
      <c r="CD173" s="787"/>
      <c r="CE173" s="787"/>
      <c r="CF173" s="787"/>
      <c r="CG173" s="787"/>
      <c r="CH173" s="787"/>
      <c r="CI173" s="787"/>
      <c r="CJ173" s="787"/>
      <c r="CK173" s="787"/>
      <c r="CL173" s="787"/>
      <c r="CM173" s="787"/>
      <c r="CN173" s="787"/>
      <c r="CO173" s="787"/>
      <c r="CP173" s="787"/>
      <c r="CQ173" s="787"/>
      <c r="CR173" s="787"/>
      <c r="CS173" s="787"/>
      <c r="CT173" s="787"/>
      <c r="CU173" s="787"/>
      <c r="CV173" s="787"/>
      <c r="CW173" s="787"/>
      <c r="CX173" s="787"/>
      <c r="CY173" s="787"/>
      <c r="CZ173" s="787"/>
      <c r="DA173" s="787"/>
      <c r="DB173" s="787"/>
      <c r="DC173" s="787"/>
      <c r="DD173" s="787"/>
      <c r="DE173" s="787"/>
      <c r="DF173" s="787"/>
      <c r="DG173" s="787"/>
      <c r="DH173" s="787"/>
      <c r="DI173" s="787"/>
      <c r="DJ173" s="787"/>
      <c r="DK173" s="787"/>
      <c r="DL173" s="787"/>
      <c r="DM173" s="787"/>
      <c r="DN173" s="787"/>
      <c r="DO173" s="787"/>
      <c r="DP173" s="787"/>
      <c r="DQ173" s="787"/>
      <c r="DR173" s="787"/>
      <c r="DS173" s="787"/>
      <c r="DT173" s="787"/>
      <c r="DU173" s="787"/>
      <c r="DV173" s="787"/>
      <c r="DW173" s="787"/>
      <c r="DX173" s="787"/>
      <c r="DY173" s="787"/>
      <c r="DZ173" s="787"/>
      <c r="EA173" s="787"/>
    </row>
    <row r="174" spans="1:131" ht="15.6">
      <c r="A174" s="782" t="s">
        <v>1469</v>
      </c>
      <c r="B174" s="782" t="s">
        <v>872</v>
      </c>
      <c r="C174" s="783">
        <v>1019</v>
      </c>
      <c r="D174" s="784" t="s">
        <v>873</v>
      </c>
      <c r="E174" s="785" t="s">
        <v>521</v>
      </c>
      <c r="F174" s="786">
        <v>46094</v>
      </c>
      <c r="G174" s="785" t="s">
        <v>5</v>
      </c>
      <c r="H174" s="785" t="s">
        <v>914</v>
      </c>
      <c r="I174" s="787">
        <v>734404.62367411307</v>
      </c>
      <c r="J174" s="787">
        <v>0</v>
      </c>
      <c r="K174" s="787">
        <v>4580.2242659279782</v>
      </c>
      <c r="L174" s="787"/>
      <c r="M174" s="787">
        <v>0</v>
      </c>
      <c r="N174" s="787">
        <v>876</v>
      </c>
      <c r="O174" s="787"/>
      <c r="P174" s="787"/>
      <c r="Q174" s="787">
        <v>544.3900000000001</v>
      </c>
      <c r="R174" s="787"/>
      <c r="S174" s="787"/>
      <c r="T174" s="787"/>
      <c r="U174" s="787"/>
      <c r="V174" s="787"/>
      <c r="W174" s="787"/>
      <c r="X174" s="787">
        <f t="shared" si="6"/>
        <v>740405.23794004112</v>
      </c>
      <c r="Y174" s="787"/>
      <c r="Z174" s="787"/>
      <c r="AA174" s="787"/>
      <c r="AB174" s="787"/>
      <c r="AC174" s="787"/>
      <c r="AD174" s="787"/>
      <c r="AE174" s="787"/>
      <c r="AF174" s="787"/>
      <c r="AG174" s="787"/>
      <c r="AH174" s="787"/>
      <c r="AI174" s="787"/>
      <c r="AJ174" s="787"/>
      <c r="AK174" s="787"/>
      <c r="AL174" s="787"/>
      <c r="AM174" s="787"/>
      <c r="AN174" s="787"/>
      <c r="AO174" s="787">
        <v>0</v>
      </c>
      <c r="AP174" s="787"/>
      <c r="AQ174" s="787"/>
      <c r="AR174" s="787"/>
      <c r="AS174" s="787"/>
      <c r="AT174" s="787"/>
      <c r="AU174" s="787"/>
      <c r="AV174" s="787"/>
      <c r="AW174" s="787"/>
      <c r="AX174" s="787"/>
      <c r="AY174" s="787"/>
      <c r="AZ174" s="787">
        <v>74.95</v>
      </c>
      <c r="BA174" s="787">
        <v>3291.75</v>
      </c>
      <c r="BB174" s="787"/>
      <c r="BC174" s="787"/>
      <c r="BD174" s="787"/>
      <c r="BE174" s="787">
        <v>0</v>
      </c>
      <c r="BF174" s="787"/>
      <c r="BG174" s="787"/>
      <c r="BH174" s="787"/>
      <c r="BI174" s="787"/>
      <c r="BJ174" s="787">
        <f t="shared" si="7"/>
        <v>3366.7</v>
      </c>
      <c r="BK174" s="787"/>
      <c r="BL174" s="787"/>
      <c r="BM174" s="787"/>
      <c r="BN174" s="787">
        <v>5026</v>
      </c>
      <c r="BO174" s="787"/>
      <c r="BP174" s="787"/>
      <c r="BQ174" s="787">
        <f t="shared" si="8"/>
        <v>5026</v>
      </c>
      <c r="BR174" s="787"/>
      <c r="BS174" s="787"/>
      <c r="BT174" s="787"/>
      <c r="BU174" s="787"/>
      <c r="BV174" s="787"/>
      <c r="BW174" s="787"/>
      <c r="BX174" s="787"/>
      <c r="BY174" s="787"/>
      <c r="BZ174" s="787"/>
      <c r="CA174" s="787"/>
      <c r="CB174" s="787"/>
      <c r="CC174" s="787"/>
      <c r="CD174" s="787"/>
      <c r="CE174" s="787"/>
      <c r="CF174" s="787"/>
      <c r="CG174" s="787"/>
      <c r="CH174" s="787"/>
      <c r="CI174" s="787"/>
      <c r="CJ174" s="787"/>
      <c r="CK174" s="787"/>
      <c r="CL174" s="787"/>
      <c r="CM174" s="787"/>
      <c r="CN174" s="787"/>
      <c r="CO174" s="787"/>
      <c r="CP174" s="787"/>
      <c r="CQ174" s="787"/>
      <c r="CR174" s="787"/>
      <c r="CS174" s="787"/>
      <c r="CT174" s="787"/>
      <c r="CU174" s="787"/>
      <c r="CV174" s="787"/>
      <c r="CW174" s="787"/>
      <c r="CX174" s="787"/>
      <c r="CY174" s="787"/>
      <c r="CZ174" s="787"/>
      <c r="DA174" s="787"/>
      <c r="DB174" s="787"/>
      <c r="DC174" s="787"/>
      <c r="DD174" s="787"/>
      <c r="DE174" s="787"/>
      <c r="DF174" s="787"/>
      <c r="DG174" s="787"/>
      <c r="DH174" s="787"/>
      <c r="DI174" s="787"/>
      <c r="DJ174" s="787"/>
      <c r="DK174" s="787"/>
      <c r="DL174" s="787"/>
      <c r="DM174" s="787"/>
      <c r="DN174" s="787"/>
      <c r="DO174" s="787"/>
      <c r="DP174" s="787"/>
      <c r="DQ174" s="787"/>
      <c r="DR174" s="787"/>
      <c r="DS174" s="787"/>
      <c r="DT174" s="787"/>
      <c r="DU174" s="787"/>
      <c r="DV174" s="787"/>
      <c r="DW174" s="787"/>
      <c r="DX174" s="787"/>
      <c r="DY174" s="787"/>
      <c r="DZ174" s="787"/>
      <c r="EA174" s="787"/>
    </row>
    <row r="175" spans="1:131" ht="15.6">
      <c r="A175" s="782" t="s">
        <v>1470</v>
      </c>
      <c r="B175" s="782" t="s">
        <v>830</v>
      </c>
      <c r="C175" s="783">
        <v>2306</v>
      </c>
      <c r="D175" s="784" t="s">
        <v>831</v>
      </c>
      <c r="E175" s="785" t="s">
        <v>521</v>
      </c>
      <c r="F175" s="786">
        <v>46094</v>
      </c>
      <c r="G175" s="785" t="s">
        <v>5</v>
      </c>
      <c r="H175" s="785" t="s">
        <v>842</v>
      </c>
      <c r="I175" s="787">
        <v>1346355.4418285023</v>
      </c>
      <c r="J175" s="787">
        <v>0</v>
      </c>
      <c r="K175" s="787">
        <v>25338.666666666664</v>
      </c>
      <c r="L175" s="787"/>
      <c r="M175" s="787">
        <v>137865</v>
      </c>
      <c r="N175" s="787">
        <v>45947.090000000004</v>
      </c>
      <c r="O175" s="787"/>
      <c r="P175" s="787"/>
      <c r="Q175" s="787">
        <v>12740.237299999964</v>
      </c>
      <c r="R175" s="787"/>
      <c r="S175" s="787"/>
      <c r="T175" s="787"/>
      <c r="U175" s="787"/>
      <c r="V175" s="787"/>
      <c r="W175" s="787"/>
      <c r="X175" s="787">
        <f t="shared" si="6"/>
        <v>1568246.4357951691</v>
      </c>
      <c r="Y175" s="787"/>
      <c r="Z175" s="787"/>
      <c r="AA175" s="787"/>
      <c r="AB175" s="787"/>
      <c r="AC175" s="787"/>
      <c r="AD175" s="787"/>
      <c r="AE175" s="787"/>
      <c r="AF175" s="787"/>
      <c r="AG175" s="787"/>
      <c r="AH175" s="787"/>
      <c r="AI175" s="787"/>
      <c r="AJ175" s="787"/>
      <c r="AK175" s="787"/>
      <c r="AL175" s="787"/>
      <c r="AM175" s="787"/>
      <c r="AN175" s="787"/>
      <c r="AO175" s="787">
        <v>19886.79</v>
      </c>
      <c r="AP175" s="787"/>
      <c r="AQ175" s="787"/>
      <c r="AR175" s="787"/>
      <c r="AS175" s="787"/>
      <c r="AT175" s="787"/>
      <c r="AU175" s="787"/>
      <c r="AV175" s="787"/>
      <c r="AW175" s="787"/>
      <c r="AX175" s="787"/>
      <c r="AY175" s="787"/>
      <c r="AZ175" s="787">
        <v>73.559999999999988</v>
      </c>
      <c r="BA175" s="787">
        <v>5139.75</v>
      </c>
      <c r="BB175" s="787"/>
      <c r="BC175" s="787"/>
      <c r="BD175" s="787"/>
      <c r="BE175" s="787">
        <v>5502.880000000001</v>
      </c>
      <c r="BF175" s="787"/>
      <c r="BG175" s="787"/>
      <c r="BH175" s="787"/>
      <c r="BI175" s="787"/>
      <c r="BJ175" s="787">
        <f t="shared" si="7"/>
        <v>30602.980000000003</v>
      </c>
      <c r="BK175" s="787"/>
      <c r="BL175" s="787"/>
      <c r="BM175" s="787"/>
      <c r="BN175" s="787">
        <v>6340</v>
      </c>
      <c r="BO175" s="787"/>
      <c r="BP175" s="787"/>
      <c r="BQ175" s="787">
        <f t="shared" si="8"/>
        <v>6340</v>
      </c>
      <c r="BR175" s="787"/>
      <c r="BS175" s="787"/>
      <c r="BT175" s="787"/>
      <c r="BU175" s="787"/>
      <c r="BV175" s="787"/>
      <c r="BW175" s="787"/>
      <c r="BX175" s="787"/>
      <c r="BY175" s="787"/>
      <c r="BZ175" s="787"/>
      <c r="CA175" s="787"/>
      <c r="CB175" s="787"/>
      <c r="CC175" s="787"/>
      <c r="CD175" s="787"/>
      <c r="CE175" s="787"/>
      <c r="CF175" s="787"/>
      <c r="CG175" s="787"/>
      <c r="CH175" s="787"/>
      <c r="CI175" s="787"/>
      <c r="CJ175" s="787"/>
      <c r="CK175" s="787"/>
      <c r="CL175" s="787"/>
      <c r="CM175" s="787"/>
      <c r="CN175" s="787"/>
      <c r="CO175" s="787"/>
      <c r="CP175" s="787"/>
      <c r="CQ175" s="787"/>
      <c r="CR175" s="787"/>
      <c r="CS175" s="787"/>
      <c r="CT175" s="787"/>
      <c r="CU175" s="787"/>
      <c r="CV175" s="787"/>
      <c r="CW175" s="787"/>
      <c r="CX175" s="787"/>
      <c r="CY175" s="787"/>
      <c r="CZ175" s="787"/>
      <c r="DA175" s="787"/>
      <c r="DB175" s="787"/>
      <c r="DC175" s="787"/>
      <c r="DD175" s="787"/>
      <c r="DE175" s="787"/>
      <c r="DF175" s="787"/>
      <c r="DG175" s="787"/>
      <c r="DH175" s="787"/>
      <c r="DI175" s="787"/>
      <c r="DJ175" s="787"/>
      <c r="DK175" s="787"/>
      <c r="DL175" s="787"/>
      <c r="DM175" s="787"/>
      <c r="DN175" s="787"/>
      <c r="DO175" s="787"/>
      <c r="DP175" s="787"/>
      <c r="DQ175" s="787"/>
      <c r="DR175" s="787"/>
      <c r="DS175" s="787"/>
      <c r="DT175" s="787"/>
      <c r="DU175" s="787"/>
      <c r="DV175" s="787"/>
      <c r="DW175" s="787"/>
      <c r="DX175" s="787"/>
      <c r="DY175" s="787"/>
      <c r="DZ175" s="787"/>
      <c r="EA175" s="787"/>
    </row>
    <row r="176" spans="1:131" ht="15.6">
      <c r="A176" s="782" t="s">
        <v>1471</v>
      </c>
      <c r="B176" s="782" t="s">
        <v>832</v>
      </c>
      <c r="C176" s="783">
        <v>2308</v>
      </c>
      <c r="D176" s="784" t="s">
        <v>833</v>
      </c>
      <c r="E176" s="785" t="s">
        <v>521</v>
      </c>
      <c r="F176" s="786">
        <v>46094</v>
      </c>
      <c r="G176" s="785" t="s">
        <v>5</v>
      </c>
      <c r="H176" s="785" t="s">
        <v>844</v>
      </c>
      <c r="I176" s="787">
        <v>2714760.0418125554</v>
      </c>
      <c r="J176" s="787">
        <v>0</v>
      </c>
      <c r="K176" s="787">
        <v>162858.69000000003</v>
      </c>
      <c r="L176" s="787"/>
      <c r="M176" s="787">
        <v>354510</v>
      </c>
      <c r="N176" s="787">
        <v>47980.93</v>
      </c>
      <c r="O176" s="787"/>
      <c r="P176" s="787"/>
      <c r="Q176" s="787">
        <v>0</v>
      </c>
      <c r="R176" s="787"/>
      <c r="S176" s="787"/>
      <c r="T176" s="787"/>
      <c r="U176" s="787"/>
      <c r="V176" s="787"/>
      <c r="W176" s="787"/>
      <c r="X176" s="787">
        <f t="shared" si="6"/>
        <v>3280109.6618125555</v>
      </c>
      <c r="Y176" s="787"/>
      <c r="Z176" s="787"/>
      <c r="AA176" s="787"/>
      <c r="AB176" s="787"/>
      <c r="AC176" s="787"/>
      <c r="AD176" s="787"/>
      <c r="AE176" s="787"/>
      <c r="AF176" s="787"/>
      <c r="AG176" s="787"/>
      <c r="AH176" s="787"/>
      <c r="AI176" s="787"/>
      <c r="AJ176" s="787"/>
      <c r="AK176" s="787"/>
      <c r="AL176" s="787"/>
      <c r="AM176" s="787"/>
      <c r="AN176" s="787"/>
      <c r="AO176" s="787">
        <v>36039.78</v>
      </c>
      <c r="AP176" s="787"/>
      <c r="AQ176" s="787"/>
      <c r="AR176" s="787"/>
      <c r="AS176" s="787"/>
      <c r="AT176" s="787"/>
      <c r="AU176" s="787"/>
      <c r="AV176" s="787"/>
      <c r="AW176" s="787"/>
      <c r="AX176" s="787"/>
      <c r="AY176" s="787"/>
      <c r="AZ176" s="787">
        <v>0</v>
      </c>
      <c r="BA176" s="787">
        <v>9471</v>
      </c>
      <c r="BB176" s="787"/>
      <c r="BC176" s="787"/>
      <c r="BD176" s="787"/>
      <c r="BE176" s="787">
        <v>10171.200000000003</v>
      </c>
      <c r="BF176" s="787"/>
      <c r="BG176" s="787"/>
      <c r="BH176" s="787"/>
      <c r="BI176" s="787"/>
      <c r="BJ176" s="787">
        <f t="shared" si="7"/>
        <v>55681.98</v>
      </c>
      <c r="BK176" s="787"/>
      <c r="BL176" s="787"/>
      <c r="BM176" s="787"/>
      <c r="BN176" s="787">
        <v>8790.25</v>
      </c>
      <c r="BO176" s="787"/>
      <c r="BP176" s="787"/>
      <c r="BQ176" s="787">
        <f t="shared" si="8"/>
        <v>8790.25</v>
      </c>
      <c r="BR176" s="787"/>
      <c r="BS176" s="787"/>
      <c r="BT176" s="787"/>
      <c r="BU176" s="787"/>
      <c r="BV176" s="787"/>
      <c r="BW176" s="787"/>
      <c r="BX176" s="787"/>
      <c r="BY176" s="787"/>
      <c r="BZ176" s="787"/>
      <c r="CA176" s="787"/>
      <c r="CB176" s="787"/>
      <c r="CC176" s="787"/>
      <c r="CD176" s="787"/>
      <c r="CE176" s="787"/>
      <c r="CF176" s="787"/>
      <c r="CG176" s="787"/>
      <c r="CH176" s="787"/>
      <c r="CI176" s="787"/>
      <c r="CJ176" s="787"/>
      <c r="CK176" s="787"/>
      <c r="CL176" s="787"/>
      <c r="CM176" s="787"/>
      <c r="CN176" s="787"/>
      <c r="CO176" s="787"/>
      <c r="CP176" s="787"/>
      <c r="CQ176" s="787"/>
      <c r="CR176" s="787"/>
      <c r="CS176" s="787"/>
      <c r="CT176" s="787"/>
      <c r="CU176" s="787"/>
      <c r="CV176" s="787"/>
      <c r="CW176" s="787"/>
      <c r="CX176" s="787"/>
      <c r="CY176" s="787"/>
      <c r="CZ176" s="787"/>
      <c r="DA176" s="787"/>
      <c r="DB176" s="787"/>
      <c r="DC176" s="787"/>
      <c r="DD176" s="787"/>
      <c r="DE176" s="787"/>
      <c r="DF176" s="787"/>
      <c r="DG176" s="787"/>
      <c r="DH176" s="787"/>
      <c r="DI176" s="787"/>
      <c r="DJ176" s="787"/>
      <c r="DK176" s="787"/>
      <c r="DL176" s="787"/>
      <c r="DM176" s="787"/>
      <c r="DN176" s="787"/>
      <c r="DO176" s="787"/>
      <c r="DP176" s="787"/>
      <c r="DQ176" s="787"/>
      <c r="DR176" s="787"/>
      <c r="DS176" s="787"/>
      <c r="DT176" s="787"/>
      <c r="DU176" s="787"/>
      <c r="DV176" s="787"/>
      <c r="DW176" s="787"/>
      <c r="DX176" s="787"/>
      <c r="DY176" s="787"/>
      <c r="DZ176" s="787"/>
      <c r="EA176" s="787"/>
    </row>
    <row r="177" spans="1:131" ht="15.6">
      <c r="A177" s="782" t="s">
        <v>1472</v>
      </c>
      <c r="B177" s="782" t="s">
        <v>834</v>
      </c>
      <c r="C177" s="783">
        <v>2245</v>
      </c>
      <c r="D177" s="784" t="s">
        <v>835</v>
      </c>
      <c r="E177" s="785" t="s">
        <v>521</v>
      </c>
      <c r="F177" s="786" t="s">
        <v>1322</v>
      </c>
      <c r="G177" s="785" t="s">
        <v>5</v>
      </c>
      <c r="H177" s="785" t="s">
        <v>846</v>
      </c>
      <c r="I177" s="787">
        <v>1734599.1754731305</v>
      </c>
      <c r="J177" s="787">
        <v>0</v>
      </c>
      <c r="K177" s="787">
        <v>186400.76666666663</v>
      </c>
      <c r="L177" s="787"/>
      <c r="M177" s="787">
        <v>230280</v>
      </c>
      <c r="N177" s="787">
        <v>30440.93</v>
      </c>
      <c r="O177" s="787"/>
      <c r="P177" s="787"/>
      <c r="Q177" s="787">
        <v>5406.1549299999515</v>
      </c>
      <c r="R177" s="787"/>
      <c r="S177" s="787"/>
      <c r="T177" s="787"/>
      <c r="U177" s="787"/>
      <c r="V177" s="787"/>
      <c r="W177" s="787"/>
      <c r="X177" s="787">
        <f t="shared" si="6"/>
        <v>2187127.0270697968</v>
      </c>
      <c r="Y177" s="787"/>
      <c r="Z177" s="787"/>
      <c r="AA177" s="787"/>
      <c r="AB177" s="787"/>
      <c r="AC177" s="787"/>
      <c r="AD177" s="787"/>
      <c r="AE177" s="787"/>
      <c r="AF177" s="787"/>
      <c r="AG177" s="787"/>
      <c r="AH177" s="787"/>
      <c r="AI177" s="787"/>
      <c r="AJ177" s="787"/>
      <c r="AK177" s="787"/>
      <c r="AL177" s="787"/>
      <c r="AM177" s="787"/>
      <c r="AN177" s="787"/>
      <c r="AO177" s="787">
        <v>18595.430000000004</v>
      </c>
      <c r="AP177" s="787"/>
      <c r="AQ177" s="787"/>
      <c r="AR177" s="787"/>
      <c r="AS177" s="787"/>
      <c r="AT177" s="787"/>
      <c r="AU177" s="787"/>
      <c r="AV177" s="787"/>
      <c r="AW177" s="787"/>
      <c r="AX177" s="787"/>
      <c r="AY177" s="787"/>
      <c r="AZ177" s="787">
        <v>79.550000000000011</v>
      </c>
      <c r="BA177" s="787">
        <v>5139.75</v>
      </c>
      <c r="BB177" s="787"/>
      <c r="BC177" s="787"/>
      <c r="BD177" s="787"/>
      <c r="BE177" s="787">
        <v>5502.880000000001</v>
      </c>
      <c r="BF177" s="787"/>
      <c r="BG177" s="787"/>
      <c r="BH177" s="787"/>
      <c r="BI177" s="787"/>
      <c r="BJ177" s="787">
        <f t="shared" si="7"/>
        <v>29317.610000000004</v>
      </c>
      <c r="BK177" s="787"/>
      <c r="BL177" s="787"/>
      <c r="BM177" s="787"/>
      <c r="BN177" s="787">
        <v>6532.38</v>
      </c>
      <c r="BO177" s="787"/>
      <c r="BP177" s="787"/>
      <c r="BQ177" s="787">
        <f t="shared" si="8"/>
        <v>6532.38</v>
      </c>
      <c r="BR177" s="787"/>
      <c r="BS177" s="787"/>
      <c r="BT177" s="787"/>
      <c r="BU177" s="787"/>
      <c r="BV177" s="787"/>
      <c r="BW177" s="787"/>
      <c r="BX177" s="787"/>
      <c r="BY177" s="787"/>
      <c r="BZ177" s="787"/>
      <c r="CA177" s="787"/>
      <c r="CB177" s="787"/>
      <c r="CC177" s="787"/>
      <c r="CD177" s="787"/>
      <c r="CE177" s="787"/>
      <c r="CF177" s="787"/>
      <c r="CG177" s="787"/>
      <c r="CH177" s="787"/>
      <c r="CI177" s="787"/>
      <c r="CJ177" s="787"/>
      <c r="CK177" s="787"/>
      <c r="CL177" s="787"/>
      <c r="CM177" s="787"/>
      <c r="CN177" s="787"/>
      <c r="CO177" s="787"/>
      <c r="CP177" s="787"/>
      <c r="CQ177" s="787"/>
      <c r="CR177" s="787"/>
      <c r="CS177" s="787"/>
      <c r="CT177" s="787"/>
      <c r="CU177" s="787"/>
      <c r="CV177" s="787"/>
      <c r="CW177" s="787"/>
      <c r="CX177" s="787"/>
      <c r="CY177" s="787"/>
      <c r="CZ177" s="787"/>
      <c r="DA177" s="787"/>
      <c r="DB177" s="787"/>
      <c r="DC177" s="787"/>
      <c r="DD177" s="787"/>
      <c r="DE177" s="787"/>
      <c r="DF177" s="787"/>
      <c r="DG177" s="787"/>
      <c r="DH177" s="787"/>
      <c r="DI177" s="787"/>
      <c r="DJ177" s="787"/>
      <c r="DK177" s="787"/>
      <c r="DL177" s="787"/>
      <c r="DM177" s="787"/>
      <c r="DN177" s="787"/>
      <c r="DO177" s="787"/>
      <c r="DP177" s="787"/>
      <c r="DQ177" s="787"/>
      <c r="DR177" s="787"/>
      <c r="DS177" s="787"/>
      <c r="DT177" s="787"/>
      <c r="DU177" s="787"/>
      <c r="DV177" s="787"/>
      <c r="DW177" s="787"/>
      <c r="DX177" s="787"/>
      <c r="DY177" s="787"/>
      <c r="DZ177" s="787"/>
      <c r="EA177" s="787"/>
    </row>
    <row r="178" spans="1:131" ht="15.6">
      <c r="A178" s="782" t="s">
        <v>1473</v>
      </c>
      <c r="B178" s="782" t="s">
        <v>936</v>
      </c>
      <c r="C178" s="783">
        <v>1020</v>
      </c>
      <c r="D178" s="784" t="s">
        <v>937</v>
      </c>
      <c r="E178" s="785" t="s">
        <v>521</v>
      </c>
      <c r="F178" s="786">
        <v>46094</v>
      </c>
      <c r="G178" s="785" t="s">
        <v>5</v>
      </c>
      <c r="H178" s="785" t="s">
        <v>814</v>
      </c>
      <c r="I178" s="787">
        <v>1284547.7264143531</v>
      </c>
      <c r="J178" s="787">
        <v>0</v>
      </c>
      <c r="K178" s="787">
        <v>82990.760657433042</v>
      </c>
      <c r="L178" s="787"/>
      <c r="M178" s="787">
        <v>0</v>
      </c>
      <c r="N178" s="787">
        <v>0</v>
      </c>
      <c r="O178" s="787"/>
      <c r="P178" s="787"/>
      <c r="Q178" s="787">
        <v>2934.62</v>
      </c>
      <c r="R178" s="787"/>
      <c r="S178" s="787"/>
      <c r="T178" s="787"/>
      <c r="U178" s="787"/>
      <c r="V178" s="787"/>
      <c r="W178" s="787"/>
      <c r="X178" s="787">
        <f t="shared" si="6"/>
        <v>1370473.1070717862</v>
      </c>
      <c r="Y178" s="787"/>
      <c r="Z178" s="787"/>
      <c r="AA178" s="787"/>
      <c r="AB178" s="787"/>
      <c r="AC178" s="787"/>
      <c r="AD178" s="787"/>
      <c r="AE178" s="787"/>
      <c r="AF178" s="787"/>
      <c r="AG178" s="787"/>
      <c r="AH178" s="787"/>
      <c r="AI178" s="787"/>
      <c r="AJ178" s="787"/>
      <c r="AK178" s="787"/>
      <c r="AL178" s="787"/>
      <c r="AM178" s="787"/>
      <c r="AN178" s="787"/>
      <c r="AO178" s="787">
        <v>0</v>
      </c>
      <c r="AP178" s="787"/>
      <c r="AQ178" s="787"/>
      <c r="AR178" s="787"/>
      <c r="AS178" s="787"/>
      <c r="AT178" s="787"/>
      <c r="AU178" s="787"/>
      <c r="AV178" s="787"/>
      <c r="AW178" s="787"/>
      <c r="AX178" s="787"/>
      <c r="AY178" s="787"/>
      <c r="AZ178" s="787">
        <v>59.910000000000025</v>
      </c>
      <c r="BA178" s="787">
        <v>3291.75</v>
      </c>
      <c r="BB178" s="787"/>
      <c r="BC178" s="787"/>
      <c r="BD178" s="787"/>
      <c r="BE178" s="787">
        <v>0</v>
      </c>
      <c r="BF178" s="787"/>
      <c r="BG178" s="787"/>
      <c r="BH178" s="787"/>
      <c r="BI178" s="787"/>
      <c r="BJ178" s="787">
        <f t="shared" si="7"/>
        <v>3351.66</v>
      </c>
      <c r="BK178" s="787"/>
      <c r="BL178" s="787"/>
      <c r="BM178" s="787"/>
      <c r="BN178" s="787">
        <v>5424.25</v>
      </c>
      <c r="BO178" s="787"/>
      <c r="BP178" s="787"/>
      <c r="BQ178" s="787">
        <f t="shared" si="8"/>
        <v>5424.25</v>
      </c>
      <c r="BR178" s="787"/>
      <c r="BS178" s="787"/>
      <c r="BT178" s="787"/>
      <c r="BU178" s="787"/>
      <c r="BV178" s="787"/>
      <c r="BW178" s="787"/>
      <c r="BX178" s="787"/>
      <c r="BY178" s="787"/>
      <c r="BZ178" s="787"/>
      <c r="CA178" s="787"/>
      <c r="CB178" s="787"/>
      <c r="CC178" s="787"/>
      <c r="CD178" s="787"/>
      <c r="CE178" s="787"/>
      <c r="CF178" s="787"/>
      <c r="CG178" s="787"/>
      <c r="CH178" s="787"/>
      <c r="CI178" s="787"/>
      <c r="CJ178" s="787"/>
      <c r="CK178" s="787"/>
      <c r="CL178" s="787"/>
      <c r="CM178" s="787"/>
      <c r="CN178" s="787"/>
      <c r="CO178" s="787"/>
      <c r="CP178" s="787"/>
      <c r="CQ178" s="787"/>
      <c r="CR178" s="787"/>
      <c r="CS178" s="787"/>
      <c r="CT178" s="787"/>
      <c r="CU178" s="787"/>
      <c r="CV178" s="787"/>
      <c r="CW178" s="787"/>
      <c r="CX178" s="787"/>
      <c r="CY178" s="787"/>
      <c r="CZ178" s="787"/>
      <c r="DA178" s="787"/>
      <c r="DB178" s="787"/>
      <c r="DC178" s="787"/>
      <c r="DD178" s="787"/>
      <c r="DE178" s="787"/>
      <c r="DF178" s="787"/>
      <c r="DG178" s="787"/>
      <c r="DH178" s="787"/>
      <c r="DI178" s="787"/>
      <c r="DJ178" s="787"/>
      <c r="DK178" s="787"/>
      <c r="DL178" s="787"/>
      <c r="DM178" s="787"/>
      <c r="DN178" s="787"/>
      <c r="DO178" s="787"/>
      <c r="DP178" s="787"/>
      <c r="DQ178" s="787"/>
      <c r="DR178" s="787"/>
      <c r="DS178" s="787"/>
      <c r="DT178" s="787"/>
      <c r="DU178" s="787"/>
      <c r="DV178" s="787"/>
      <c r="DW178" s="787"/>
      <c r="DX178" s="787"/>
      <c r="DY178" s="787"/>
      <c r="DZ178" s="787"/>
      <c r="EA178" s="787"/>
    </row>
    <row r="179" spans="1:131" ht="15.6">
      <c r="A179" s="782" t="s">
        <v>1474</v>
      </c>
      <c r="B179" s="782" t="s">
        <v>836</v>
      </c>
      <c r="C179" s="783">
        <v>1014</v>
      </c>
      <c r="D179" s="784" t="s">
        <v>837</v>
      </c>
      <c r="E179" s="785" t="s">
        <v>521</v>
      </c>
      <c r="F179" s="786">
        <v>0</v>
      </c>
      <c r="G179" s="785" t="s">
        <v>5</v>
      </c>
      <c r="H179" s="785" t="s">
        <v>850</v>
      </c>
      <c r="I179" s="787">
        <v>752719.91944727115</v>
      </c>
      <c r="J179" s="787">
        <v>0</v>
      </c>
      <c r="K179" s="787">
        <v>27692.398794459834</v>
      </c>
      <c r="L179" s="787"/>
      <c r="M179" s="787">
        <v>0</v>
      </c>
      <c r="N179" s="787">
        <v>0</v>
      </c>
      <c r="O179" s="787"/>
      <c r="P179" s="787"/>
      <c r="Q179" s="787">
        <v>0</v>
      </c>
      <c r="R179" s="787"/>
      <c r="S179" s="787"/>
      <c r="T179" s="787"/>
      <c r="U179" s="787"/>
      <c r="V179" s="787"/>
      <c r="W179" s="787"/>
      <c r="X179" s="787">
        <f t="shared" si="6"/>
        <v>780412.31824173103</v>
      </c>
      <c r="Y179" s="787"/>
      <c r="Z179" s="787"/>
      <c r="AA179" s="787"/>
      <c r="AB179" s="787"/>
      <c r="AC179" s="787"/>
      <c r="AD179" s="787"/>
      <c r="AE179" s="787"/>
      <c r="AF179" s="787"/>
      <c r="AG179" s="787"/>
      <c r="AH179" s="787"/>
      <c r="AI179" s="787"/>
      <c r="AJ179" s="787"/>
      <c r="AK179" s="787"/>
      <c r="AL179" s="787"/>
      <c r="AM179" s="787"/>
      <c r="AN179" s="787"/>
      <c r="AO179" s="787">
        <v>0</v>
      </c>
      <c r="AP179" s="787"/>
      <c r="AQ179" s="787"/>
      <c r="AR179" s="787"/>
      <c r="AS179" s="787"/>
      <c r="AT179" s="787"/>
      <c r="AU179" s="787"/>
      <c r="AV179" s="787"/>
      <c r="AW179" s="787"/>
      <c r="AX179" s="787"/>
      <c r="AY179" s="787"/>
      <c r="AZ179" s="787">
        <v>0</v>
      </c>
      <c r="BA179" s="787">
        <v>3291.75</v>
      </c>
      <c r="BB179" s="787"/>
      <c r="BC179" s="787"/>
      <c r="BD179" s="787"/>
      <c r="BE179" s="787">
        <v>0</v>
      </c>
      <c r="BF179" s="787"/>
      <c r="BG179" s="787"/>
      <c r="BH179" s="787"/>
      <c r="BI179" s="787"/>
      <c r="BJ179" s="787">
        <f t="shared" si="7"/>
        <v>3291.75</v>
      </c>
      <c r="BK179" s="787"/>
      <c r="BL179" s="787"/>
      <c r="BM179" s="787"/>
      <c r="BN179" s="787">
        <v>4985.5</v>
      </c>
      <c r="BO179" s="787"/>
      <c r="BP179" s="787"/>
      <c r="BQ179" s="787">
        <f t="shared" si="8"/>
        <v>4985.5</v>
      </c>
      <c r="BR179" s="787"/>
      <c r="BS179" s="787"/>
      <c r="BT179" s="787"/>
      <c r="BU179" s="787"/>
      <c r="BV179" s="787"/>
      <c r="BW179" s="787"/>
      <c r="BX179" s="787"/>
      <c r="BY179" s="787"/>
      <c r="BZ179" s="787"/>
      <c r="CA179" s="787"/>
      <c r="CB179" s="787"/>
      <c r="CC179" s="787"/>
      <c r="CD179" s="787"/>
      <c r="CE179" s="787"/>
      <c r="CF179" s="787"/>
      <c r="CG179" s="787"/>
      <c r="CH179" s="787"/>
      <c r="CI179" s="787"/>
      <c r="CJ179" s="787"/>
      <c r="CK179" s="787"/>
      <c r="CL179" s="787"/>
      <c r="CM179" s="787"/>
      <c r="CN179" s="787"/>
      <c r="CO179" s="787"/>
      <c r="CP179" s="787"/>
      <c r="CQ179" s="787"/>
      <c r="CR179" s="787"/>
      <c r="CS179" s="787"/>
      <c r="CT179" s="787"/>
      <c r="CU179" s="787"/>
      <c r="CV179" s="787"/>
      <c r="CW179" s="787"/>
      <c r="CX179" s="787"/>
      <c r="CY179" s="787"/>
      <c r="CZ179" s="787"/>
      <c r="DA179" s="787"/>
      <c r="DB179" s="787"/>
      <c r="DC179" s="787"/>
      <c r="DD179" s="787"/>
      <c r="DE179" s="787"/>
      <c r="DF179" s="787"/>
      <c r="DG179" s="787"/>
      <c r="DH179" s="787"/>
      <c r="DI179" s="787"/>
      <c r="DJ179" s="787"/>
      <c r="DK179" s="787"/>
      <c r="DL179" s="787"/>
      <c r="DM179" s="787"/>
      <c r="DN179" s="787"/>
      <c r="DO179" s="787"/>
      <c r="DP179" s="787"/>
      <c r="DQ179" s="787"/>
      <c r="DR179" s="787"/>
      <c r="DS179" s="787"/>
      <c r="DT179" s="787"/>
      <c r="DU179" s="787"/>
      <c r="DV179" s="787"/>
      <c r="DW179" s="787"/>
      <c r="DX179" s="787"/>
      <c r="DY179" s="787"/>
      <c r="DZ179" s="787"/>
      <c r="EA179" s="787"/>
    </row>
    <row r="180" spans="1:131" ht="15.6">
      <c r="A180" s="782" t="s">
        <v>1475</v>
      </c>
      <c r="B180" s="782" t="s">
        <v>938</v>
      </c>
      <c r="C180" s="783">
        <v>2019</v>
      </c>
      <c r="D180" s="784" t="s">
        <v>939</v>
      </c>
      <c r="E180" s="785" t="s">
        <v>521</v>
      </c>
      <c r="F180" s="786">
        <v>46091</v>
      </c>
      <c r="G180" s="785" t="s">
        <v>5</v>
      </c>
      <c r="H180" s="785" t="s">
        <v>816</v>
      </c>
      <c r="I180" s="787">
        <v>2452821.7722999994</v>
      </c>
      <c r="J180" s="787">
        <v>0</v>
      </c>
      <c r="K180" s="787">
        <v>261907.77999999997</v>
      </c>
      <c r="L180" s="787"/>
      <c r="M180" s="787">
        <v>302950</v>
      </c>
      <c r="N180" s="787">
        <v>74977.929999999993</v>
      </c>
      <c r="O180" s="787"/>
      <c r="P180" s="787"/>
      <c r="Q180" s="787">
        <v>5776.2502849999692</v>
      </c>
      <c r="R180" s="787"/>
      <c r="S180" s="787"/>
      <c r="T180" s="787"/>
      <c r="U180" s="787"/>
      <c r="V180" s="787"/>
      <c r="W180" s="787"/>
      <c r="X180" s="787">
        <f t="shared" si="6"/>
        <v>3098433.7325849994</v>
      </c>
      <c r="Y180" s="787"/>
      <c r="Z180" s="787"/>
      <c r="AA180" s="787"/>
      <c r="AB180" s="787"/>
      <c r="AC180" s="787"/>
      <c r="AD180" s="787"/>
      <c r="AE180" s="787"/>
      <c r="AF180" s="787"/>
      <c r="AG180" s="787"/>
      <c r="AH180" s="787"/>
      <c r="AI180" s="787"/>
      <c r="AJ180" s="787"/>
      <c r="AK180" s="787"/>
      <c r="AL180" s="787"/>
      <c r="AM180" s="787"/>
      <c r="AN180" s="787"/>
      <c r="AO180" s="787">
        <v>61406.259999999987</v>
      </c>
      <c r="AP180" s="787"/>
      <c r="AQ180" s="787"/>
      <c r="AR180" s="787"/>
      <c r="AS180" s="787"/>
      <c r="AT180" s="787"/>
      <c r="AU180" s="787"/>
      <c r="AV180" s="787"/>
      <c r="AW180" s="787"/>
      <c r="AX180" s="787"/>
      <c r="AY180" s="787"/>
      <c r="AZ180" s="787">
        <v>8.82</v>
      </c>
      <c r="BA180" s="787">
        <v>9471</v>
      </c>
      <c r="BB180" s="787"/>
      <c r="BC180" s="787"/>
      <c r="BD180" s="787"/>
      <c r="BE180" s="787">
        <v>10562.400000000001</v>
      </c>
      <c r="BF180" s="787"/>
      <c r="BG180" s="787"/>
      <c r="BH180" s="787"/>
      <c r="BI180" s="787"/>
      <c r="BJ180" s="787">
        <f t="shared" si="7"/>
        <v>81448.479999999981</v>
      </c>
      <c r="BK180" s="787"/>
      <c r="BL180" s="787"/>
      <c r="BM180" s="787"/>
      <c r="BN180" s="787">
        <v>8578.75</v>
      </c>
      <c r="BO180" s="787"/>
      <c r="BP180" s="787"/>
      <c r="BQ180" s="787">
        <f t="shared" si="8"/>
        <v>8578.75</v>
      </c>
      <c r="BR180" s="787"/>
      <c r="BS180" s="787"/>
      <c r="BT180" s="787"/>
      <c r="BU180" s="787"/>
      <c r="BV180" s="787"/>
      <c r="BW180" s="787"/>
      <c r="BX180" s="787"/>
      <c r="BY180" s="787"/>
      <c r="BZ180" s="787"/>
      <c r="CA180" s="787"/>
      <c r="CB180" s="787"/>
      <c r="CC180" s="787"/>
      <c r="CD180" s="787"/>
      <c r="CE180" s="787"/>
      <c r="CF180" s="787"/>
      <c r="CG180" s="787"/>
      <c r="CH180" s="787"/>
      <c r="CI180" s="787"/>
      <c r="CJ180" s="787"/>
      <c r="CK180" s="787"/>
      <c r="CL180" s="787"/>
      <c r="CM180" s="787"/>
      <c r="CN180" s="787"/>
      <c r="CO180" s="787"/>
      <c r="CP180" s="787"/>
      <c r="CQ180" s="787"/>
      <c r="CR180" s="787"/>
      <c r="CS180" s="787"/>
      <c r="CT180" s="787"/>
      <c r="CU180" s="787"/>
      <c r="CV180" s="787"/>
      <c r="CW180" s="787"/>
      <c r="CX180" s="787"/>
      <c r="CY180" s="787"/>
      <c r="CZ180" s="787"/>
      <c r="DA180" s="787"/>
      <c r="DB180" s="787"/>
      <c r="DC180" s="787"/>
      <c r="DD180" s="787"/>
      <c r="DE180" s="787"/>
      <c r="DF180" s="787"/>
      <c r="DG180" s="787"/>
      <c r="DH180" s="787"/>
      <c r="DI180" s="787"/>
      <c r="DJ180" s="787"/>
      <c r="DK180" s="787"/>
      <c r="DL180" s="787"/>
      <c r="DM180" s="787"/>
      <c r="DN180" s="787"/>
      <c r="DO180" s="787"/>
      <c r="DP180" s="787"/>
      <c r="DQ180" s="787"/>
      <c r="DR180" s="787"/>
      <c r="DS180" s="787"/>
      <c r="DT180" s="787"/>
      <c r="DU180" s="787"/>
      <c r="DV180" s="787"/>
      <c r="DW180" s="787"/>
      <c r="DX180" s="787"/>
      <c r="DY180" s="787"/>
      <c r="DZ180" s="787"/>
      <c r="EA180" s="787"/>
    </row>
    <row r="181" spans="1:131" ht="15.6">
      <c r="A181" s="782" t="s">
        <v>1476</v>
      </c>
      <c r="B181" s="782" t="s">
        <v>838</v>
      </c>
      <c r="C181" s="783">
        <v>2011</v>
      </c>
      <c r="D181" s="784" t="s">
        <v>839</v>
      </c>
      <c r="E181" s="785" t="s">
        <v>521</v>
      </c>
      <c r="F181" s="786">
        <v>46092</v>
      </c>
      <c r="G181" s="785" t="s">
        <v>5</v>
      </c>
      <c r="H181" s="785" t="s">
        <v>852</v>
      </c>
      <c r="I181" s="787">
        <v>3622508.3447204684</v>
      </c>
      <c r="J181" s="787">
        <v>0</v>
      </c>
      <c r="K181" s="787">
        <v>278431.45333333337</v>
      </c>
      <c r="L181" s="787"/>
      <c r="M181" s="787">
        <v>348315</v>
      </c>
      <c r="N181" s="787">
        <v>93787.53</v>
      </c>
      <c r="O181" s="787"/>
      <c r="P181" s="787"/>
      <c r="Q181" s="787">
        <v>0</v>
      </c>
      <c r="R181" s="787"/>
      <c r="S181" s="787"/>
      <c r="T181" s="787"/>
      <c r="U181" s="787"/>
      <c r="V181" s="787"/>
      <c r="W181" s="787"/>
      <c r="X181" s="787">
        <f t="shared" si="6"/>
        <v>4343042.3280538023</v>
      </c>
      <c r="Y181" s="787"/>
      <c r="Z181" s="787"/>
      <c r="AA181" s="787"/>
      <c r="AB181" s="787"/>
      <c r="AC181" s="787"/>
      <c r="AD181" s="787"/>
      <c r="AE181" s="787"/>
      <c r="AF181" s="787"/>
      <c r="AG181" s="787"/>
      <c r="AH181" s="787"/>
      <c r="AI181" s="787"/>
      <c r="AJ181" s="787"/>
      <c r="AK181" s="787"/>
      <c r="AL181" s="787"/>
      <c r="AM181" s="787"/>
      <c r="AN181" s="787"/>
      <c r="AO181" s="787">
        <v>93050.07</v>
      </c>
      <c r="AP181" s="787"/>
      <c r="AQ181" s="787"/>
      <c r="AR181" s="787"/>
      <c r="AS181" s="787"/>
      <c r="AT181" s="787"/>
      <c r="AU181" s="787"/>
      <c r="AV181" s="787"/>
      <c r="AW181" s="787"/>
      <c r="AX181" s="787"/>
      <c r="AY181" s="787"/>
      <c r="AZ181" s="787">
        <v>0</v>
      </c>
      <c r="BA181" s="787">
        <v>18745.650000000001</v>
      </c>
      <c r="BB181" s="787"/>
      <c r="BC181" s="787"/>
      <c r="BD181" s="787"/>
      <c r="BE181" s="787">
        <v>15908.800000000001</v>
      </c>
      <c r="BF181" s="787"/>
      <c r="BG181" s="787"/>
      <c r="BH181" s="787"/>
      <c r="BI181" s="787"/>
      <c r="BJ181" s="787">
        <f t="shared" si="7"/>
        <v>127704.52</v>
      </c>
      <c r="BK181" s="787"/>
      <c r="BL181" s="787"/>
      <c r="BM181" s="787"/>
      <c r="BN181" s="787">
        <v>11204.5</v>
      </c>
      <c r="BO181" s="787"/>
      <c r="BP181" s="787"/>
      <c r="BQ181" s="787">
        <f t="shared" si="8"/>
        <v>11204.5</v>
      </c>
      <c r="BR181" s="787"/>
      <c r="BS181" s="787"/>
      <c r="BT181" s="787"/>
      <c r="BU181" s="787"/>
      <c r="BV181" s="787"/>
      <c r="BW181" s="787"/>
      <c r="BX181" s="787"/>
      <c r="BY181" s="787"/>
      <c r="BZ181" s="787"/>
      <c r="CA181" s="787"/>
      <c r="CB181" s="787"/>
      <c r="CC181" s="787"/>
      <c r="CD181" s="787"/>
      <c r="CE181" s="787"/>
      <c r="CF181" s="787"/>
      <c r="CG181" s="787"/>
      <c r="CH181" s="787"/>
      <c r="CI181" s="787"/>
      <c r="CJ181" s="787"/>
      <c r="CK181" s="787"/>
      <c r="CL181" s="787"/>
      <c r="CM181" s="787"/>
      <c r="CN181" s="787"/>
      <c r="CO181" s="787"/>
      <c r="CP181" s="787"/>
      <c r="CQ181" s="787"/>
      <c r="CR181" s="787"/>
      <c r="CS181" s="787"/>
      <c r="CT181" s="787"/>
      <c r="CU181" s="787"/>
      <c r="CV181" s="787"/>
      <c r="CW181" s="787"/>
      <c r="CX181" s="787"/>
      <c r="CY181" s="787"/>
      <c r="CZ181" s="787"/>
      <c r="DA181" s="787"/>
      <c r="DB181" s="787"/>
      <c r="DC181" s="787"/>
      <c r="DD181" s="787"/>
      <c r="DE181" s="787"/>
      <c r="DF181" s="787"/>
      <c r="DG181" s="787"/>
      <c r="DH181" s="787"/>
      <c r="DI181" s="787"/>
      <c r="DJ181" s="787"/>
      <c r="DK181" s="787"/>
      <c r="DL181" s="787"/>
      <c r="DM181" s="787"/>
      <c r="DN181" s="787"/>
      <c r="DO181" s="787"/>
      <c r="DP181" s="787"/>
      <c r="DQ181" s="787"/>
      <c r="DR181" s="787"/>
      <c r="DS181" s="787"/>
      <c r="DT181" s="787"/>
      <c r="DU181" s="787"/>
      <c r="DV181" s="787"/>
      <c r="DW181" s="787"/>
      <c r="DX181" s="787"/>
      <c r="DY181" s="787"/>
      <c r="DZ181" s="787"/>
      <c r="EA181" s="787"/>
    </row>
    <row r="182" spans="1:131" ht="15.6">
      <c r="A182" s="782" t="s">
        <v>1477</v>
      </c>
      <c r="B182" s="782" t="s">
        <v>840</v>
      </c>
      <c r="C182" s="783">
        <v>4193</v>
      </c>
      <c r="D182" s="784" t="s">
        <v>841</v>
      </c>
      <c r="E182" s="785" t="s">
        <v>521</v>
      </c>
      <c r="F182" s="786">
        <v>0</v>
      </c>
      <c r="G182" s="785" t="s">
        <v>5</v>
      </c>
      <c r="H182" s="785" t="s">
        <v>854</v>
      </c>
      <c r="I182" s="787">
        <v>5321838.016861164</v>
      </c>
      <c r="J182" s="787">
        <v>0</v>
      </c>
      <c r="K182" s="787">
        <v>194364.88999999998</v>
      </c>
      <c r="L182" s="787"/>
      <c r="M182" s="787">
        <v>272430</v>
      </c>
      <c r="N182" s="787">
        <v>1533</v>
      </c>
      <c r="O182" s="787"/>
      <c r="P182" s="787"/>
      <c r="Q182" s="787">
        <v>0</v>
      </c>
      <c r="R182" s="787"/>
      <c r="S182" s="787"/>
      <c r="T182" s="787"/>
      <c r="U182" s="787"/>
      <c r="V182" s="787"/>
      <c r="W182" s="787"/>
      <c r="X182" s="787">
        <f t="shared" si="6"/>
        <v>5790165.9068611637</v>
      </c>
      <c r="Y182" s="787"/>
      <c r="Z182" s="787"/>
      <c r="AA182" s="787"/>
      <c r="AB182" s="787"/>
      <c r="AC182" s="787"/>
      <c r="AD182" s="787"/>
      <c r="AE182" s="787"/>
      <c r="AF182" s="787"/>
      <c r="AG182" s="787"/>
      <c r="AH182" s="787"/>
      <c r="AI182" s="787"/>
      <c r="AJ182" s="787"/>
      <c r="AK182" s="787"/>
      <c r="AL182" s="787"/>
      <c r="AM182" s="787"/>
      <c r="AN182" s="787"/>
      <c r="AO182" s="787">
        <v>126037.06</v>
      </c>
      <c r="AP182" s="787"/>
      <c r="AQ182" s="787"/>
      <c r="AR182" s="787"/>
      <c r="AS182" s="787"/>
      <c r="AT182" s="787"/>
      <c r="AU182" s="787"/>
      <c r="AV182" s="787"/>
      <c r="AW182" s="787"/>
      <c r="AX182" s="787"/>
      <c r="AY182" s="787"/>
      <c r="AZ182" s="787">
        <v>0</v>
      </c>
      <c r="BA182" s="787">
        <v>18745.650000000001</v>
      </c>
      <c r="BB182" s="787"/>
      <c r="BC182" s="787"/>
      <c r="BD182" s="787"/>
      <c r="BE182" s="787">
        <v>13587.75</v>
      </c>
      <c r="BF182" s="787"/>
      <c r="BG182" s="787"/>
      <c r="BH182" s="787"/>
      <c r="BI182" s="787"/>
      <c r="BJ182" s="787">
        <f t="shared" si="7"/>
        <v>158370.46</v>
      </c>
      <c r="BK182" s="787"/>
      <c r="BL182" s="787"/>
      <c r="BM182" s="787"/>
      <c r="BN182" s="787">
        <v>15432.81</v>
      </c>
      <c r="BO182" s="787"/>
      <c r="BP182" s="787"/>
      <c r="BQ182" s="787">
        <f t="shared" si="8"/>
        <v>15432.81</v>
      </c>
      <c r="BR182" s="787"/>
      <c r="BS182" s="787"/>
      <c r="BT182" s="787"/>
      <c r="BU182" s="787"/>
      <c r="BV182" s="787"/>
      <c r="BW182" s="787"/>
      <c r="BX182" s="787"/>
      <c r="BY182" s="787"/>
      <c r="BZ182" s="787"/>
      <c r="CA182" s="787"/>
      <c r="CB182" s="787"/>
      <c r="CC182" s="787"/>
      <c r="CD182" s="787"/>
      <c r="CE182" s="787"/>
      <c r="CF182" s="787"/>
      <c r="CG182" s="787"/>
      <c r="CH182" s="787"/>
      <c r="CI182" s="787"/>
      <c r="CJ182" s="787"/>
      <c r="CK182" s="787"/>
      <c r="CL182" s="787"/>
      <c r="CM182" s="787"/>
      <c r="CN182" s="787"/>
      <c r="CO182" s="787"/>
      <c r="CP182" s="787"/>
      <c r="CQ182" s="787"/>
      <c r="CR182" s="787"/>
      <c r="CS182" s="787"/>
      <c r="CT182" s="787"/>
      <c r="CU182" s="787"/>
      <c r="CV182" s="787"/>
      <c r="CW182" s="787"/>
      <c r="CX182" s="787"/>
      <c r="CY182" s="787"/>
      <c r="CZ182" s="787"/>
      <c r="DA182" s="787"/>
      <c r="DB182" s="787"/>
      <c r="DC182" s="787"/>
      <c r="DD182" s="787"/>
      <c r="DE182" s="787"/>
      <c r="DF182" s="787"/>
      <c r="DG182" s="787"/>
      <c r="DH182" s="787"/>
      <c r="DI182" s="787"/>
      <c r="DJ182" s="787"/>
      <c r="DK182" s="787"/>
      <c r="DL182" s="787"/>
      <c r="DM182" s="787"/>
      <c r="DN182" s="787"/>
      <c r="DO182" s="787"/>
      <c r="DP182" s="787"/>
      <c r="DQ182" s="787"/>
      <c r="DR182" s="787"/>
      <c r="DS182" s="787"/>
      <c r="DT182" s="787"/>
      <c r="DU182" s="787"/>
      <c r="DV182" s="787"/>
      <c r="DW182" s="787"/>
      <c r="DX182" s="787"/>
      <c r="DY182" s="787"/>
      <c r="DZ182" s="787"/>
      <c r="EA182" s="787"/>
    </row>
    <row r="183" spans="1:131" ht="15.6">
      <c r="A183" s="782" t="s">
        <v>1478</v>
      </c>
      <c r="B183" s="782" t="s">
        <v>842</v>
      </c>
      <c r="C183" s="783">
        <v>2478</v>
      </c>
      <c r="D183" s="784" t="s">
        <v>843</v>
      </c>
      <c r="E183" s="785" t="s">
        <v>521</v>
      </c>
      <c r="F183" s="786">
        <v>46094</v>
      </c>
      <c r="G183" s="785" t="s">
        <v>5</v>
      </c>
      <c r="H183" s="785" t="s">
        <v>856</v>
      </c>
      <c r="I183" s="787">
        <v>2336589.6273684208</v>
      </c>
      <c r="J183" s="787">
        <v>0</v>
      </c>
      <c r="K183" s="787">
        <v>56491.33</v>
      </c>
      <c r="L183" s="787"/>
      <c r="M183" s="787">
        <v>60915</v>
      </c>
      <c r="N183" s="787">
        <v>101063</v>
      </c>
      <c r="O183" s="787"/>
      <c r="P183" s="787"/>
      <c r="Q183" s="787">
        <v>0</v>
      </c>
      <c r="R183" s="787"/>
      <c r="S183" s="787"/>
      <c r="T183" s="787"/>
      <c r="U183" s="787"/>
      <c r="V183" s="787"/>
      <c r="W183" s="787"/>
      <c r="X183" s="787">
        <f t="shared" si="6"/>
        <v>2555058.9573684209</v>
      </c>
      <c r="Y183" s="787"/>
      <c r="Z183" s="787"/>
      <c r="AA183" s="787"/>
      <c r="AB183" s="787"/>
      <c r="AC183" s="787"/>
      <c r="AD183" s="787"/>
      <c r="AE183" s="787"/>
      <c r="AF183" s="787"/>
      <c r="AG183" s="787"/>
      <c r="AH183" s="787"/>
      <c r="AI183" s="787"/>
      <c r="AJ183" s="787"/>
      <c r="AK183" s="787"/>
      <c r="AL183" s="787"/>
      <c r="AM183" s="787"/>
      <c r="AN183" s="787"/>
      <c r="AO183" s="787">
        <v>47099.579999999987</v>
      </c>
      <c r="AP183" s="787"/>
      <c r="AQ183" s="787"/>
      <c r="AR183" s="787"/>
      <c r="AS183" s="787"/>
      <c r="AT183" s="787"/>
      <c r="AU183" s="787"/>
      <c r="AV183" s="787"/>
      <c r="AW183" s="787"/>
      <c r="AX183" s="787"/>
      <c r="AY183" s="787"/>
      <c r="AZ183" s="787">
        <v>0</v>
      </c>
      <c r="BA183" s="787">
        <v>11934</v>
      </c>
      <c r="BB183" s="787"/>
      <c r="BC183" s="787"/>
      <c r="BD183" s="787"/>
      <c r="BE183" s="787">
        <v>11057.920000000004</v>
      </c>
      <c r="BF183" s="787"/>
      <c r="BG183" s="787"/>
      <c r="BH183" s="787"/>
      <c r="BI183" s="787"/>
      <c r="BJ183" s="787">
        <f t="shared" si="7"/>
        <v>70091.499999999985</v>
      </c>
      <c r="BK183" s="787"/>
      <c r="BL183" s="787"/>
      <c r="BM183" s="787"/>
      <c r="BN183" s="787">
        <v>9121</v>
      </c>
      <c r="BO183" s="787"/>
      <c r="BP183" s="787"/>
      <c r="BQ183" s="787">
        <f t="shared" si="8"/>
        <v>9121</v>
      </c>
      <c r="BR183" s="787"/>
      <c r="BS183" s="787"/>
      <c r="BT183" s="787"/>
      <c r="BU183" s="787"/>
      <c r="BV183" s="787"/>
      <c r="BW183" s="787"/>
      <c r="BX183" s="787"/>
      <c r="BY183" s="787"/>
      <c r="BZ183" s="787"/>
      <c r="CA183" s="787"/>
      <c r="CB183" s="787"/>
      <c r="CC183" s="787"/>
      <c r="CD183" s="787"/>
      <c r="CE183" s="787"/>
      <c r="CF183" s="787"/>
      <c r="CG183" s="787"/>
      <c r="CH183" s="787"/>
      <c r="CI183" s="787"/>
      <c r="CJ183" s="787"/>
      <c r="CK183" s="787"/>
      <c r="CL183" s="787"/>
      <c r="CM183" s="787"/>
      <c r="CN183" s="787"/>
      <c r="CO183" s="787"/>
      <c r="CP183" s="787"/>
      <c r="CQ183" s="787"/>
      <c r="CR183" s="787"/>
      <c r="CS183" s="787"/>
      <c r="CT183" s="787"/>
      <c r="CU183" s="787"/>
      <c r="CV183" s="787"/>
      <c r="CW183" s="787"/>
      <c r="CX183" s="787"/>
      <c r="CY183" s="787"/>
      <c r="CZ183" s="787"/>
      <c r="DA183" s="787"/>
      <c r="DB183" s="787"/>
      <c r="DC183" s="787"/>
      <c r="DD183" s="787"/>
      <c r="DE183" s="787"/>
      <c r="DF183" s="787"/>
      <c r="DG183" s="787"/>
      <c r="DH183" s="787"/>
      <c r="DI183" s="787"/>
      <c r="DJ183" s="787"/>
      <c r="DK183" s="787"/>
      <c r="DL183" s="787"/>
      <c r="DM183" s="787"/>
      <c r="DN183" s="787"/>
      <c r="DO183" s="787"/>
      <c r="DP183" s="787"/>
      <c r="DQ183" s="787"/>
      <c r="DR183" s="787"/>
      <c r="DS183" s="787"/>
      <c r="DT183" s="787"/>
      <c r="DU183" s="787"/>
      <c r="DV183" s="787"/>
      <c r="DW183" s="787"/>
      <c r="DX183" s="787"/>
      <c r="DY183" s="787"/>
      <c r="DZ183" s="787"/>
      <c r="EA183" s="787"/>
    </row>
    <row r="184" spans="1:131" ht="15.6">
      <c r="A184" s="782" t="s">
        <v>1479</v>
      </c>
      <c r="B184" s="782" t="s">
        <v>844</v>
      </c>
      <c r="C184" s="783">
        <v>2293</v>
      </c>
      <c r="D184" s="784" t="s">
        <v>845</v>
      </c>
      <c r="E184" s="785" t="s">
        <v>521</v>
      </c>
      <c r="F184" s="786">
        <v>0</v>
      </c>
      <c r="G184" s="785" t="s">
        <v>5</v>
      </c>
      <c r="H184" s="785" t="s">
        <v>858</v>
      </c>
      <c r="I184" s="787">
        <v>3631607.1168743148</v>
      </c>
      <c r="J184" s="787">
        <v>0</v>
      </c>
      <c r="K184" s="787">
        <v>125466.9</v>
      </c>
      <c r="L184" s="787"/>
      <c r="M184" s="787">
        <v>403340</v>
      </c>
      <c r="N184" s="787">
        <v>88487</v>
      </c>
      <c r="O184" s="787"/>
      <c r="P184" s="787"/>
      <c r="Q184" s="787">
        <v>0</v>
      </c>
      <c r="R184" s="787"/>
      <c r="S184" s="787"/>
      <c r="T184" s="787"/>
      <c r="U184" s="787"/>
      <c r="V184" s="787"/>
      <c r="W184" s="787"/>
      <c r="X184" s="787">
        <f t="shared" si="6"/>
        <v>4248901.0168743152</v>
      </c>
      <c r="Y184" s="787"/>
      <c r="Z184" s="787"/>
      <c r="AA184" s="787"/>
      <c r="AB184" s="787"/>
      <c r="AC184" s="787"/>
      <c r="AD184" s="787"/>
      <c r="AE184" s="787"/>
      <c r="AF184" s="787"/>
      <c r="AG184" s="787"/>
      <c r="AH184" s="787"/>
      <c r="AI184" s="787"/>
      <c r="AJ184" s="787"/>
      <c r="AK184" s="787"/>
      <c r="AL184" s="787"/>
      <c r="AM184" s="787"/>
      <c r="AN184" s="787"/>
      <c r="AO184" s="787">
        <v>41074.75</v>
      </c>
      <c r="AP184" s="787"/>
      <c r="AQ184" s="787"/>
      <c r="AR184" s="787"/>
      <c r="AS184" s="787"/>
      <c r="AT184" s="787"/>
      <c r="AU184" s="787"/>
      <c r="AV184" s="787"/>
      <c r="AW184" s="787"/>
      <c r="AX184" s="787"/>
      <c r="AY184" s="787"/>
      <c r="AZ184" s="787">
        <v>0</v>
      </c>
      <c r="BA184" s="787">
        <v>12566.4</v>
      </c>
      <c r="BB184" s="787"/>
      <c r="BC184" s="787"/>
      <c r="BD184" s="787"/>
      <c r="BE184" s="787">
        <v>14917.760000000002</v>
      </c>
      <c r="BF184" s="787"/>
      <c r="BG184" s="787"/>
      <c r="BH184" s="787"/>
      <c r="BI184" s="787"/>
      <c r="BJ184" s="787">
        <f t="shared" si="7"/>
        <v>68558.91</v>
      </c>
      <c r="BK184" s="787"/>
      <c r="BL184" s="787"/>
      <c r="BM184" s="787"/>
      <c r="BN184" s="787">
        <v>10894</v>
      </c>
      <c r="BO184" s="787"/>
      <c r="BP184" s="787"/>
      <c r="BQ184" s="787">
        <f t="shared" si="8"/>
        <v>10894</v>
      </c>
      <c r="BR184" s="787"/>
      <c r="BS184" s="787"/>
      <c r="BT184" s="787"/>
      <c r="BU184" s="787"/>
      <c r="BV184" s="787"/>
      <c r="BW184" s="787"/>
      <c r="BX184" s="787"/>
      <c r="BY184" s="787"/>
      <c r="BZ184" s="787"/>
      <c r="CA184" s="787"/>
      <c r="CB184" s="787"/>
      <c r="CC184" s="787"/>
      <c r="CD184" s="787"/>
      <c r="CE184" s="787"/>
      <c r="CF184" s="787"/>
      <c r="CG184" s="787"/>
      <c r="CH184" s="787"/>
      <c r="CI184" s="787"/>
      <c r="CJ184" s="787"/>
      <c r="CK184" s="787"/>
      <c r="CL184" s="787"/>
      <c r="CM184" s="787"/>
      <c r="CN184" s="787"/>
      <c r="CO184" s="787"/>
      <c r="CP184" s="787"/>
      <c r="CQ184" s="787"/>
      <c r="CR184" s="787"/>
      <c r="CS184" s="787"/>
      <c r="CT184" s="787"/>
      <c r="CU184" s="787"/>
      <c r="CV184" s="787"/>
      <c r="CW184" s="787"/>
      <c r="CX184" s="787"/>
      <c r="CY184" s="787"/>
      <c r="CZ184" s="787"/>
      <c r="DA184" s="787"/>
      <c r="DB184" s="787"/>
      <c r="DC184" s="787"/>
      <c r="DD184" s="787"/>
      <c r="DE184" s="787"/>
      <c r="DF184" s="787"/>
      <c r="DG184" s="787"/>
      <c r="DH184" s="787"/>
      <c r="DI184" s="787"/>
      <c r="DJ184" s="787"/>
      <c r="DK184" s="787"/>
      <c r="DL184" s="787"/>
      <c r="DM184" s="787"/>
      <c r="DN184" s="787"/>
      <c r="DO184" s="787"/>
      <c r="DP184" s="787"/>
      <c r="DQ184" s="787"/>
      <c r="DR184" s="787"/>
      <c r="DS184" s="787"/>
      <c r="DT184" s="787"/>
      <c r="DU184" s="787"/>
      <c r="DV184" s="787"/>
      <c r="DW184" s="787"/>
      <c r="DX184" s="787"/>
      <c r="DY184" s="787"/>
      <c r="DZ184" s="787"/>
      <c r="EA184" s="787"/>
    </row>
    <row r="185" spans="1:131" ht="15.6">
      <c r="A185" s="782" t="s">
        <v>1480</v>
      </c>
      <c r="B185" s="782" t="s">
        <v>874</v>
      </c>
      <c r="C185" s="783">
        <v>2445</v>
      </c>
      <c r="D185" s="784" t="s">
        <v>875</v>
      </c>
      <c r="E185" s="785" t="s">
        <v>521</v>
      </c>
      <c r="F185" s="786">
        <v>46094</v>
      </c>
      <c r="G185" s="785" t="s">
        <v>5</v>
      </c>
      <c r="H185" s="785" t="s">
        <v>818</v>
      </c>
      <c r="I185" s="787">
        <v>1444120.5447175885</v>
      </c>
      <c r="J185" s="787">
        <v>0</v>
      </c>
      <c r="K185" s="787">
        <v>137470.60666666669</v>
      </c>
      <c r="L185" s="787"/>
      <c r="M185" s="787">
        <v>216160</v>
      </c>
      <c r="N185" s="787">
        <v>33035</v>
      </c>
      <c r="O185" s="787"/>
      <c r="P185" s="787"/>
      <c r="Q185" s="787">
        <v>552.73456999998007</v>
      </c>
      <c r="R185" s="787"/>
      <c r="S185" s="787"/>
      <c r="T185" s="787"/>
      <c r="U185" s="787"/>
      <c r="V185" s="787"/>
      <c r="W185" s="787"/>
      <c r="X185" s="787">
        <f t="shared" si="6"/>
        <v>1831338.8859542552</v>
      </c>
      <c r="Y185" s="787"/>
      <c r="Z185" s="787"/>
      <c r="AA185" s="787"/>
      <c r="AB185" s="787"/>
      <c r="AC185" s="787"/>
      <c r="AD185" s="787"/>
      <c r="AE185" s="787"/>
      <c r="AF185" s="787"/>
      <c r="AG185" s="787"/>
      <c r="AH185" s="787"/>
      <c r="AI185" s="787"/>
      <c r="AJ185" s="787"/>
      <c r="AK185" s="787"/>
      <c r="AL185" s="787"/>
      <c r="AM185" s="787"/>
      <c r="AN185" s="787"/>
      <c r="AO185" s="787">
        <v>24535.639999999996</v>
      </c>
      <c r="AP185" s="787"/>
      <c r="AQ185" s="787"/>
      <c r="AR185" s="787"/>
      <c r="AS185" s="787"/>
      <c r="AT185" s="787"/>
      <c r="AU185" s="787"/>
      <c r="AV185" s="787"/>
      <c r="AW185" s="787"/>
      <c r="AX185" s="787"/>
      <c r="AY185" s="787"/>
      <c r="AZ185" s="787">
        <v>0</v>
      </c>
      <c r="BA185" s="787">
        <v>5139.75</v>
      </c>
      <c r="BB185" s="787"/>
      <c r="BC185" s="787"/>
      <c r="BD185" s="787"/>
      <c r="BE185" s="787">
        <v>5320.32</v>
      </c>
      <c r="BF185" s="787"/>
      <c r="BG185" s="787"/>
      <c r="BH185" s="787"/>
      <c r="BI185" s="787"/>
      <c r="BJ185" s="787">
        <f t="shared" si="7"/>
        <v>34995.709999999992</v>
      </c>
      <c r="BK185" s="787"/>
      <c r="BL185" s="787"/>
      <c r="BM185" s="787"/>
      <c r="BN185" s="787">
        <v>6283.75</v>
      </c>
      <c r="BO185" s="787"/>
      <c r="BP185" s="787"/>
      <c r="BQ185" s="787">
        <f t="shared" si="8"/>
        <v>6283.75</v>
      </c>
      <c r="BR185" s="787"/>
      <c r="BS185" s="787"/>
      <c r="BT185" s="787"/>
      <c r="BU185" s="787"/>
      <c r="BV185" s="787"/>
      <c r="BW185" s="787"/>
      <c r="BX185" s="787"/>
      <c r="BY185" s="787"/>
      <c r="BZ185" s="787"/>
      <c r="CA185" s="787"/>
      <c r="CB185" s="787"/>
      <c r="CC185" s="787"/>
      <c r="CD185" s="787"/>
      <c r="CE185" s="787"/>
      <c r="CF185" s="787"/>
      <c r="CG185" s="787"/>
      <c r="CH185" s="787"/>
      <c r="CI185" s="787"/>
      <c r="CJ185" s="787"/>
      <c r="CK185" s="787"/>
      <c r="CL185" s="787"/>
      <c r="CM185" s="787"/>
      <c r="CN185" s="787"/>
      <c r="CO185" s="787"/>
      <c r="CP185" s="787"/>
      <c r="CQ185" s="787"/>
      <c r="CR185" s="787"/>
      <c r="CS185" s="787"/>
      <c r="CT185" s="787"/>
      <c r="CU185" s="787"/>
      <c r="CV185" s="787"/>
      <c r="CW185" s="787"/>
      <c r="CX185" s="787"/>
      <c r="CY185" s="787"/>
      <c r="CZ185" s="787"/>
      <c r="DA185" s="787"/>
      <c r="DB185" s="787"/>
      <c r="DC185" s="787"/>
      <c r="DD185" s="787"/>
      <c r="DE185" s="787"/>
      <c r="DF185" s="787"/>
      <c r="DG185" s="787"/>
      <c r="DH185" s="787"/>
      <c r="DI185" s="787"/>
      <c r="DJ185" s="787"/>
      <c r="DK185" s="787"/>
      <c r="DL185" s="787"/>
      <c r="DM185" s="787"/>
      <c r="DN185" s="787"/>
      <c r="DO185" s="787"/>
      <c r="DP185" s="787"/>
      <c r="DQ185" s="787"/>
      <c r="DR185" s="787"/>
      <c r="DS185" s="787"/>
      <c r="DT185" s="787"/>
      <c r="DU185" s="787"/>
      <c r="DV185" s="787"/>
      <c r="DW185" s="787"/>
      <c r="DX185" s="787"/>
      <c r="DY185" s="787"/>
      <c r="DZ185" s="787"/>
      <c r="EA185" s="787"/>
    </row>
    <row r="186" spans="1:131" ht="15.6">
      <c r="A186" s="782" t="s">
        <v>1481</v>
      </c>
      <c r="B186" s="782" t="s">
        <v>846</v>
      </c>
      <c r="C186" s="783">
        <v>2278</v>
      </c>
      <c r="D186" s="784" t="s">
        <v>847</v>
      </c>
      <c r="E186" s="785" t="s">
        <v>521</v>
      </c>
      <c r="F186" s="786">
        <v>46091</v>
      </c>
      <c r="G186" s="785" t="s">
        <v>5</v>
      </c>
      <c r="H186" s="785" t="s">
        <v>860</v>
      </c>
      <c r="I186" s="787">
        <v>2567155.6818283945</v>
      </c>
      <c r="J186" s="787">
        <v>0</v>
      </c>
      <c r="K186" s="787">
        <v>340885.03666666668</v>
      </c>
      <c r="L186" s="787"/>
      <c r="M186" s="787">
        <v>380180</v>
      </c>
      <c r="N186" s="787">
        <v>57676.93</v>
      </c>
      <c r="O186" s="787"/>
      <c r="P186" s="787"/>
      <c r="Q186" s="787">
        <v>22613.815225000006</v>
      </c>
      <c r="R186" s="787"/>
      <c r="S186" s="787"/>
      <c r="T186" s="787"/>
      <c r="U186" s="787"/>
      <c r="V186" s="787"/>
      <c r="W186" s="787"/>
      <c r="X186" s="787">
        <f t="shared" si="6"/>
        <v>3368511.4637200614</v>
      </c>
      <c r="Y186" s="787"/>
      <c r="Z186" s="787"/>
      <c r="AA186" s="787"/>
      <c r="AB186" s="787"/>
      <c r="AC186" s="787"/>
      <c r="AD186" s="787"/>
      <c r="AE186" s="787"/>
      <c r="AF186" s="787"/>
      <c r="AG186" s="787"/>
      <c r="AH186" s="787"/>
      <c r="AI186" s="787"/>
      <c r="AJ186" s="787"/>
      <c r="AK186" s="787"/>
      <c r="AL186" s="787"/>
      <c r="AM186" s="787"/>
      <c r="AN186" s="787"/>
      <c r="AO186" s="787">
        <v>24535.639999999996</v>
      </c>
      <c r="AP186" s="787"/>
      <c r="AQ186" s="787"/>
      <c r="AR186" s="787"/>
      <c r="AS186" s="787"/>
      <c r="AT186" s="787"/>
      <c r="AU186" s="787"/>
      <c r="AV186" s="787"/>
      <c r="AW186" s="787"/>
      <c r="AX186" s="787"/>
      <c r="AY186" s="787"/>
      <c r="AZ186" s="787">
        <v>147.51</v>
      </c>
      <c r="BA186" s="787">
        <v>9471</v>
      </c>
      <c r="BB186" s="787"/>
      <c r="BC186" s="787"/>
      <c r="BD186" s="787"/>
      <c r="BE186" s="787">
        <v>10458.079999999996</v>
      </c>
      <c r="BF186" s="787"/>
      <c r="BG186" s="787"/>
      <c r="BH186" s="787"/>
      <c r="BI186" s="787"/>
      <c r="BJ186" s="787">
        <f t="shared" si="7"/>
        <v>44612.229999999989</v>
      </c>
      <c r="BK186" s="787"/>
      <c r="BL186" s="787"/>
      <c r="BM186" s="787"/>
      <c r="BN186" s="787">
        <v>8623.75</v>
      </c>
      <c r="BO186" s="787"/>
      <c r="BP186" s="787"/>
      <c r="BQ186" s="787">
        <f t="shared" si="8"/>
        <v>8623.75</v>
      </c>
      <c r="BR186" s="787"/>
      <c r="BS186" s="787"/>
      <c r="BT186" s="787"/>
      <c r="BU186" s="787"/>
      <c r="BV186" s="787"/>
      <c r="BW186" s="787"/>
      <c r="BX186" s="787"/>
      <c r="BY186" s="787"/>
      <c r="BZ186" s="787"/>
      <c r="CA186" s="787"/>
      <c r="CB186" s="787"/>
      <c r="CC186" s="787"/>
      <c r="CD186" s="787"/>
      <c r="CE186" s="787"/>
      <c r="CF186" s="787"/>
      <c r="CG186" s="787"/>
      <c r="CH186" s="787"/>
      <c r="CI186" s="787"/>
      <c r="CJ186" s="787"/>
      <c r="CK186" s="787"/>
      <c r="CL186" s="787"/>
      <c r="CM186" s="787"/>
      <c r="CN186" s="787"/>
      <c r="CO186" s="787"/>
      <c r="CP186" s="787"/>
      <c r="CQ186" s="787"/>
      <c r="CR186" s="787"/>
      <c r="CS186" s="787"/>
      <c r="CT186" s="787"/>
      <c r="CU186" s="787"/>
      <c r="CV186" s="787"/>
      <c r="CW186" s="787"/>
      <c r="CX186" s="787"/>
      <c r="CY186" s="787"/>
      <c r="CZ186" s="787"/>
      <c r="DA186" s="787"/>
      <c r="DB186" s="787"/>
      <c r="DC186" s="787"/>
      <c r="DD186" s="787"/>
      <c r="DE186" s="787"/>
      <c r="DF186" s="787"/>
      <c r="DG186" s="787"/>
      <c r="DH186" s="787"/>
      <c r="DI186" s="787"/>
      <c r="DJ186" s="787"/>
      <c r="DK186" s="787"/>
      <c r="DL186" s="787"/>
      <c r="DM186" s="787"/>
      <c r="DN186" s="787"/>
      <c r="DO186" s="787"/>
      <c r="DP186" s="787"/>
      <c r="DQ186" s="787"/>
      <c r="DR186" s="787"/>
      <c r="DS186" s="787"/>
      <c r="DT186" s="787"/>
      <c r="DU186" s="787"/>
      <c r="DV186" s="787"/>
      <c r="DW186" s="787"/>
      <c r="DX186" s="787"/>
      <c r="DY186" s="787"/>
      <c r="DZ186" s="787"/>
      <c r="EA186" s="787"/>
    </row>
    <row r="187" spans="1:131" ht="15.6">
      <c r="A187" s="782" t="s">
        <v>1482</v>
      </c>
      <c r="B187" s="782" t="s">
        <v>850</v>
      </c>
      <c r="C187" s="783">
        <v>2317</v>
      </c>
      <c r="D187" s="784" t="s">
        <v>851</v>
      </c>
      <c r="E187" s="785" t="s">
        <v>521</v>
      </c>
      <c r="F187" s="786" t="s">
        <v>1305</v>
      </c>
      <c r="G187" s="785" t="s">
        <v>5</v>
      </c>
      <c r="H187" s="785" t="s">
        <v>876</v>
      </c>
      <c r="I187" s="787">
        <v>1825022.5158814637</v>
      </c>
      <c r="J187" s="787">
        <v>0</v>
      </c>
      <c r="K187" s="787">
        <v>160773.28444444446</v>
      </c>
      <c r="L187" s="787"/>
      <c r="M187" s="787">
        <v>124545</v>
      </c>
      <c r="N187" s="787">
        <v>97105.48</v>
      </c>
      <c r="O187" s="787"/>
      <c r="P187" s="787"/>
      <c r="Q187" s="787">
        <v>2892.0099999999998</v>
      </c>
      <c r="R187" s="787"/>
      <c r="S187" s="787"/>
      <c r="T187" s="787"/>
      <c r="U187" s="787"/>
      <c r="V187" s="787"/>
      <c r="W187" s="787"/>
      <c r="X187" s="787">
        <f t="shared" si="6"/>
        <v>2210338.290325908</v>
      </c>
      <c r="Y187" s="787"/>
      <c r="Z187" s="787"/>
      <c r="AA187" s="787"/>
      <c r="AB187" s="787"/>
      <c r="AC187" s="787"/>
      <c r="AD187" s="787"/>
      <c r="AE187" s="787"/>
      <c r="AF187" s="787"/>
      <c r="AG187" s="787"/>
      <c r="AH187" s="787"/>
      <c r="AI187" s="787"/>
      <c r="AJ187" s="787"/>
      <c r="AK187" s="787"/>
      <c r="AL187" s="787"/>
      <c r="AM187" s="787"/>
      <c r="AN187" s="787"/>
      <c r="AO187" s="787">
        <v>15383.15</v>
      </c>
      <c r="AP187" s="787"/>
      <c r="AQ187" s="787"/>
      <c r="AR187" s="787"/>
      <c r="AS187" s="787"/>
      <c r="AT187" s="787"/>
      <c r="AU187" s="787"/>
      <c r="AV187" s="787"/>
      <c r="AW187" s="787"/>
      <c r="AX187" s="787"/>
      <c r="AY187" s="787"/>
      <c r="AZ187" s="787">
        <v>124.16000000000001</v>
      </c>
      <c r="BA187" s="787">
        <v>5139.75</v>
      </c>
      <c r="BB187" s="787"/>
      <c r="BC187" s="787"/>
      <c r="BD187" s="787"/>
      <c r="BE187" s="787">
        <v>6546.0799999999981</v>
      </c>
      <c r="BF187" s="787"/>
      <c r="BG187" s="787"/>
      <c r="BH187" s="787"/>
      <c r="BI187" s="787"/>
      <c r="BJ187" s="787">
        <f t="shared" si="7"/>
        <v>27193.139999999996</v>
      </c>
      <c r="BK187" s="787"/>
      <c r="BL187" s="787"/>
      <c r="BM187" s="787"/>
      <c r="BN187" s="787">
        <v>7429</v>
      </c>
      <c r="BO187" s="787"/>
      <c r="BP187" s="787"/>
      <c r="BQ187" s="787">
        <f t="shared" si="8"/>
        <v>7429</v>
      </c>
      <c r="BR187" s="787"/>
      <c r="BS187" s="787"/>
      <c r="BT187" s="787"/>
      <c r="BU187" s="787"/>
      <c r="BV187" s="787"/>
      <c r="BW187" s="787"/>
      <c r="BX187" s="787"/>
      <c r="BY187" s="787"/>
      <c r="BZ187" s="787"/>
      <c r="CA187" s="787"/>
      <c r="CB187" s="787"/>
      <c r="CC187" s="787"/>
      <c r="CD187" s="787"/>
      <c r="CE187" s="787"/>
      <c r="CF187" s="787"/>
      <c r="CG187" s="787"/>
      <c r="CH187" s="787"/>
      <c r="CI187" s="787"/>
      <c r="CJ187" s="787"/>
      <c r="CK187" s="787"/>
      <c r="CL187" s="787"/>
      <c r="CM187" s="787"/>
      <c r="CN187" s="787"/>
      <c r="CO187" s="787"/>
      <c r="CP187" s="787"/>
      <c r="CQ187" s="787"/>
      <c r="CR187" s="787"/>
      <c r="CS187" s="787"/>
      <c r="CT187" s="787"/>
      <c r="CU187" s="787"/>
      <c r="CV187" s="787"/>
      <c r="CW187" s="787"/>
      <c r="CX187" s="787"/>
      <c r="CY187" s="787"/>
      <c r="CZ187" s="787"/>
      <c r="DA187" s="787"/>
      <c r="DB187" s="787"/>
      <c r="DC187" s="787"/>
      <c r="DD187" s="787"/>
      <c r="DE187" s="787"/>
      <c r="DF187" s="787"/>
      <c r="DG187" s="787"/>
      <c r="DH187" s="787"/>
      <c r="DI187" s="787"/>
      <c r="DJ187" s="787"/>
      <c r="DK187" s="787"/>
      <c r="DL187" s="787"/>
      <c r="DM187" s="787"/>
      <c r="DN187" s="787"/>
      <c r="DO187" s="787"/>
      <c r="DP187" s="787"/>
      <c r="DQ187" s="787"/>
      <c r="DR187" s="787"/>
      <c r="DS187" s="787"/>
      <c r="DT187" s="787"/>
      <c r="DU187" s="787"/>
      <c r="DV187" s="787"/>
      <c r="DW187" s="787"/>
      <c r="DX187" s="787"/>
      <c r="DY187" s="787"/>
      <c r="DZ187" s="787"/>
      <c r="EA187" s="787"/>
    </row>
    <row r="188" spans="1:131" ht="15.6">
      <c r="A188" s="782" t="s">
        <v>1483</v>
      </c>
      <c r="B188" s="782" t="s">
        <v>852</v>
      </c>
      <c r="C188" s="783">
        <v>2225</v>
      </c>
      <c r="D188" s="784" t="s">
        <v>853</v>
      </c>
      <c r="E188" s="785" t="s">
        <v>521</v>
      </c>
      <c r="F188" s="786">
        <v>46094</v>
      </c>
      <c r="G188" s="785" t="s">
        <v>5</v>
      </c>
      <c r="H188" s="785" t="s">
        <v>880</v>
      </c>
      <c r="I188" s="787">
        <v>2287657.4927828242</v>
      </c>
      <c r="J188" s="787">
        <v>0</v>
      </c>
      <c r="K188" s="787">
        <v>233508.95333333337</v>
      </c>
      <c r="L188" s="787"/>
      <c r="M188" s="787">
        <v>282140</v>
      </c>
      <c r="N188" s="787">
        <v>47895.92</v>
      </c>
      <c r="O188" s="787"/>
      <c r="P188" s="787"/>
      <c r="Q188" s="787">
        <v>0</v>
      </c>
      <c r="R188" s="787"/>
      <c r="S188" s="787"/>
      <c r="T188" s="787"/>
      <c r="U188" s="787"/>
      <c r="V188" s="787"/>
      <c r="W188" s="787"/>
      <c r="X188" s="787">
        <f t="shared" si="6"/>
        <v>2851202.3661161577</v>
      </c>
      <c r="Y188" s="787"/>
      <c r="Z188" s="787"/>
      <c r="AA188" s="787"/>
      <c r="AB188" s="787"/>
      <c r="AC188" s="787"/>
      <c r="AD188" s="787"/>
      <c r="AE188" s="787"/>
      <c r="AF188" s="787"/>
      <c r="AG188" s="787"/>
      <c r="AH188" s="787"/>
      <c r="AI188" s="787"/>
      <c r="AJ188" s="787"/>
      <c r="AK188" s="787"/>
      <c r="AL188" s="787"/>
      <c r="AM188" s="787"/>
      <c r="AN188" s="787"/>
      <c r="AO188" s="787">
        <v>20391.630000000005</v>
      </c>
      <c r="AP188" s="787"/>
      <c r="AQ188" s="787"/>
      <c r="AR188" s="787"/>
      <c r="AS188" s="787"/>
      <c r="AT188" s="787"/>
      <c r="AU188" s="787"/>
      <c r="AV188" s="787"/>
      <c r="AW188" s="787"/>
      <c r="AX188" s="787"/>
      <c r="AY188" s="787"/>
      <c r="AZ188" s="787">
        <v>0</v>
      </c>
      <c r="BA188" s="787">
        <v>9747</v>
      </c>
      <c r="BB188" s="787"/>
      <c r="BC188" s="787"/>
      <c r="BD188" s="787"/>
      <c r="BE188" s="787">
        <v>9414.880000000001</v>
      </c>
      <c r="BF188" s="787"/>
      <c r="BG188" s="787"/>
      <c r="BH188" s="787"/>
      <c r="BI188" s="787"/>
      <c r="BJ188" s="787">
        <f t="shared" si="7"/>
        <v>39553.510000000009</v>
      </c>
      <c r="BK188" s="787"/>
      <c r="BL188" s="787"/>
      <c r="BM188" s="787"/>
      <c r="BN188" s="787">
        <v>8140</v>
      </c>
      <c r="BO188" s="787"/>
      <c r="BP188" s="787"/>
      <c r="BQ188" s="787">
        <f t="shared" si="8"/>
        <v>8140</v>
      </c>
      <c r="BR188" s="787"/>
      <c r="BS188" s="787"/>
      <c r="BT188" s="787"/>
      <c r="BU188" s="787"/>
      <c r="BV188" s="787"/>
      <c r="BW188" s="787"/>
      <c r="BX188" s="787"/>
      <c r="BY188" s="787"/>
      <c r="BZ188" s="787"/>
      <c r="CA188" s="787"/>
      <c r="CB188" s="787"/>
      <c r="CC188" s="787"/>
      <c r="CD188" s="787"/>
      <c r="CE188" s="787"/>
      <c r="CF188" s="787"/>
      <c r="CG188" s="787"/>
      <c r="CH188" s="787"/>
      <c r="CI188" s="787"/>
      <c r="CJ188" s="787"/>
      <c r="CK188" s="787"/>
      <c r="CL188" s="787"/>
      <c r="CM188" s="787"/>
      <c r="CN188" s="787"/>
      <c r="CO188" s="787"/>
      <c r="CP188" s="787"/>
      <c r="CQ188" s="787"/>
      <c r="CR188" s="787"/>
      <c r="CS188" s="787"/>
      <c r="CT188" s="787"/>
      <c r="CU188" s="787"/>
      <c r="CV188" s="787"/>
      <c r="CW188" s="787"/>
      <c r="CX188" s="787"/>
      <c r="CY188" s="787"/>
      <c r="CZ188" s="787"/>
      <c r="DA188" s="787"/>
      <c r="DB188" s="787"/>
      <c r="DC188" s="787"/>
      <c r="DD188" s="787"/>
      <c r="DE188" s="787"/>
      <c r="DF188" s="787"/>
      <c r="DG188" s="787"/>
      <c r="DH188" s="787"/>
      <c r="DI188" s="787"/>
      <c r="DJ188" s="787"/>
      <c r="DK188" s="787"/>
      <c r="DL188" s="787"/>
      <c r="DM188" s="787"/>
      <c r="DN188" s="787"/>
      <c r="DO188" s="787"/>
      <c r="DP188" s="787"/>
      <c r="DQ188" s="787"/>
      <c r="DR188" s="787"/>
      <c r="DS188" s="787"/>
      <c r="DT188" s="787"/>
      <c r="DU188" s="787"/>
      <c r="DV188" s="787"/>
      <c r="DW188" s="787"/>
      <c r="DX188" s="787"/>
      <c r="DY188" s="787"/>
      <c r="DZ188" s="787"/>
      <c r="EA188" s="787"/>
    </row>
    <row r="189" spans="1:131" ht="15.6">
      <c r="A189" s="782" t="s">
        <v>1484</v>
      </c>
      <c r="B189" s="782" t="s">
        <v>854</v>
      </c>
      <c r="C189" s="783">
        <v>2412</v>
      </c>
      <c r="D189" s="784" t="s">
        <v>855</v>
      </c>
      <c r="E189" s="785" t="s">
        <v>521</v>
      </c>
      <c r="F189" s="786">
        <v>46094</v>
      </c>
      <c r="G189" s="785" t="s">
        <v>5</v>
      </c>
      <c r="H189" s="785" t="s">
        <v>882</v>
      </c>
      <c r="I189" s="787">
        <v>2215764.3643996087</v>
      </c>
      <c r="J189" s="787">
        <v>0</v>
      </c>
      <c r="K189" s="787">
        <v>216619.76666666666</v>
      </c>
      <c r="L189" s="787"/>
      <c r="M189" s="787">
        <v>184345</v>
      </c>
      <c r="N189" s="787">
        <v>79230.2</v>
      </c>
      <c r="O189" s="787"/>
      <c r="P189" s="787"/>
      <c r="Q189" s="787">
        <v>0</v>
      </c>
      <c r="R189" s="787"/>
      <c r="S189" s="787"/>
      <c r="T189" s="787"/>
      <c r="U189" s="787"/>
      <c r="V189" s="787"/>
      <c r="W189" s="787"/>
      <c r="X189" s="787">
        <f t="shared" si="6"/>
        <v>2695959.3310662755</v>
      </c>
      <c r="Y189" s="787"/>
      <c r="Z189" s="787"/>
      <c r="AA189" s="787"/>
      <c r="AB189" s="787"/>
      <c r="AC189" s="787"/>
      <c r="AD189" s="787"/>
      <c r="AE189" s="787"/>
      <c r="AF189" s="787"/>
      <c r="AG189" s="787"/>
      <c r="AH189" s="787"/>
      <c r="AI189" s="787"/>
      <c r="AJ189" s="787"/>
      <c r="AK189" s="787"/>
      <c r="AL189" s="787"/>
      <c r="AM189" s="787"/>
      <c r="AN189" s="787"/>
      <c r="AO189" s="787">
        <v>32064.810000000009</v>
      </c>
      <c r="AP189" s="787"/>
      <c r="AQ189" s="787"/>
      <c r="AR189" s="787"/>
      <c r="AS189" s="787"/>
      <c r="AT189" s="787"/>
      <c r="AU189" s="787"/>
      <c r="AV189" s="787"/>
      <c r="AW189" s="787"/>
      <c r="AX189" s="787"/>
      <c r="AY189" s="787"/>
      <c r="AZ189" s="787">
        <v>0</v>
      </c>
      <c r="BA189" s="787">
        <v>9471</v>
      </c>
      <c r="BB189" s="787"/>
      <c r="BC189" s="787"/>
      <c r="BD189" s="787"/>
      <c r="BE189" s="787">
        <v>10692.8</v>
      </c>
      <c r="BF189" s="787"/>
      <c r="BG189" s="787"/>
      <c r="BH189" s="787"/>
      <c r="BI189" s="787"/>
      <c r="BJ189" s="787">
        <f t="shared" si="7"/>
        <v>52228.610000000015</v>
      </c>
      <c r="BK189" s="787"/>
      <c r="BL189" s="787"/>
      <c r="BM189" s="787"/>
      <c r="BN189" s="787">
        <v>8725</v>
      </c>
      <c r="BO189" s="787"/>
      <c r="BP189" s="787"/>
      <c r="BQ189" s="787">
        <f t="shared" si="8"/>
        <v>8725</v>
      </c>
      <c r="BR189" s="787"/>
      <c r="BS189" s="787"/>
      <c r="BT189" s="787"/>
      <c r="BU189" s="787"/>
      <c r="BV189" s="787"/>
      <c r="BW189" s="787"/>
      <c r="BX189" s="787"/>
      <c r="BY189" s="787"/>
      <c r="BZ189" s="787"/>
      <c r="CA189" s="787"/>
      <c r="CB189" s="787"/>
      <c r="CC189" s="787"/>
      <c r="CD189" s="787"/>
      <c r="CE189" s="787"/>
      <c r="CF189" s="787"/>
      <c r="CG189" s="787"/>
      <c r="CH189" s="787"/>
      <c r="CI189" s="787"/>
      <c r="CJ189" s="787"/>
      <c r="CK189" s="787"/>
      <c r="CL189" s="787"/>
      <c r="CM189" s="787"/>
      <c r="CN189" s="787"/>
      <c r="CO189" s="787"/>
      <c r="CP189" s="787"/>
      <c r="CQ189" s="787"/>
      <c r="CR189" s="787"/>
      <c r="CS189" s="787"/>
      <c r="CT189" s="787"/>
      <c r="CU189" s="787"/>
      <c r="CV189" s="787"/>
      <c r="CW189" s="787"/>
      <c r="CX189" s="787"/>
      <c r="CY189" s="787"/>
      <c r="CZ189" s="787"/>
      <c r="DA189" s="787"/>
      <c r="DB189" s="787"/>
      <c r="DC189" s="787"/>
      <c r="DD189" s="787"/>
      <c r="DE189" s="787"/>
      <c r="DF189" s="787"/>
      <c r="DG189" s="787"/>
      <c r="DH189" s="787"/>
      <c r="DI189" s="787"/>
      <c r="DJ189" s="787"/>
      <c r="DK189" s="787"/>
      <c r="DL189" s="787"/>
      <c r="DM189" s="787"/>
      <c r="DN189" s="787"/>
      <c r="DO189" s="787"/>
      <c r="DP189" s="787"/>
      <c r="DQ189" s="787"/>
      <c r="DR189" s="787"/>
      <c r="DS189" s="787"/>
      <c r="DT189" s="787"/>
      <c r="DU189" s="787"/>
      <c r="DV189" s="787"/>
      <c r="DW189" s="787"/>
      <c r="DX189" s="787"/>
      <c r="DY189" s="787"/>
      <c r="DZ189" s="787"/>
      <c r="EA189" s="787"/>
    </row>
    <row r="190" spans="1:131" ht="15.6">
      <c r="A190" s="782" t="s">
        <v>1485</v>
      </c>
      <c r="B190" s="782" t="s">
        <v>856</v>
      </c>
      <c r="C190" s="783">
        <v>3421</v>
      </c>
      <c r="D190" s="784" t="s">
        <v>857</v>
      </c>
      <c r="E190" s="785" t="s">
        <v>521</v>
      </c>
      <c r="F190" s="786">
        <v>0</v>
      </c>
      <c r="G190" s="785" t="s">
        <v>5</v>
      </c>
      <c r="H190" s="785" t="s">
        <v>862</v>
      </c>
      <c r="I190" s="787">
        <v>4564559.4898238098</v>
      </c>
      <c r="J190" s="787">
        <v>0</v>
      </c>
      <c r="K190" s="787">
        <v>239092.12866666669</v>
      </c>
      <c r="L190" s="787"/>
      <c r="M190" s="787">
        <v>510155</v>
      </c>
      <c r="N190" s="787">
        <v>132410.72</v>
      </c>
      <c r="O190" s="787"/>
      <c r="P190" s="787"/>
      <c r="Q190" s="787">
        <v>13694.902825000067</v>
      </c>
      <c r="R190" s="787"/>
      <c r="S190" s="787"/>
      <c r="T190" s="787"/>
      <c r="U190" s="787"/>
      <c r="V190" s="787"/>
      <c r="W190" s="787"/>
      <c r="X190" s="787">
        <f t="shared" si="6"/>
        <v>5459912.2413154757</v>
      </c>
      <c r="Y190" s="787"/>
      <c r="Z190" s="787"/>
      <c r="AA190" s="787"/>
      <c r="AB190" s="787"/>
      <c r="AC190" s="787"/>
      <c r="AD190" s="787"/>
      <c r="AE190" s="787"/>
      <c r="AF190" s="787"/>
      <c r="AG190" s="787"/>
      <c r="AH190" s="787"/>
      <c r="AI190" s="787"/>
      <c r="AJ190" s="787"/>
      <c r="AK190" s="787"/>
      <c r="AL190" s="787"/>
      <c r="AM190" s="787"/>
      <c r="AN190" s="787"/>
      <c r="AO190" s="787">
        <v>32542.019999999993</v>
      </c>
      <c r="AP190" s="787"/>
      <c r="AQ190" s="787"/>
      <c r="AR190" s="787"/>
      <c r="AS190" s="787"/>
      <c r="AT190" s="787"/>
      <c r="AU190" s="787"/>
      <c r="AV190" s="787"/>
      <c r="AW190" s="787"/>
      <c r="AX190" s="787"/>
      <c r="AY190" s="787"/>
      <c r="AZ190" s="787">
        <v>140.32999999999998</v>
      </c>
      <c r="BA190" s="787">
        <v>24312.75</v>
      </c>
      <c r="BB190" s="787"/>
      <c r="BC190" s="787"/>
      <c r="BD190" s="787"/>
      <c r="BE190" s="787">
        <v>21828.959999999999</v>
      </c>
      <c r="BF190" s="787"/>
      <c r="BG190" s="787"/>
      <c r="BH190" s="787"/>
      <c r="BI190" s="787"/>
      <c r="BJ190" s="787">
        <f t="shared" si="7"/>
        <v>78824.06</v>
      </c>
      <c r="BK190" s="787"/>
      <c r="BL190" s="787"/>
      <c r="BM190" s="787"/>
      <c r="BN190" s="787">
        <v>13393.75</v>
      </c>
      <c r="BO190" s="787"/>
      <c r="BP190" s="787"/>
      <c r="BQ190" s="787">
        <f t="shared" si="8"/>
        <v>13393.75</v>
      </c>
      <c r="BR190" s="787"/>
      <c r="BS190" s="787"/>
      <c r="BT190" s="787"/>
      <c r="BU190" s="787"/>
      <c r="BV190" s="787"/>
      <c r="BW190" s="787"/>
      <c r="BX190" s="787"/>
      <c r="BY190" s="787"/>
      <c r="BZ190" s="787"/>
      <c r="CA190" s="787"/>
      <c r="CB190" s="787"/>
      <c r="CC190" s="787"/>
      <c r="CD190" s="787"/>
      <c r="CE190" s="787"/>
      <c r="CF190" s="787"/>
      <c r="CG190" s="787"/>
      <c r="CH190" s="787"/>
      <c r="CI190" s="787"/>
      <c r="CJ190" s="787"/>
      <c r="CK190" s="787"/>
      <c r="CL190" s="787"/>
      <c r="CM190" s="787"/>
      <c r="CN190" s="787"/>
      <c r="CO190" s="787"/>
      <c r="CP190" s="787"/>
      <c r="CQ190" s="787"/>
      <c r="CR190" s="787"/>
      <c r="CS190" s="787"/>
      <c r="CT190" s="787"/>
      <c r="CU190" s="787"/>
      <c r="CV190" s="787"/>
      <c r="CW190" s="787"/>
      <c r="CX190" s="787"/>
      <c r="CY190" s="787"/>
      <c r="CZ190" s="787"/>
      <c r="DA190" s="787"/>
      <c r="DB190" s="787"/>
      <c r="DC190" s="787"/>
      <c r="DD190" s="787"/>
      <c r="DE190" s="787"/>
      <c r="DF190" s="787"/>
      <c r="DG190" s="787"/>
      <c r="DH190" s="787"/>
      <c r="DI190" s="787"/>
      <c r="DJ190" s="787"/>
      <c r="DK190" s="787"/>
      <c r="DL190" s="787"/>
      <c r="DM190" s="787"/>
      <c r="DN190" s="787"/>
      <c r="DO190" s="787"/>
      <c r="DP190" s="787"/>
      <c r="DQ190" s="787"/>
      <c r="DR190" s="787"/>
      <c r="DS190" s="787"/>
      <c r="DT190" s="787"/>
      <c r="DU190" s="787"/>
      <c r="DV190" s="787"/>
      <c r="DW190" s="787"/>
      <c r="DX190" s="787"/>
      <c r="DY190" s="787"/>
      <c r="DZ190" s="787"/>
      <c r="EA190" s="787"/>
    </row>
    <row r="191" spans="1:131" ht="15.6">
      <c r="A191" s="782" t="s">
        <v>1486</v>
      </c>
      <c r="B191" s="782" t="s">
        <v>858</v>
      </c>
      <c r="C191" s="783">
        <v>2227</v>
      </c>
      <c r="D191" s="784" t="s">
        <v>859</v>
      </c>
      <c r="E191" s="785" t="s">
        <v>521</v>
      </c>
      <c r="F191" s="786">
        <v>46094</v>
      </c>
      <c r="G191" s="785" t="s">
        <v>5</v>
      </c>
      <c r="H191" s="785" t="s">
        <v>864</v>
      </c>
      <c r="I191" s="787">
        <v>2849298.7815727475</v>
      </c>
      <c r="J191" s="787">
        <v>0</v>
      </c>
      <c r="K191" s="787">
        <v>183405.65666666668</v>
      </c>
      <c r="L191" s="787"/>
      <c r="M191" s="787">
        <v>356655</v>
      </c>
      <c r="N191" s="787">
        <v>49571</v>
      </c>
      <c r="O191" s="787"/>
      <c r="P191" s="787"/>
      <c r="Q191" s="787">
        <v>22311.547163232779</v>
      </c>
      <c r="R191" s="787"/>
      <c r="S191" s="787"/>
      <c r="T191" s="787"/>
      <c r="U191" s="787"/>
      <c r="V191" s="787"/>
      <c r="W191" s="787"/>
      <c r="X191" s="787">
        <f t="shared" si="6"/>
        <v>3461241.9854026469</v>
      </c>
      <c r="Y191" s="787"/>
      <c r="Z191" s="787"/>
      <c r="AA191" s="787"/>
      <c r="AB191" s="787"/>
      <c r="AC191" s="787"/>
      <c r="AD191" s="787"/>
      <c r="AE191" s="787"/>
      <c r="AF191" s="787"/>
      <c r="AG191" s="787"/>
      <c r="AH191" s="787"/>
      <c r="AI191" s="787"/>
      <c r="AJ191" s="787"/>
      <c r="AK191" s="787"/>
      <c r="AL191" s="787"/>
      <c r="AM191" s="787"/>
      <c r="AN191" s="787"/>
      <c r="AO191" s="787">
        <v>20919.869999999995</v>
      </c>
      <c r="AP191" s="787"/>
      <c r="AQ191" s="787"/>
      <c r="AR191" s="787"/>
      <c r="AS191" s="787"/>
      <c r="AT191" s="787"/>
      <c r="AU191" s="787"/>
      <c r="AV191" s="787"/>
      <c r="AW191" s="787"/>
      <c r="AX191" s="787"/>
      <c r="AY191" s="787"/>
      <c r="AZ191" s="787">
        <v>65.409999999999982</v>
      </c>
      <c r="BA191" s="787">
        <v>9471</v>
      </c>
      <c r="BB191" s="787"/>
      <c r="BC191" s="787"/>
      <c r="BD191" s="787"/>
      <c r="BE191" s="787">
        <v>10588.479999999998</v>
      </c>
      <c r="BF191" s="787"/>
      <c r="BG191" s="787"/>
      <c r="BH191" s="787"/>
      <c r="BI191" s="787"/>
      <c r="BJ191" s="787">
        <f t="shared" si="7"/>
        <v>41044.759999999995</v>
      </c>
      <c r="BK191" s="787"/>
      <c r="BL191" s="787"/>
      <c r="BM191" s="787"/>
      <c r="BN191" s="787">
        <v>9172.75</v>
      </c>
      <c r="BO191" s="787"/>
      <c r="BP191" s="787"/>
      <c r="BQ191" s="787">
        <f t="shared" si="8"/>
        <v>9172.75</v>
      </c>
      <c r="BR191" s="787"/>
      <c r="BS191" s="787"/>
      <c r="BT191" s="787"/>
      <c r="BU191" s="787"/>
      <c r="BV191" s="787"/>
      <c r="BW191" s="787"/>
      <c r="BX191" s="787"/>
      <c r="BY191" s="787"/>
      <c r="BZ191" s="787"/>
      <c r="CA191" s="787"/>
      <c r="CB191" s="787"/>
      <c r="CC191" s="787"/>
      <c r="CD191" s="787"/>
      <c r="CE191" s="787"/>
      <c r="CF191" s="787"/>
      <c r="CG191" s="787"/>
      <c r="CH191" s="787"/>
      <c r="CI191" s="787"/>
      <c r="CJ191" s="787"/>
      <c r="CK191" s="787"/>
      <c r="CL191" s="787"/>
      <c r="CM191" s="787"/>
      <c r="CN191" s="787"/>
      <c r="CO191" s="787"/>
      <c r="CP191" s="787"/>
      <c r="CQ191" s="787"/>
      <c r="CR191" s="787"/>
      <c r="CS191" s="787"/>
      <c r="CT191" s="787"/>
      <c r="CU191" s="787"/>
      <c r="CV191" s="787"/>
      <c r="CW191" s="787"/>
      <c r="CX191" s="787"/>
      <c r="CY191" s="787"/>
      <c r="CZ191" s="787"/>
      <c r="DA191" s="787"/>
      <c r="DB191" s="787"/>
      <c r="DC191" s="787"/>
      <c r="DD191" s="787"/>
      <c r="DE191" s="787"/>
      <c r="DF191" s="787"/>
      <c r="DG191" s="787"/>
      <c r="DH191" s="787"/>
      <c r="DI191" s="787"/>
      <c r="DJ191" s="787"/>
      <c r="DK191" s="787"/>
      <c r="DL191" s="787"/>
      <c r="DM191" s="787"/>
      <c r="DN191" s="787"/>
      <c r="DO191" s="787"/>
      <c r="DP191" s="787"/>
      <c r="DQ191" s="787"/>
      <c r="DR191" s="787"/>
      <c r="DS191" s="787"/>
      <c r="DT191" s="787"/>
      <c r="DU191" s="787"/>
      <c r="DV191" s="787"/>
      <c r="DW191" s="787"/>
      <c r="DX191" s="787"/>
      <c r="DY191" s="787"/>
      <c r="DZ191" s="787"/>
      <c r="EA191" s="787"/>
    </row>
    <row r="192" spans="1:131" ht="15.6">
      <c r="A192" s="782" t="s">
        <v>1487</v>
      </c>
      <c r="B192" s="782" t="s">
        <v>860</v>
      </c>
      <c r="C192" s="783">
        <v>2231</v>
      </c>
      <c r="D192" s="784" t="s">
        <v>861</v>
      </c>
      <c r="E192" s="785" t="s">
        <v>521</v>
      </c>
      <c r="F192" s="786">
        <v>0</v>
      </c>
      <c r="G192" s="785" t="s">
        <v>5</v>
      </c>
      <c r="H192" s="785" t="s">
        <v>884</v>
      </c>
      <c r="I192" s="787">
        <v>2656620.6288642175</v>
      </c>
      <c r="J192" s="787">
        <v>0</v>
      </c>
      <c r="K192" s="787">
        <v>61042.920000000006</v>
      </c>
      <c r="L192" s="787"/>
      <c r="M192" s="787">
        <v>320780</v>
      </c>
      <c r="N192" s="787">
        <v>59494</v>
      </c>
      <c r="O192" s="787"/>
      <c r="P192" s="787"/>
      <c r="Q192" s="787">
        <v>14878.225315000027</v>
      </c>
      <c r="R192" s="787"/>
      <c r="S192" s="787"/>
      <c r="T192" s="787"/>
      <c r="U192" s="787"/>
      <c r="V192" s="787"/>
      <c r="W192" s="787"/>
      <c r="X192" s="787">
        <f t="shared" si="6"/>
        <v>3112815.7741792174</v>
      </c>
      <c r="Y192" s="787"/>
      <c r="Z192" s="787"/>
      <c r="AA192" s="787"/>
      <c r="AB192" s="787"/>
      <c r="AC192" s="787"/>
      <c r="AD192" s="787"/>
      <c r="AE192" s="787"/>
      <c r="AF192" s="787"/>
      <c r="AG192" s="787"/>
      <c r="AH192" s="787"/>
      <c r="AI192" s="787"/>
      <c r="AJ192" s="787"/>
      <c r="AK192" s="787"/>
      <c r="AL192" s="787"/>
      <c r="AM192" s="787"/>
      <c r="AN192" s="787"/>
      <c r="AO192" s="787">
        <v>25697.860000000004</v>
      </c>
      <c r="AP192" s="787"/>
      <c r="AQ192" s="787"/>
      <c r="AR192" s="787"/>
      <c r="AS192" s="787"/>
      <c r="AT192" s="787"/>
      <c r="AU192" s="787"/>
      <c r="AV192" s="787"/>
      <c r="AW192" s="787"/>
      <c r="AX192" s="787"/>
      <c r="AY192" s="787"/>
      <c r="AZ192" s="787">
        <v>47.660000000000011</v>
      </c>
      <c r="BA192" s="787">
        <v>9471</v>
      </c>
      <c r="BB192" s="787"/>
      <c r="BC192" s="787"/>
      <c r="BD192" s="787"/>
      <c r="BE192" s="787">
        <v>11188.320000000002</v>
      </c>
      <c r="BF192" s="787"/>
      <c r="BG192" s="787"/>
      <c r="BH192" s="787"/>
      <c r="BI192" s="787"/>
      <c r="BJ192" s="787">
        <f t="shared" si="7"/>
        <v>46404.840000000004</v>
      </c>
      <c r="BK192" s="787"/>
      <c r="BL192" s="787"/>
      <c r="BM192" s="787"/>
      <c r="BN192" s="787">
        <v>9094</v>
      </c>
      <c r="BO192" s="787"/>
      <c r="BP192" s="787"/>
      <c r="BQ192" s="787">
        <f t="shared" si="8"/>
        <v>9094</v>
      </c>
      <c r="BR192" s="787"/>
      <c r="BS192" s="787"/>
      <c r="BT192" s="787"/>
      <c r="BU192" s="787"/>
      <c r="BV192" s="787"/>
      <c r="BW192" s="787"/>
      <c r="BX192" s="787"/>
      <c r="BY192" s="787"/>
      <c r="BZ192" s="787"/>
      <c r="CA192" s="787"/>
      <c r="CB192" s="787"/>
      <c r="CC192" s="787"/>
      <c r="CD192" s="787"/>
      <c r="CE192" s="787"/>
      <c r="CF192" s="787"/>
      <c r="CG192" s="787"/>
      <c r="CH192" s="787"/>
      <c r="CI192" s="787"/>
      <c r="CJ192" s="787"/>
      <c r="CK192" s="787"/>
      <c r="CL192" s="787"/>
      <c r="CM192" s="787"/>
      <c r="CN192" s="787"/>
      <c r="CO192" s="787"/>
      <c r="CP192" s="787"/>
      <c r="CQ192" s="787"/>
      <c r="CR192" s="787"/>
      <c r="CS192" s="787"/>
      <c r="CT192" s="787"/>
      <c r="CU192" s="787"/>
      <c r="CV192" s="787"/>
      <c r="CW192" s="787"/>
      <c r="CX192" s="787"/>
      <c r="CY192" s="787"/>
      <c r="CZ192" s="787"/>
      <c r="DA192" s="787"/>
      <c r="DB192" s="787"/>
      <c r="DC192" s="787"/>
      <c r="DD192" s="787"/>
      <c r="DE192" s="787"/>
      <c r="DF192" s="787"/>
      <c r="DG192" s="787"/>
      <c r="DH192" s="787"/>
      <c r="DI192" s="787"/>
      <c r="DJ192" s="787"/>
      <c r="DK192" s="787"/>
      <c r="DL192" s="787"/>
      <c r="DM192" s="787"/>
      <c r="DN192" s="787"/>
      <c r="DO192" s="787"/>
      <c r="DP192" s="787"/>
      <c r="DQ192" s="787"/>
      <c r="DR192" s="787"/>
      <c r="DS192" s="787"/>
      <c r="DT192" s="787"/>
      <c r="DU192" s="787"/>
      <c r="DV192" s="787"/>
      <c r="DW192" s="787"/>
      <c r="DX192" s="787"/>
      <c r="DY192" s="787"/>
      <c r="DZ192" s="787"/>
      <c r="EA192" s="787"/>
    </row>
  </sheetData>
  <mergeCells count="10">
    <mergeCell ref="DC4:DK4"/>
    <mergeCell ref="DL4:DT4"/>
    <mergeCell ref="DU4:DV4"/>
    <mergeCell ref="DW4:DX4"/>
    <mergeCell ref="E4:H4"/>
    <mergeCell ref="I4:BM4"/>
    <mergeCell ref="BN4:CC4"/>
    <mergeCell ref="CD4:CL4"/>
    <mergeCell ref="CM4:CR4"/>
    <mergeCell ref="CS4:DB4"/>
  </mergeCells>
  <conditionalFormatting sqref="A6:D6">
    <cfRule type="cellIs" dxfId="83" priority="1" operator="lessThan">
      <formula>0</formula>
    </cfRule>
  </conditionalFormatting>
  <pageMargins left="0.7" right="0.7" top="0.75" bottom="0.75" header="0.3" footer="0.3"/>
  <headerFoot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230"/>
  <sheetViews>
    <sheetView showGridLines="0" tabSelected="1" zoomScale="90" zoomScaleNormal="90" workbookViewId="0">
      <selection activeCell="C2" sqref="C2"/>
    </sheetView>
  </sheetViews>
  <sheetFormatPr defaultColWidth="9.109375" defaultRowHeight="11.4"/>
  <cols>
    <col min="1" max="1" width="0.33203125" style="9" customWidth="1"/>
    <col min="2" max="2" width="20.6640625" style="71" customWidth="1"/>
    <col min="3" max="3" width="63.109375" style="9" customWidth="1"/>
    <col min="4" max="4" width="14.5546875" style="36" bestFit="1" customWidth="1"/>
    <col min="5" max="6" width="12.88671875" style="36" customWidth="1"/>
    <col min="7" max="7" width="14.44140625" style="36" customWidth="1"/>
    <col min="8" max="8" width="14.44140625" style="9" customWidth="1"/>
    <col min="9" max="9" width="14" style="9" customWidth="1"/>
    <col min="10" max="10" width="15.6640625" style="9" hidden="1" customWidth="1"/>
    <col min="11" max="11" width="9.88671875" style="9" hidden="1" customWidth="1"/>
    <col min="12" max="12" width="12.109375" style="9" hidden="1" customWidth="1"/>
    <col min="13" max="13" width="10.6640625" style="9" hidden="1" customWidth="1"/>
    <col min="14" max="14" width="16.33203125" style="9" hidden="1" customWidth="1"/>
    <col min="15" max="15" width="15.6640625" style="9" hidden="1" customWidth="1"/>
    <col min="16" max="16" width="15.6640625" style="9" customWidth="1"/>
    <col min="17" max="17" width="10.5546875" style="9" customWidth="1"/>
    <col min="18" max="18" width="12.6640625" style="9" customWidth="1"/>
    <col min="19" max="19" width="13.109375" style="181" customWidth="1"/>
    <col min="20" max="20" width="45.6640625" style="18" customWidth="1"/>
    <col min="21" max="21" width="10" style="18" customWidth="1"/>
    <col min="22" max="22" width="10" style="462" hidden="1" customWidth="1"/>
    <col min="23" max="23" width="12" style="9" hidden="1" customWidth="1"/>
    <col min="24" max="24" width="11" style="9" hidden="1" customWidth="1"/>
    <col min="25" max="25" width="4.5546875" style="9" hidden="1" customWidth="1"/>
    <col min="26" max="26" width="10.44140625" style="9" hidden="1" customWidth="1"/>
    <col min="27" max="27" width="4.33203125" style="9" hidden="1" customWidth="1"/>
    <col min="28" max="28" width="13.88671875" style="9" hidden="1" customWidth="1"/>
    <col min="29" max="30" width="10.109375" style="9" hidden="1" customWidth="1"/>
    <col min="31" max="31" width="9.109375" style="9" hidden="1" customWidth="1"/>
    <col min="32" max="32" width="39" style="18" hidden="1" customWidth="1"/>
    <col min="33" max="33" width="9.109375" style="9" hidden="1" customWidth="1"/>
    <col min="34" max="34" width="10.33203125" style="9" customWidth="1"/>
    <col min="35" max="36" width="9.109375" style="9" customWidth="1"/>
    <col min="37" max="16384" width="9.109375" style="9"/>
  </cols>
  <sheetData>
    <row r="1" spans="1:32" s="356" customFormat="1" ht="18" customHeight="1">
      <c r="B1" s="820" t="s">
        <v>45</v>
      </c>
      <c r="C1" s="821"/>
      <c r="D1" s="645"/>
      <c r="E1" s="645"/>
      <c r="F1" s="645"/>
      <c r="G1" s="645"/>
      <c r="H1" s="646"/>
      <c r="I1" s="646"/>
      <c r="J1" s="646"/>
      <c r="K1" s="646"/>
      <c r="L1" s="646"/>
      <c r="M1" s="646"/>
      <c r="N1" s="646"/>
      <c r="O1" s="646"/>
      <c r="P1" s="646"/>
      <c r="Q1" s="646"/>
      <c r="R1" s="646"/>
      <c r="S1" s="501" t="s">
        <v>46</v>
      </c>
      <c r="T1" s="2"/>
      <c r="U1" s="462"/>
      <c r="AF1" s="2"/>
    </row>
    <row r="2" spans="1:32" s="1" customFormat="1" ht="13.8">
      <c r="B2" s="353" t="s">
        <v>47</v>
      </c>
      <c r="C2" s="499" t="s">
        <v>48</v>
      </c>
      <c r="D2" s="649" t="s">
        <v>49</v>
      </c>
      <c r="E2" s="647"/>
      <c r="F2" s="647"/>
      <c r="G2" s="647"/>
      <c r="H2" s="647"/>
      <c r="I2" s="647"/>
      <c r="J2" s="647"/>
      <c r="K2" s="647"/>
      <c r="L2" s="647"/>
      <c r="M2" s="647"/>
      <c r="N2" s="647"/>
      <c r="O2" s="647"/>
      <c r="P2" s="647"/>
      <c r="Q2" s="647"/>
      <c r="R2" s="647"/>
      <c r="S2" s="502"/>
      <c r="U2" s="462"/>
    </row>
    <row r="3" spans="1:32" s="1" customFormat="1" ht="14.4" thickBot="1">
      <c r="B3" s="353" t="s">
        <v>50</v>
      </c>
      <c r="C3" s="500" t="str">
        <f>VLOOKUP(C2,Lookup!A:B,2,FALSE)</f>
        <v>0000</v>
      </c>
      <c r="D3" s="647"/>
      <c r="E3" s="647"/>
      <c r="F3" s="647"/>
      <c r="G3" s="647"/>
      <c r="H3" s="647"/>
      <c r="I3" s="647"/>
      <c r="J3" s="647"/>
      <c r="K3" s="647"/>
      <c r="L3" s="647"/>
      <c r="M3" s="647"/>
      <c r="N3" s="647"/>
      <c r="O3" s="647"/>
      <c r="P3" s="647"/>
      <c r="Q3" s="647"/>
      <c r="R3" s="647"/>
      <c r="S3" s="502"/>
      <c r="T3" s="3" t="s">
        <v>51</v>
      </c>
      <c r="U3" s="462"/>
      <c r="AF3" s="2"/>
    </row>
    <row r="4" spans="1:32" s="1" customFormat="1" ht="13.8">
      <c r="B4" s="353" t="s">
        <v>52</v>
      </c>
      <c r="C4" s="500" t="s">
        <v>5</v>
      </c>
      <c r="D4" s="647"/>
      <c r="E4" s="647"/>
      <c r="F4" s="647"/>
      <c r="G4" s="647"/>
      <c r="H4" s="647"/>
      <c r="I4" s="647"/>
      <c r="J4" s="647"/>
      <c r="K4" s="647"/>
      <c r="L4" s="647"/>
      <c r="M4" s="647"/>
      <c r="N4" s="647"/>
      <c r="O4" s="647"/>
      <c r="P4" s="647"/>
      <c r="Q4" s="647"/>
      <c r="R4" s="647"/>
      <c r="S4" s="502"/>
      <c r="T4" s="2"/>
      <c r="U4" s="462"/>
      <c r="W4" s="4"/>
      <c r="X4" s="5"/>
      <c r="Y4" s="5"/>
      <c r="Z4" s="5"/>
      <c r="AA4" s="5"/>
      <c r="AB4" s="5"/>
      <c r="AC4" s="5"/>
      <c r="AD4" s="5"/>
      <c r="AE4" s="5"/>
      <c r="AF4" s="200"/>
    </row>
    <row r="5" spans="1:32" s="1" customFormat="1" ht="15" customHeight="1" thickBot="1">
      <c r="B5" s="354"/>
      <c r="C5" s="355"/>
      <c r="D5" s="648"/>
      <c r="E5" s="648"/>
      <c r="F5" s="648"/>
      <c r="G5" s="648"/>
      <c r="H5" s="648"/>
      <c r="I5" s="648"/>
      <c r="J5" s="648"/>
      <c r="K5" s="648"/>
      <c r="L5" s="648"/>
      <c r="M5" s="648"/>
      <c r="N5" s="648"/>
      <c r="O5" s="648"/>
      <c r="P5" s="648"/>
      <c r="Q5" s="648"/>
      <c r="R5" s="648"/>
      <c r="S5" s="503"/>
      <c r="T5" s="2"/>
      <c r="U5" s="462"/>
      <c r="W5" s="6"/>
      <c r="AF5" s="201"/>
    </row>
    <row r="6" spans="1:32" s="7" customFormat="1" ht="13.8">
      <c r="B6" s="822"/>
      <c r="C6" s="823"/>
      <c r="D6" s="823"/>
      <c r="E6" s="823"/>
      <c r="F6" s="823"/>
      <c r="G6" s="823"/>
      <c r="H6" s="824"/>
      <c r="I6" s="824"/>
      <c r="J6" s="824"/>
      <c r="K6" s="824"/>
      <c r="L6" s="824"/>
      <c r="M6" s="824"/>
      <c r="N6" s="824"/>
      <c r="O6" s="824"/>
      <c r="P6" s="824"/>
      <c r="Q6" s="824"/>
      <c r="R6" s="824"/>
      <c r="S6" s="463"/>
      <c r="T6" s="2"/>
      <c r="U6" s="2"/>
      <c r="V6" s="462"/>
      <c r="W6" s="8"/>
      <c r="AF6" s="201"/>
    </row>
    <row r="7" spans="1:32" ht="84">
      <c r="B7" s="237"/>
      <c r="C7" s="468" t="s">
        <v>53</v>
      </c>
      <c r="D7" s="10" t="s">
        <v>54</v>
      </c>
      <c r="E7" s="10" t="s">
        <v>55</v>
      </c>
      <c r="F7" s="10" t="s">
        <v>56</v>
      </c>
      <c r="G7" s="10" t="s">
        <v>57</v>
      </c>
      <c r="H7" s="10" t="s">
        <v>58</v>
      </c>
      <c r="I7" s="10" t="s">
        <v>59</v>
      </c>
      <c r="J7" s="10" t="s">
        <v>60</v>
      </c>
      <c r="K7" s="10" t="s">
        <v>61</v>
      </c>
      <c r="L7" s="10" t="s">
        <v>62</v>
      </c>
      <c r="M7" s="10" t="s">
        <v>63</v>
      </c>
      <c r="N7" s="10" t="s">
        <v>64</v>
      </c>
      <c r="O7" s="10" t="s">
        <v>65</v>
      </c>
      <c r="P7" s="10" t="s">
        <v>66</v>
      </c>
      <c r="Q7" s="10" t="s">
        <v>67</v>
      </c>
      <c r="R7" s="10" t="s">
        <v>68</v>
      </c>
      <c r="S7" s="170" t="s">
        <v>69</v>
      </c>
      <c r="T7" s="202" t="s">
        <v>70</v>
      </c>
      <c r="U7" s="11"/>
      <c r="V7" s="11"/>
      <c r="W7" s="12"/>
      <c r="X7" s="10" t="s">
        <v>71</v>
      </c>
      <c r="Y7" s="151"/>
      <c r="AB7" s="10" t="s">
        <v>72</v>
      </c>
      <c r="AC7" s="151"/>
      <c r="AD7" s="151"/>
      <c r="AF7" s="202" t="s">
        <v>73</v>
      </c>
    </row>
    <row r="8" spans="1:32" ht="17.399999999999999">
      <c r="B8" s="469" t="s">
        <v>74</v>
      </c>
      <c r="C8" s="13"/>
      <c r="D8" s="14"/>
      <c r="E8" s="14"/>
      <c r="F8" s="14"/>
      <c r="G8" s="14"/>
      <c r="H8" s="14"/>
      <c r="I8" s="14"/>
      <c r="J8" s="14"/>
      <c r="K8" s="14"/>
      <c r="L8" s="14"/>
      <c r="M8" s="14"/>
      <c r="N8" s="14"/>
      <c r="O8" s="14"/>
      <c r="P8" s="14"/>
      <c r="Q8" s="14"/>
      <c r="R8" s="14"/>
      <c r="S8" s="182"/>
      <c r="T8" s="203"/>
      <c r="U8" s="11"/>
      <c r="V8" s="11"/>
      <c r="W8" s="12"/>
      <c r="X8" s="14"/>
      <c r="Y8" s="151"/>
      <c r="AB8" s="14"/>
      <c r="AC8" s="151"/>
      <c r="AD8" s="151"/>
      <c r="AF8" s="203"/>
    </row>
    <row r="9" spans="1:32" ht="12" customHeight="1">
      <c r="B9" s="239">
        <v>7</v>
      </c>
      <c r="C9" s="467">
        <v>8</v>
      </c>
      <c r="D9" s="151"/>
      <c r="E9" s="151"/>
      <c r="F9" s="151"/>
      <c r="G9" s="151"/>
      <c r="H9" s="151"/>
      <c r="I9" s="151"/>
      <c r="J9" s="151"/>
      <c r="K9" s="151"/>
      <c r="L9" s="151"/>
      <c r="M9" s="151"/>
      <c r="N9" s="151"/>
      <c r="O9" s="151"/>
      <c r="P9" s="151"/>
      <c r="Q9" s="151"/>
      <c r="R9" s="151"/>
      <c r="S9" s="171"/>
      <c r="T9" s="203"/>
      <c r="U9" s="11"/>
      <c r="V9" s="11"/>
      <c r="W9" s="12"/>
      <c r="X9" s="151"/>
      <c r="Y9" s="151"/>
      <c r="AB9" s="151"/>
      <c r="AC9" s="151"/>
      <c r="AD9" s="151"/>
      <c r="AF9" s="203"/>
    </row>
    <row r="10" spans="1:32" ht="15" customHeight="1">
      <c r="B10" s="818" t="s">
        <v>75</v>
      </c>
      <c r="C10" s="825"/>
      <c r="D10" s="15">
        <f>IFERROR(VLOOKUP($C$3,'2024-25 Outturn'!$C:$DW,56,FALSE),0)</f>
        <v>0</v>
      </c>
      <c r="E10" s="134">
        <f>$D$128+$D$129</f>
        <v>0</v>
      </c>
      <c r="F10" s="15"/>
      <c r="G10" s="15">
        <f>$D$128+$D$129</f>
        <v>0</v>
      </c>
      <c r="H10" s="16"/>
      <c r="I10" s="16"/>
      <c r="J10" s="16">
        <f>G10</f>
        <v>0</v>
      </c>
      <c r="K10" s="16"/>
      <c r="L10" s="16"/>
      <c r="M10" s="16"/>
      <c r="N10" s="16"/>
      <c r="O10" s="16"/>
      <c r="P10" s="16">
        <f>E10</f>
        <v>0</v>
      </c>
      <c r="Q10" s="16"/>
      <c r="R10" s="16">
        <f>$D$128+$D$129</f>
        <v>0</v>
      </c>
      <c r="S10" s="172"/>
      <c r="T10" s="205"/>
      <c r="V10" s="18"/>
      <c r="W10" s="19"/>
      <c r="X10" s="16"/>
      <c r="Y10" s="204"/>
      <c r="AB10" s="16">
        <f>P10+X10</f>
        <v>0</v>
      </c>
      <c r="AC10" s="204"/>
      <c r="AD10" s="204"/>
      <c r="AF10" s="205"/>
    </row>
    <row r="11" spans="1:32" ht="12">
      <c r="B11" s="240"/>
      <c r="C11" s="20"/>
      <c r="D11" s="41"/>
      <c r="E11" s="135"/>
      <c r="F11" s="21"/>
      <c r="G11" s="21"/>
      <c r="H11" s="21"/>
      <c r="I11" s="21"/>
      <c r="J11" s="21"/>
      <c r="K11" s="21"/>
      <c r="L11" s="21"/>
      <c r="M11" s="21"/>
      <c r="N11" s="21"/>
      <c r="O11" s="21"/>
      <c r="P11" s="21"/>
      <c r="Q11" s="21"/>
      <c r="R11" s="21"/>
      <c r="S11" s="173"/>
      <c r="T11" s="206"/>
      <c r="V11" s="18"/>
      <c r="W11" s="19"/>
      <c r="X11" s="21"/>
      <c r="Y11" s="152"/>
      <c r="AB11" s="21"/>
      <c r="AC11" s="152"/>
      <c r="AD11" s="152"/>
      <c r="AF11" s="206"/>
    </row>
    <row r="12" spans="1:32" ht="12">
      <c r="B12" s="240"/>
      <c r="C12" s="20" t="s">
        <v>76</v>
      </c>
      <c r="D12" s="21"/>
      <c r="E12" s="135"/>
      <c r="F12" s="21"/>
      <c r="G12" s="21"/>
      <c r="H12" s="21"/>
      <c r="I12" s="135"/>
      <c r="J12" s="21"/>
      <c r="K12" s="21"/>
      <c r="L12" s="21"/>
      <c r="M12" s="21"/>
      <c r="N12" s="21"/>
      <c r="O12" s="21"/>
      <c r="P12" s="21"/>
      <c r="Q12" s="21"/>
      <c r="R12" s="131"/>
      <c r="S12" s="173"/>
      <c r="T12" s="206"/>
      <c r="W12" s="12"/>
      <c r="X12" s="21"/>
      <c r="Y12" s="152"/>
      <c r="AB12" s="21"/>
      <c r="AC12" s="152"/>
      <c r="AD12" s="152"/>
      <c r="AF12" s="206"/>
    </row>
    <row r="13" spans="1:32" ht="12" customHeight="1">
      <c r="A13" s="38" t="s">
        <v>77</v>
      </c>
      <c r="B13" s="240" t="s">
        <v>77</v>
      </c>
      <c r="C13" s="22" t="s">
        <v>78</v>
      </c>
      <c r="D13" s="42">
        <f>IFERROR(VLOOKUP($C$3,'2024-25 Outturn'!$C:$DW,6,FALSE),0)</f>
        <v>0</v>
      </c>
      <c r="E13" s="24"/>
      <c r="F13" s="24"/>
      <c r="G13" s="153">
        <f>E13+F13</f>
        <v>0</v>
      </c>
      <c r="H13" s="557">
        <f>_xlfn.IFNA(VLOOKUP('CFR Return'!$C$3,Payments!$A:$T,8,FALSE),0)</f>
        <v>0</v>
      </c>
      <c r="I13" s="794">
        <f>_xlfn.IFNA(VLOOKUP($C$3,'School Level'!$C:$CZ,7,FALSE),0)</f>
        <v>0</v>
      </c>
      <c r="J13" s="23">
        <f>H13+I13</f>
        <v>0</v>
      </c>
      <c r="K13" s="23">
        <f>SUMIFS('2. Accruals'!$F$9:$F$76,'2. Accruals'!$A$9:$A$76,"Debtors",'2. Accruals'!$E$9:$E$76,B13)</f>
        <v>0</v>
      </c>
      <c r="L13" s="564"/>
      <c r="M13" s="564"/>
      <c r="N13" s="23">
        <f>-SUMIFS('2. Accruals'!$F$9:$F$76,'2. Accruals'!$A$9:$A$76,"Income_in_advance",'2. Accruals'!$E$9:$E$76,B13)</f>
        <v>0</v>
      </c>
      <c r="O13" s="23">
        <f>K13+N13</f>
        <v>0</v>
      </c>
      <c r="P13" s="23">
        <f>J13+O13</f>
        <v>0</v>
      </c>
      <c r="Q13" s="25" t="str">
        <f>IFERROR((P13/G13),"")</f>
        <v/>
      </c>
      <c r="R13" s="144" t="str">
        <f t="shared" ref="R13:R27" si="0">IFERROR(+P13/$P$28,"")</f>
        <v/>
      </c>
      <c r="S13" s="23">
        <f>G13-P13</f>
        <v>0</v>
      </c>
      <c r="T13" s="211"/>
      <c r="U13" s="715" t="str">
        <f>IF(P13&lt;0,"VALUE IN COLUMN P MUST BE GREATER THAN 0","")</f>
        <v/>
      </c>
      <c r="V13" s="18"/>
      <c r="W13" s="19"/>
      <c r="X13" s="23"/>
      <c r="Y13" s="207"/>
      <c r="AB13" s="23">
        <f>P13+X13</f>
        <v>0</v>
      </c>
      <c r="AC13" s="207"/>
      <c r="AD13" s="207"/>
      <c r="AF13" s="208"/>
    </row>
    <row r="14" spans="1:32" ht="12" customHeight="1">
      <c r="A14" s="38" t="s">
        <v>79</v>
      </c>
      <c r="B14" s="240" t="s">
        <v>79</v>
      </c>
      <c r="C14" s="22" t="s">
        <v>80</v>
      </c>
      <c r="D14" s="42">
        <f>IFERROR(VLOOKUP($C$3,'2024-25 Outturn'!$C:$DW,7,FALSE),0)</f>
        <v>0</v>
      </c>
      <c r="E14" s="24"/>
      <c r="F14" s="24"/>
      <c r="G14" s="153">
        <f t="shared" ref="G14:G27" si="1">E14+F14</f>
        <v>0</v>
      </c>
      <c r="H14" s="557">
        <f>_xlfn.IFNA(VLOOKUP('CFR Return'!$C$3,Payments!$A:$T,9,FALSE),0)</f>
        <v>0</v>
      </c>
      <c r="I14" s="794">
        <f>_xlfn.IFNA(VLOOKUP($C$3,'School Level'!$C:$CZ,8,FALSE),0)</f>
        <v>0</v>
      </c>
      <c r="J14" s="23">
        <f t="shared" ref="J14:J27" si="2">H14+I14</f>
        <v>0</v>
      </c>
      <c r="K14" s="23">
        <f>SUMIFS('2. Accruals'!$F$9:$F$76,'2. Accruals'!$A$9:$A$76,"Debtors",'2. Accruals'!$E$9:$E$76,B14)</f>
        <v>0</v>
      </c>
      <c r="L14" s="564"/>
      <c r="M14" s="564"/>
      <c r="N14" s="23">
        <f>-SUMIFS('2. Accruals'!$F$9:$F$76,'2. Accruals'!$A$9:$A$76,"Income_in_advance",'2. Accruals'!$E$9:$E$76,B14)</f>
        <v>0</v>
      </c>
      <c r="O14" s="23">
        <f t="shared" ref="O14:O27" si="3">K14+N14</f>
        <v>0</v>
      </c>
      <c r="P14" s="23">
        <f t="shared" ref="P14:P27" si="4">J14+O14</f>
        <v>0</v>
      </c>
      <c r="Q14" s="25" t="str">
        <f t="shared" ref="Q14:Q27" si="5">IFERROR((P14/G14),"")</f>
        <v/>
      </c>
      <c r="R14" s="144" t="str">
        <f t="shared" si="0"/>
        <v/>
      </c>
      <c r="S14" s="23">
        <f t="shared" ref="S14:S27" si="6">G14-P14</f>
        <v>0</v>
      </c>
      <c r="T14" s="211"/>
      <c r="U14" s="715" t="str">
        <f t="shared" ref="U14:U27" si="7">IF(P14&lt;0,"VALUE IN COLUMN P MUST BE GREATER THAN 0","")</f>
        <v/>
      </c>
      <c r="V14" s="18"/>
      <c r="W14" s="19"/>
      <c r="X14" s="23"/>
      <c r="Y14" s="207"/>
      <c r="AB14" s="23">
        <f t="shared" ref="AB14:AB27" si="8">P14+X14</f>
        <v>0</v>
      </c>
      <c r="AC14" s="207"/>
      <c r="AD14" s="207"/>
      <c r="AF14" s="208"/>
    </row>
    <row r="15" spans="1:32" ht="12" customHeight="1">
      <c r="A15" s="38" t="s">
        <v>81</v>
      </c>
      <c r="B15" s="240" t="s">
        <v>81</v>
      </c>
      <c r="C15" s="22" t="s">
        <v>82</v>
      </c>
      <c r="D15" s="42">
        <f>IFERROR(VLOOKUP($C$3,'2024-25 Outturn'!$C:$DW,8,FALSE),0)</f>
        <v>0</v>
      </c>
      <c r="E15" s="24"/>
      <c r="F15" s="24"/>
      <c r="G15" s="153">
        <f t="shared" si="1"/>
        <v>0</v>
      </c>
      <c r="H15" s="557">
        <f>_xlfn.IFNA(VLOOKUP('CFR Return'!$C$3,Payments!$A:$T,10,FALSE),0)</f>
        <v>0</v>
      </c>
      <c r="I15" s="794">
        <f>_xlfn.IFNA(VLOOKUP($C$3,'School Level'!$C:$CZ,9,FALSE),0)</f>
        <v>0</v>
      </c>
      <c r="J15" s="23">
        <f t="shared" si="2"/>
        <v>0</v>
      </c>
      <c r="K15" s="23">
        <f>SUMIFS('2. Accruals'!$F$9:$F$76,'2. Accruals'!$A$9:$A$76,"Debtors",'2. Accruals'!$E$9:$E$76,B15)</f>
        <v>0</v>
      </c>
      <c r="L15" s="564"/>
      <c r="M15" s="564"/>
      <c r="N15" s="23">
        <f>-SUMIFS('2. Accruals'!$F$9:$F$76,'2. Accruals'!$A$9:$A$76,"Income_in_advance",'2. Accruals'!$E$9:$E$76,B15)</f>
        <v>0</v>
      </c>
      <c r="O15" s="23">
        <f t="shared" si="3"/>
        <v>0</v>
      </c>
      <c r="P15" s="23">
        <f t="shared" si="4"/>
        <v>0</v>
      </c>
      <c r="Q15" s="25" t="str">
        <f t="shared" si="5"/>
        <v/>
      </c>
      <c r="R15" s="144" t="str">
        <f t="shared" si="0"/>
        <v/>
      </c>
      <c r="S15" s="23">
        <f t="shared" si="6"/>
        <v>0</v>
      </c>
      <c r="T15" s="211"/>
      <c r="U15" s="715" t="str">
        <f t="shared" si="7"/>
        <v/>
      </c>
      <c r="V15" s="18"/>
      <c r="W15" s="19"/>
      <c r="X15" s="23"/>
      <c r="Y15" s="207"/>
      <c r="AB15" s="23">
        <f t="shared" si="8"/>
        <v>0</v>
      </c>
      <c r="AF15" s="208"/>
    </row>
    <row r="16" spans="1:32" ht="12" customHeight="1">
      <c r="A16" s="38"/>
      <c r="B16" s="240" t="s">
        <v>83</v>
      </c>
      <c r="C16" s="22" t="s">
        <v>84</v>
      </c>
      <c r="D16" s="42">
        <f>IFERROR(VLOOKUP($C$3,'2024-25 Outturn'!$C:$DW,9,FALSE),0)</f>
        <v>0</v>
      </c>
      <c r="E16" s="24"/>
      <c r="F16" s="24"/>
      <c r="G16" s="153">
        <f t="shared" si="1"/>
        <v>0</v>
      </c>
      <c r="H16" s="557"/>
      <c r="I16" s="794">
        <f>_xlfn.IFNA(VLOOKUP($C$3,'School Level'!$C:$CZ,10,FALSE),0)</f>
        <v>0</v>
      </c>
      <c r="J16" s="23">
        <f t="shared" si="2"/>
        <v>0</v>
      </c>
      <c r="K16" s="23">
        <f>SUMIFS('2. Accruals'!$F$9:$F$76,'2. Accruals'!$A$9:$A$76,"Debtors",'2. Accruals'!$E$9:$E$76,B16)</f>
        <v>0</v>
      </c>
      <c r="L16" s="564"/>
      <c r="M16" s="564"/>
      <c r="N16" s="23">
        <f>-SUMIFS('2. Accruals'!$F$9:$F$76,'2. Accruals'!$A$9:$A$76,"Income_in_advance",'2. Accruals'!$E$9:$E$76,B16)</f>
        <v>0</v>
      </c>
      <c r="O16" s="23">
        <f t="shared" si="3"/>
        <v>0</v>
      </c>
      <c r="P16" s="23">
        <f t="shared" si="4"/>
        <v>0</v>
      </c>
      <c r="Q16" s="25" t="str">
        <f t="shared" si="5"/>
        <v/>
      </c>
      <c r="R16" s="144" t="str">
        <f t="shared" si="0"/>
        <v/>
      </c>
      <c r="S16" s="23">
        <f t="shared" si="6"/>
        <v>0</v>
      </c>
      <c r="T16" s="211"/>
      <c r="U16" s="715" t="str">
        <f t="shared" si="7"/>
        <v/>
      </c>
      <c r="V16" s="18"/>
      <c r="W16" s="19"/>
      <c r="X16" s="23"/>
      <c r="Y16" s="207"/>
      <c r="AB16" s="23">
        <f t="shared" si="8"/>
        <v>0</v>
      </c>
      <c r="AF16" s="208"/>
    </row>
    <row r="17" spans="1:32" ht="12" customHeight="1">
      <c r="A17" s="38" t="s">
        <v>85</v>
      </c>
      <c r="B17" s="240" t="s">
        <v>85</v>
      </c>
      <c r="C17" s="22" t="s">
        <v>86</v>
      </c>
      <c r="D17" s="42">
        <f>IFERROR(VLOOKUP($C$3,'2024-25 Outturn'!$C:$DW,10,FALSE),0)</f>
        <v>0</v>
      </c>
      <c r="E17" s="24"/>
      <c r="F17" s="24"/>
      <c r="G17" s="153">
        <f t="shared" si="1"/>
        <v>0</v>
      </c>
      <c r="H17" s="557">
        <f>_xlfn.IFNA(VLOOKUP('CFR Return'!$C$3,Payments!$A:$T,11,FALSE),0)</f>
        <v>0</v>
      </c>
      <c r="I17" s="794">
        <f>_xlfn.IFNA(VLOOKUP($C$3,'School Level'!$C:$CZ,11,FALSE),0)</f>
        <v>0</v>
      </c>
      <c r="J17" s="23">
        <f t="shared" si="2"/>
        <v>0</v>
      </c>
      <c r="K17" s="23">
        <f>SUMIFS('2. Accruals'!$F$9:$F$76,'2. Accruals'!$A$9:$A$76,"Debtors",'2. Accruals'!$E$9:$E$76,B17)</f>
        <v>0</v>
      </c>
      <c r="L17" s="564"/>
      <c r="M17" s="564"/>
      <c r="N17" s="23">
        <f>-SUMIFS('2. Accruals'!$F$9:$F$76,'2. Accruals'!$A$9:$A$76,"Income_in_advance",'2. Accruals'!$E$9:$E$76,B17)</f>
        <v>0</v>
      </c>
      <c r="O17" s="23">
        <f t="shared" si="3"/>
        <v>0</v>
      </c>
      <c r="P17" s="23">
        <f t="shared" si="4"/>
        <v>0</v>
      </c>
      <c r="Q17" s="25" t="str">
        <f t="shared" si="5"/>
        <v/>
      </c>
      <c r="R17" s="144" t="str">
        <f t="shared" si="0"/>
        <v/>
      </c>
      <c r="S17" s="23">
        <f t="shared" si="6"/>
        <v>0</v>
      </c>
      <c r="T17" s="211"/>
      <c r="U17" s="715" t="str">
        <f t="shared" si="7"/>
        <v/>
      </c>
      <c r="V17" s="18"/>
      <c r="W17" s="19"/>
      <c r="X17" s="23"/>
      <c r="Y17" s="207"/>
      <c r="AB17" s="23">
        <f t="shared" si="8"/>
        <v>0</v>
      </c>
      <c r="AF17" s="208"/>
    </row>
    <row r="18" spans="1:32" ht="12" customHeight="1">
      <c r="A18" s="38" t="s">
        <v>87</v>
      </c>
      <c r="B18" s="240" t="s">
        <v>87</v>
      </c>
      <c r="C18" s="22" t="s">
        <v>88</v>
      </c>
      <c r="D18" s="42">
        <f>IFERROR(VLOOKUP($C$3,'2024-25 Outturn'!$C:$DW,11,FALSE),0)+IFERROR(VLOOKUP($C$3,'2024-25 Outturn'!$C:$DW,21,FALSE),0)+IFERROR(VLOOKUP($C$3,'2024-25 Outturn'!$C:$DW,22,FALSE),0)</f>
        <v>0</v>
      </c>
      <c r="E18" s="24"/>
      <c r="F18" s="24"/>
      <c r="G18" s="153">
        <f t="shared" si="1"/>
        <v>0</v>
      </c>
      <c r="H18" s="557">
        <f>_xlfn.IFNA(VLOOKUP('CFR Return'!$C$3,Payments!$A:$T,12,FALSE),0)</f>
        <v>0</v>
      </c>
      <c r="I18" s="794">
        <f>_xlfn.IFNA(VLOOKUP($C$3,'School Level'!$C:$CZ,12,FALSE),0)</f>
        <v>0</v>
      </c>
      <c r="J18" s="23">
        <f t="shared" si="2"/>
        <v>0</v>
      </c>
      <c r="K18" s="23">
        <f>SUMIFS('2. Accruals'!$F$9:$F$76,'2. Accruals'!$A$9:$A$76,"Debtors",'2. Accruals'!$E$9:$E$76,B18)</f>
        <v>0</v>
      </c>
      <c r="L18" s="564"/>
      <c r="M18" s="564"/>
      <c r="N18" s="23">
        <f>-SUMIFS('2. Accruals'!$F$9:$F$76,'2. Accruals'!$A$9:$A$76,"Income_in_advance",'2. Accruals'!$E$9:$E$76,B18)</f>
        <v>0</v>
      </c>
      <c r="O18" s="23">
        <f t="shared" si="3"/>
        <v>0</v>
      </c>
      <c r="P18" s="23">
        <f t="shared" si="4"/>
        <v>0</v>
      </c>
      <c r="Q18" s="25" t="str">
        <f t="shared" si="5"/>
        <v/>
      </c>
      <c r="R18" s="144" t="str">
        <f t="shared" si="0"/>
        <v/>
      </c>
      <c r="S18" s="23">
        <f t="shared" si="6"/>
        <v>0</v>
      </c>
      <c r="T18" s="211"/>
      <c r="U18" s="715" t="str">
        <f t="shared" si="7"/>
        <v/>
      </c>
      <c r="V18" s="18"/>
      <c r="W18" s="19"/>
      <c r="X18" s="23"/>
      <c r="Y18" s="207"/>
      <c r="AB18" s="23">
        <f t="shared" si="8"/>
        <v>0</v>
      </c>
      <c r="AF18" s="208"/>
    </row>
    <row r="19" spans="1:32" ht="12" customHeight="1">
      <c r="A19" s="38" t="s">
        <v>89</v>
      </c>
      <c r="B19" s="240" t="s">
        <v>89</v>
      </c>
      <c r="C19" s="22" t="s">
        <v>90</v>
      </c>
      <c r="D19" s="42">
        <f>IFERROR(VLOOKUP($C$3,'2024-25 Outturn'!$C:$DW,12,FALSE),0)</f>
        <v>0</v>
      </c>
      <c r="E19" s="24"/>
      <c r="F19" s="24"/>
      <c r="G19" s="153">
        <f t="shared" si="1"/>
        <v>0</v>
      </c>
      <c r="H19" s="557"/>
      <c r="I19" s="794">
        <f>_xlfn.IFNA(VLOOKUP($C$3,'School Level'!$C:$CZ,13,FALSE),0)</f>
        <v>0</v>
      </c>
      <c r="J19" s="23">
        <f t="shared" si="2"/>
        <v>0</v>
      </c>
      <c r="K19" s="23">
        <f>SUMIFS('2. Accruals'!$F$9:$F$76,'2. Accruals'!$A$9:$A$76,"Debtors",'2. Accruals'!$E$9:$E$76,B19)</f>
        <v>0</v>
      </c>
      <c r="L19" s="564"/>
      <c r="M19" s="564"/>
      <c r="N19" s="23">
        <f>-SUMIFS('2. Accruals'!$F$9:$F$76,'2. Accruals'!$A$9:$A$76,"Income_in_advance",'2. Accruals'!$E$9:$E$76,B19)</f>
        <v>0</v>
      </c>
      <c r="O19" s="23">
        <f t="shared" si="3"/>
        <v>0</v>
      </c>
      <c r="P19" s="23">
        <f t="shared" si="4"/>
        <v>0</v>
      </c>
      <c r="Q19" s="25" t="str">
        <f t="shared" si="5"/>
        <v/>
      </c>
      <c r="R19" s="144" t="str">
        <f t="shared" si="0"/>
        <v/>
      </c>
      <c r="S19" s="23">
        <f t="shared" si="6"/>
        <v>0</v>
      </c>
      <c r="T19" s="211"/>
      <c r="U19" s="715" t="str">
        <f t="shared" si="7"/>
        <v/>
      </c>
      <c r="V19" s="18"/>
      <c r="W19" s="19"/>
      <c r="X19" s="23"/>
      <c r="Y19" s="207"/>
      <c r="AB19" s="23">
        <f t="shared" si="8"/>
        <v>0</v>
      </c>
      <c r="AF19" s="208"/>
    </row>
    <row r="20" spans="1:32" ht="12" customHeight="1">
      <c r="A20" s="38" t="s">
        <v>91</v>
      </c>
      <c r="B20" s="240" t="s">
        <v>92</v>
      </c>
      <c r="C20" s="22" t="s">
        <v>93</v>
      </c>
      <c r="D20" s="42">
        <f>IFERROR(VLOOKUP($C$3,'2024-25 Outturn'!$C:$DW,13,FALSE),0)</f>
        <v>0</v>
      </c>
      <c r="E20" s="24"/>
      <c r="F20" s="24"/>
      <c r="G20" s="153">
        <f t="shared" si="1"/>
        <v>0</v>
      </c>
      <c r="H20" s="557"/>
      <c r="I20" s="794">
        <f>_xlfn.IFNA(VLOOKUP($C$3,'School Level'!$C:$CZ,14,FALSE),0)</f>
        <v>0</v>
      </c>
      <c r="J20" s="23">
        <f t="shared" si="2"/>
        <v>0</v>
      </c>
      <c r="K20" s="23">
        <f>SUMIFS('2. Accruals'!$F$9:$F$76,'2. Accruals'!$A$9:$A$76,"Debtors",'2. Accruals'!$E$9:$E$76,B20)</f>
        <v>0</v>
      </c>
      <c r="L20" s="564"/>
      <c r="M20" s="564"/>
      <c r="N20" s="23">
        <f>-SUMIFS('2. Accruals'!$F$9:$F$76,'2. Accruals'!$A$9:$A$76,"Income_in_advance",'2. Accruals'!$E$9:$E$76,B20)</f>
        <v>0</v>
      </c>
      <c r="O20" s="23">
        <f t="shared" si="3"/>
        <v>0</v>
      </c>
      <c r="P20" s="23">
        <f t="shared" si="4"/>
        <v>0</v>
      </c>
      <c r="Q20" s="25" t="str">
        <f t="shared" si="5"/>
        <v/>
      </c>
      <c r="R20" s="144" t="str">
        <f t="shared" si="0"/>
        <v/>
      </c>
      <c r="S20" s="23">
        <f t="shared" si="6"/>
        <v>0</v>
      </c>
      <c r="T20" s="211"/>
      <c r="U20" s="715" t="str">
        <f t="shared" si="7"/>
        <v/>
      </c>
      <c r="V20" s="18"/>
      <c r="W20" s="19"/>
      <c r="X20" s="23"/>
      <c r="Y20" s="207"/>
      <c r="AB20" s="23">
        <f t="shared" si="8"/>
        <v>0</v>
      </c>
      <c r="AF20" s="208"/>
    </row>
    <row r="21" spans="1:32" ht="12" customHeight="1">
      <c r="A21" s="38"/>
      <c r="B21" s="240" t="s">
        <v>94</v>
      </c>
      <c r="C21" s="22" t="s">
        <v>95</v>
      </c>
      <c r="D21" s="42">
        <f>IFERROR(VLOOKUP($C$3,'2024-25 Outturn'!$C:$DW,14,FALSE),0)</f>
        <v>0</v>
      </c>
      <c r="E21" s="24"/>
      <c r="F21" s="24"/>
      <c r="G21" s="153">
        <f t="shared" si="1"/>
        <v>0</v>
      </c>
      <c r="H21" s="557">
        <f>_xlfn.IFNA(VLOOKUP('CFR Return'!$C$3,Payments!$A:$T,14,FALSE),0)</f>
        <v>0</v>
      </c>
      <c r="I21" s="794">
        <f>_xlfn.IFNA(VLOOKUP($C$3,'School Level'!$C:$CZ,15,FALSE),0)</f>
        <v>0</v>
      </c>
      <c r="J21" s="23">
        <f t="shared" si="2"/>
        <v>0</v>
      </c>
      <c r="K21" s="23">
        <f>SUMIFS('2. Accruals'!$F$9:$F$76,'2. Accruals'!$A$9:$A$76,"Debtors",'2. Accruals'!$E$9:$E$76,B21)</f>
        <v>0</v>
      </c>
      <c r="L21" s="564"/>
      <c r="M21" s="564"/>
      <c r="N21" s="23">
        <f>-SUMIFS('2. Accruals'!$F$9:$F$76,'2. Accruals'!$A$9:$A$76,"Income_in_advance",'2. Accruals'!$E$9:$E$76,B21)</f>
        <v>0</v>
      </c>
      <c r="O21" s="23">
        <f t="shared" si="3"/>
        <v>0</v>
      </c>
      <c r="P21" s="23">
        <f t="shared" si="4"/>
        <v>0</v>
      </c>
      <c r="Q21" s="25" t="str">
        <f t="shared" si="5"/>
        <v/>
      </c>
      <c r="R21" s="144" t="str">
        <f t="shared" si="0"/>
        <v/>
      </c>
      <c r="S21" s="23">
        <f t="shared" si="6"/>
        <v>0</v>
      </c>
      <c r="T21" s="211"/>
      <c r="U21" s="715" t="str">
        <f t="shared" si="7"/>
        <v/>
      </c>
      <c r="V21" s="18"/>
      <c r="W21" s="19"/>
      <c r="X21" s="23"/>
      <c r="Y21" s="207"/>
      <c r="AB21" s="23">
        <f t="shared" si="8"/>
        <v>0</v>
      </c>
      <c r="AF21" s="208"/>
    </row>
    <row r="22" spans="1:32" ht="12" customHeight="1">
      <c r="A22" s="38" t="s">
        <v>96</v>
      </c>
      <c r="B22" s="240" t="s">
        <v>96</v>
      </c>
      <c r="C22" s="22" t="s">
        <v>97</v>
      </c>
      <c r="D22" s="42">
        <f>IFERROR(VLOOKUP($C$3,'2024-25 Outturn'!$C:$DW,15,FALSE),0)</f>
        <v>0</v>
      </c>
      <c r="E22" s="24"/>
      <c r="F22" s="24"/>
      <c r="G22" s="153">
        <f t="shared" si="1"/>
        <v>0</v>
      </c>
      <c r="H22" s="557"/>
      <c r="I22" s="794">
        <f>_xlfn.IFNA(VLOOKUP($C$3,'School Level'!$C:$CZ,16,FALSE),0)</f>
        <v>0</v>
      </c>
      <c r="J22" s="23">
        <f t="shared" si="2"/>
        <v>0</v>
      </c>
      <c r="K22" s="23">
        <f>SUMIFS('2. Accruals'!$F$9:$F$76,'2. Accruals'!$A$9:$A$76,"Debtors",'2. Accruals'!$E$9:$E$76,B22)</f>
        <v>0</v>
      </c>
      <c r="L22" s="564"/>
      <c r="M22" s="564"/>
      <c r="N22" s="23">
        <f>-SUMIFS('2. Accruals'!$F$9:$F$76,'2. Accruals'!$A$9:$A$76,"Income_in_advance",'2. Accruals'!$E$9:$E$76,B22)</f>
        <v>0</v>
      </c>
      <c r="O22" s="23">
        <f t="shared" si="3"/>
        <v>0</v>
      </c>
      <c r="P22" s="23">
        <f t="shared" si="4"/>
        <v>0</v>
      </c>
      <c r="Q22" s="25" t="str">
        <f t="shared" si="5"/>
        <v/>
      </c>
      <c r="R22" s="144" t="str">
        <f t="shared" si="0"/>
        <v/>
      </c>
      <c r="S22" s="23">
        <f t="shared" si="6"/>
        <v>0</v>
      </c>
      <c r="T22" s="211"/>
      <c r="U22" s="715" t="str">
        <f t="shared" si="7"/>
        <v/>
      </c>
      <c r="V22" s="18"/>
      <c r="W22" s="19"/>
      <c r="X22" s="23"/>
      <c r="Y22" s="207"/>
      <c r="AB22" s="23">
        <f t="shared" si="8"/>
        <v>0</v>
      </c>
      <c r="AF22" s="208"/>
    </row>
    <row r="23" spans="1:32" ht="12" customHeight="1">
      <c r="A23" s="38" t="s">
        <v>98</v>
      </c>
      <c r="B23" s="240" t="s">
        <v>98</v>
      </c>
      <c r="C23" s="22" t="s">
        <v>99</v>
      </c>
      <c r="D23" s="42">
        <f>IFERROR(VLOOKUP($C$3,'2024-25 Outturn'!$C:$DW,16,FALSE),0)</f>
        <v>0</v>
      </c>
      <c r="E23" s="24"/>
      <c r="F23" s="24"/>
      <c r="G23" s="153">
        <f t="shared" si="1"/>
        <v>0</v>
      </c>
      <c r="H23" s="557"/>
      <c r="I23" s="794">
        <f>_xlfn.IFNA(VLOOKUP($C$3,'School Level'!$C:$CZ,17,FALSE),0)</f>
        <v>0</v>
      </c>
      <c r="J23" s="23">
        <f t="shared" si="2"/>
        <v>0</v>
      </c>
      <c r="K23" s="23">
        <f>SUMIFS('2. Accruals'!$F$9:$F$76,'2. Accruals'!$A$9:$A$76,"Debtors",'2. Accruals'!$E$9:$E$76,B23)</f>
        <v>0</v>
      </c>
      <c r="L23" s="564"/>
      <c r="M23" s="564"/>
      <c r="N23" s="23">
        <f>-SUMIFS('2. Accruals'!$F$9:$F$76,'2. Accruals'!$A$9:$A$76,"Income_in_advance",'2. Accruals'!$E$9:$E$76,B23)</f>
        <v>0</v>
      </c>
      <c r="O23" s="23">
        <f t="shared" si="3"/>
        <v>0</v>
      </c>
      <c r="P23" s="23">
        <f t="shared" si="4"/>
        <v>0</v>
      </c>
      <c r="Q23" s="25" t="str">
        <f t="shared" si="5"/>
        <v/>
      </c>
      <c r="R23" s="144" t="str">
        <f t="shared" si="0"/>
        <v/>
      </c>
      <c r="S23" s="23">
        <f t="shared" si="6"/>
        <v>0</v>
      </c>
      <c r="T23" s="211"/>
      <c r="U23" s="715" t="str">
        <f t="shared" si="7"/>
        <v/>
      </c>
      <c r="V23" s="18"/>
      <c r="W23" s="19"/>
      <c r="X23" s="23"/>
      <c r="Y23" s="207"/>
      <c r="AB23" s="23">
        <f t="shared" si="8"/>
        <v>0</v>
      </c>
      <c r="AF23" s="208"/>
    </row>
    <row r="24" spans="1:32" ht="12" customHeight="1">
      <c r="A24" s="38" t="s">
        <v>100</v>
      </c>
      <c r="B24" s="240" t="s">
        <v>100</v>
      </c>
      <c r="C24" s="22" t="s">
        <v>101</v>
      </c>
      <c r="D24" s="42">
        <f>IFERROR(VLOOKUP($C$3,'2024-25 Outturn'!$C:$DW,17,FALSE),0)</f>
        <v>0</v>
      </c>
      <c r="E24" s="24"/>
      <c r="F24" s="24"/>
      <c r="G24" s="153">
        <f t="shared" si="1"/>
        <v>0</v>
      </c>
      <c r="H24" s="557"/>
      <c r="I24" s="794">
        <f>_xlfn.IFNA(VLOOKUP($C$3,'School Level'!$C:$CZ,18,FALSE),0)</f>
        <v>0</v>
      </c>
      <c r="J24" s="23">
        <f t="shared" si="2"/>
        <v>0</v>
      </c>
      <c r="K24" s="23">
        <f>SUMIFS('2. Accruals'!$F$9:$F$76,'2. Accruals'!$A$9:$A$76,"Debtors",'2. Accruals'!$E$9:$E$76,B24)</f>
        <v>0</v>
      </c>
      <c r="L24" s="564"/>
      <c r="M24" s="564"/>
      <c r="N24" s="23">
        <f>-SUMIFS('2. Accruals'!$F$9:$F$76,'2. Accruals'!$A$9:$A$76,"Income_in_advance",'2. Accruals'!$E$9:$E$76,B24)</f>
        <v>0</v>
      </c>
      <c r="O24" s="23">
        <f t="shared" si="3"/>
        <v>0</v>
      </c>
      <c r="P24" s="23">
        <f t="shared" si="4"/>
        <v>0</v>
      </c>
      <c r="Q24" s="25" t="str">
        <f t="shared" si="5"/>
        <v/>
      </c>
      <c r="R24" s="144" t="str">
        <f t="shared" si="0"/>
        <v/>
      </c>
      <c r="S24" s="23">
        <f t="shared" si="6"/>
        <v>0</v>
      </c>
      <c r="T24" s="211"/>
      <c r="U24" s="715" t="str">
        <f t="shared" si="7"/>
        <v/>
      </c>
      <c r="V24" s="18"/>
      <c r="W24" s="19"/>
      <c r="X24" s="23"/>
      <c r="Y24" s="207"/>
      <c r="AB24" s="23">
        <f t="shared" si="8"/>
        <v>0</v>
      </c>
      <c r="AF24" s="208"/>
    </row>
    <row r="25" spans="1:32" ht="12" customHeight="1">
      <c r="A25" s="38" t="s">
        <v>102</v>
      </c>
      <c r="B25" s="240" t="s">
        <v>102</v>
      </c>
      <c r="C25" s="22" t="s">
        <v>103</v>
      </c>
      <c r="D25" s="42">
        <f>IFERROR(VLOOKUP($C$3,'2024-25 Outturn'!$C:$DW,18,FALSE),0)</f>
        <v>0</v>
      </c>
      <c r="E25" s="24"/>
      <c r="F25" s="24"/>
      <c r="G25" s="153">
        <f t="shared" si="1"/>
        <v>0</v>
      </c>
      <c r="H25" s="557"/>
      <c r="I25" s="794">
        <f>_xlfn.IFNA(VLOOKUP($C$3,'School Level'!$C:$CZ,19,FALSE),0)</f>
        <v>0</v>
      </c>
      <c r="J25" s="23">
        <f t="shared" si="2"/>
        <v>0</v>
      </c>
      <c r="K25" s="23">
        <f>SUMIFS('2. Accruals'!$F$9:$F$76,'2. Accruals'!$A$9:$A$76,"Debtors",'2. Accruals'!$E$9:$E$76,B25)</f>
        <v>0</v>
      </c>
      <c r="L25" s="564"/>
      <c r="M25" s="564"/>
      <c r="N25" s="23">
        <f>-SUMIFS('2. Accruals'!$F$9:$F$76,'2. Accruals'!$A$9:$A$76,"Income_in_advance",'2. Accruals'!$E$9:$E$76,B25)</f>
        <v>0</v>
      </c>
      <c r="O25" s="23">
        <f t="shared" si="3"/>
        <v>0</v>
      </c>
      <c r="P25" s="23">
        <f t="shared" si="4"/>
        <v>0</v>
      </c>
      <c r="Q25" s="25" t="str">
        <f t="shared" si="5"/>
        <v/>
      </c>
      <c r="R25" s="144" t="str">
        <f t="shared" si="0"/>
        <v/>
      </c>
      <c r="S25" s="23">
        <f t="shared" si="6"/>
        <v>0</v>
      </c>
      <c r="T25" s="211"/>
      <c r="U25" s="715" t="str">
        <f t="shared" si="7"/>
        <v/>
      </c>
      <c r="V25" s="18"/>
      <c r="W25" s="19"/>
      <c r="X25" s="23"/>
      <c r="Y25" s="207"/>
      <c r="AB25" s="23">
        <f t="shared" si="8"/>
        <v>0</v>
      </c>
      <c r="AF25" s="208"/>
    </row>
    <row r="26" spans="1:32" ht="12" customHeight="1">
      <c r="A26" s="38" t="s">
        <v>104</v>
      </c>
      <c r="B26" s="240" t="s">
        <v>104</v>
      </c>
      <c r="C26" s="22" t="s">
        <v>105</v>
      </c>
      <c r="D26" s="42">
        <f>IFERROR(VLOOKUP($C$3,'2024-25 Outturn'!$C:$DW,19,FALSE),0)</f>
        <v>0</v>
      </c>
      <c r="E26" s="24"/>
      <c r="F26" s="24"/>
      <c r="G26" s="153">
        <f t="shared" si="1"/>
        <v>0</v>
      </c>
      <c r="H26" s="557"/>
      <c r="I26" s="794">
        <f>_xlfn.IFNA(VLOOKUP($C$3,'School Level'!$C:$CZ,20,FALSE),0)</f>
        <v>0</v>
      </c>
      <c r="J26" s="23">
        <f t="shared" si="2"/>
        <v>0</v>
      </c>
      <c r="K26" s="23">
        <f>SUMIFS('2. Accruals'!$F$9:$F$76,'2. Accruals'!$A$9:$A$76,"Debtors",'2. Accruals'!$E$9:$E$76,B26)</f>
        <v>0</v>
      </c>
      <c r="L26" s="564"/>
      <c r="M26" s="564"/>
      <c r="N26" s="23">
        <f>-SUMIFS('2. Accruals'!$F$9:$F$76,'2. Accruals'!$A$9:$A$76,"Income_in_advance",'2. Accruals'!$E$9:$E$76,B26)</f>
        <v>0</v>
      </c>
      <c r="O26" s="23">
        <f t="shared" si="3"/>
        <v>0</v>
      </c>
      <c r="P26" s="23">
        <f t="shared" si="4"/>
        <v>0</v>
      </c>
      <c r="Q26" s="25" t="str">
        <f t="shared" si="5"/>
        <v/>
      </c>
      <c r="R26" s="144" t="str">
        <f t="shared" si="0"/>
        <v/>
      </c>
      <c r="S26" s="23">
        <f t="shared" si="6"/>
        <v>0</v>
      </c>
      <c r="T26" s="211"/>
      <c r="U26" s="715" t="str">
        <f t="shared" si="7"/>
        <v/>
      </c>
      <c r="V26" s="18"/>
      <c r="W26" s="19"/>
      <c r="X26" s="23"/>
      <c r="Y26" s="207"/>
      <c r="AB26" s="23">
        <f t="shared" si="8"/>
        <v>0</v>
      </c>
      <c r="AF26" s="208"/>
    </row>
    <row r="27" spans="1:32" ht="12" customHeight="1">
      <c r="A27" s="38" t="s">
        <v>106</v>
      </c>
      <c r="B27" s="240" t="s">
        <v>106</v>
      </c>
      <c r="C27" s="22" t="s">
        <v>107</v>
      </c>
      <c r="D27" s="42">
        <f>IFERROR(VLOOKUP($C$3,'2024-25 Outturn'!$C:$DW,20,FALSE),0)</f>
        <v>0</v>
      </c>
      <c r="E27" s="24"/>
      <c r="F27" s="24"/>
      <c r="G27" s="153">
        <f t="shared" si="1"/>
        <v>0</v>
      </c>
      <c r="H27" s="557"/>
      <c r="I27" s="794">
        <f>_xlfn.IFNA(VLOOKUP($C$3,'School Level'!$C:$CZ,21,FALSE),0)</f>
        <v>0</v>
      </c>
      <c r="J27" s="23">
        <f t="shared" si="2"/>
        <v>0</v>
      </c>
      <c r="K27" s="23">
        <f>SUMIFS('2. Accruals'!$F$9:$F$76,'2. Accruals'!$A$9:$A$76,"Debtors",'2. Accruals'!$E$9:$E$76,B27)</f>
        <v>0</v>
      </c>
      <c r="L27" s="564"/>
      <c r="M27" s="564"/>
      <c r="N27" s="23">
        <f>-SUMIFS('2. Accruals'!$F$9:$F$76,'2. Accruals'!$A$9:$A$76,"Income_in_advance",'2. Accruals'!$E$9:$E$76,B27)</f>
        <v>0</v>
      </c>
      <c r="O27" s="23">
        <f t="shared" si="3"/>
        <v>0</v>
      </c>
      <c r="P27" s="23">
        <f t="shared" si="4"/>
        <v>0</v>
      </c>
      <c r="Q27" s="25" t="str">
        <f t="shared" si="5"/>
        <v/>
      </c>
      <c r="R27" s="144" t="str">
        <f t="shared" si="0"/>
        <v/>
      </c>
      <c r="S27" s="23">
        <f t="shared" si="6"/>
        <v>0</v>
      </c>
      <c r="T27" s="211"/>
      <c r="U27" s="715" t="str">
        <f t="shared" si="7"/>
        <v/>
      </c>
      <c r="V27" s="18"/>
      <c r="W27" s="19"/>
      <c r="X27" s="23"/>
      <c r="Y27" s="207"/>
      <c r="AB27" s="23">
        <f t="shared" si="8"/>
        <v>0</v>
      </c>
      <c r="AF27" s="208"/>
    </row>
    <row r="28" spans="1:32" ht="12">
      <c r="B28" s="818" t="s">
        <v>108</v>
      </c>
      <c r="C28" s="819"/>
      <c r="D28" s="16">
        <f t="shared" ref="D28:P28" si="9">SUM(D13:D27)</f>
        <v>0</v>
      </c>
      <c r="E28" s="16">
        <f t="shared" si="9"/>
        <v>0</v>
      </c>
      <c r="F28" s="16">
        <f t="shared" si="9"/>
        <v>0</v>
      </c>
      <c r="G28" s="16">
        <f t="shared" si="9"/>
        <v>0</v>
      </c>
      <c r="H28" s="16">
        <f t="shared" si="9"/>
        <v>0</v>
      </c>
      <c r="I28" s="16">
        <f t="shared" si="9"/>
        <v>0</v>
      </c>
      <c r="J28" s="16">
        <f t="shared" si="9"/>
        <v>0</v>
      </c>
      <c r="K28" s="16">
        <f t="shared" si="9"/>
        <v>0</v>
      </c>
      <c r="L28" s="16">
        <f t="shared" si="9"/>
        <v>0</v>
      </c>
      <c r="M28" s="16">
        <f t="shared" si="9"/>
        <v>0</v>
      </c>
      <c r="N28" s="16">
        <f t="shared" si="9"/>
        <v>0</v>
      </c>
      <c r="O28" s="16">
        <f t="shared" si="9"/>
        <v>0</v>
      </c>
      <c r="P28" s="16">
        <f t="shared" si="9"/>
        <v>0</v>
      </c>
      <c r="Q28" s="136"/>
      <c r="R28" s="136"/>
      <c r="S28" s="16"/>
      <c r="T28" s="205"/>
      <c r="W28" s="19"/>
      <c r="X28" s="16">
        <f>SUM(X13:X27)</f>
        <v>0</v>
      </c>
      <c r="Y28" s="204"/>
      <c r="AB28" s="16">
        <f>SUM(AB13:AB27)</f>
        <v>0</v>
      </c>
      <c r="AF28" s="205"/>
    </row>
    <row r="29" spans="1:32" ht="12">
      <c r="B29" s="240"/>
      <c r="C29" s="27"/>
      <c r="D29" s="21"/>
      <c r="E29" s="135"/>
      <c r="F29" s="21"/>
      <c r="G29" s="21"/>
      <c r="H29" s="21"/>
      <c r="I29" s="21"/>
      <c r="J29" s="21"/>
      <c r="K29" s="53"/>
      <c r="L29" s="53"/>
      <c r="M29" s="53"/>
      <c r="N29" s="53"/>
      <c r="O29" s="53"/>
      <c r="P29" s="53"/>
      <c r="Q29" s="21"/>
      <c r="R29" s="135"/>
      <c r="S29" s="173"/>
      <c r="T29" s="206"/>
      <c r="W29" s="19"/>
      <c r="X29" s="21"/>
      <c r="Y29" s="152"/>
      <c r="AB29" s="21"/>
      <c r="AF29" s="206"/>
    </row>
    <row r="30" spans="1:32" ht="12">
      <c r="B30" s="240"/>
      <c r="C30" s="20" t="s">
        <v>109</v>
      </c>
      <c r="D30" s="28"/>
      <c r="E30" s="137"/>
      <c r="F30" s="28"/>
      <c r="G30" s="28"/>
      <c r="H30" s="28"/>
      <c r="I30" s="28"/>
      <c r="J30" s="28"/>
      <c r="K30" s="23"/>
      <c r="L30" s="23"/>
      <c r="M30" s="23"/>
      <c r="N30" s="23"/>
      <c r="O30" s="23"/>
      <c r="P30" s="23"/>
      <c r="Q30" s="28"/>
      <c r="R30" s="137"/>
      <c r="S30" s="174"/>
      <c r="T30" s="210"/>
      <c r="W30" s="19"/>
      <c r="X30" s="28"/>
      <c r="Y30" s="209"/>
      <c r="AB30" s="28"/>
      <c r="AF30" s="210"/>
    </row>
    <row r="31" spans="1:32" ht="12" customHeight="1">
      <c r="A31" s="38" t="s">
        <v>110</v>
      </c>
      <c r="B31" s="240" t="s">
        <v>110</v>
      </c>
      <c r="C31" s="22" t="s">
        <v>111</v>
      </c>
      <c r="D31" s="42">
        <f>IFERROR(VLOOKUP($C$3,'2024-25 Outturn'!$C:$DW,24,FALSE),0)</f>
        <v>0</v>
      </c>
      <c r="E31" s="24"/>
      <c r="F31" s="24"/>
      <c r="G31" s="153">
        <f t="shared" ref="G31:G67" si="10">E31+F31</f>
        <v>0</v>
      </c>
      <c r="H31" s="557"/>
      <c r="I31" s="794">
        <f>_xlfn.IFNA(VLOOKUP($C$3,'School Level'!$C:$CZ,23,FALSE),0)</f>
        <v>0</v>
      </c>
      <c r="J31" s="23">
        <f>H31+I31</f>
        <v>0</v>
      </c>
      <c r="K31" s="564"/>
      <c r="L31" s="23">
        <f>SUMIFS('2. Accruals'!$F$9:$F$76,'2. Accruals'!$A$9:$A$76,"Creditors",'2. Accruals'!$E$9:$E$76,B31)</f>
        <v>0</v>
      </c>
      <c r="M31" s="23">
        <f>-SUMIFS('2. Accruals'!$F$9:$F$76,'2. Accruals'!$A$9:$A$76,"Payment_in_advance",'2. Accruals'!$E$9:$E$76,B31)</f>
        <v>0</v>
      </c>
      <c r="N31" s="564"/>
      <c r="O31" s="23">
        <f>L31+M31</f>
        <v>0</v>
      </c>
      <c r="P31" s="23">
        <f t="shared" ref="P31:P67" si="11">J31+O31</f>
        <v>0</v>
      </c>
      <c r="Q31" s="25" t="str">
        <f t="shared" ref="Q31:Q68" si="12">IFERROR((P31/G31),"")</f>
        <v/>
      </c>
      <c r="R31" s="144" t="str">
        <f>IFERROR(+P31/$P$69,"")</f>
        <v/>
      </c>
      <c r="S31" s="23">
        <f t="shared" ref="S31:S67" si="13">G31-P31</f>
        <v>0</v>
      </c>
      <c r="T31" s="211"/>
      <c r="U31" s="716" t="str">
        <f t="shared" ref="U31:U67" si="14">IF(P31&lt;0,"VALUE IN COLUMN P MUST BE GREATER THAN 0","")</f>
        <v/>
      </c>
      <c r="V31" s="18"/>
      <c r="W31" s="19"/>
      <c r="X31" s="23"/>
      <c r="Y31" s="207"/>
      <c r="AB31" s="23">
        <f t="shared" ref="AB31:AB68" si="15">P31+X31</f>
        <v>0</v>
      </c>
      <c r="AF31" s="211"/>
    </row>
    <row r="32" spans="1:32" ht="12" customHeight="1">
      <c r="A32" s="38" t="s">
        <v>112</v>
      </c>
      <c r="B32" s="240" t="s">
        <v>112</v>
      </c>
      <c r="C32" s="22" t="s">
        <v>113</v>
      </c>
      <c r="D32" s="42">
        <f>IFERROR(VLOOKUP($C$3,'2024-25 Outturn'!$C:$DW,25,FALSE),0)</f>
        <v>0</v>
      </c>
      <c r="E32" s="24"/>
      <c r="F32" s="24"/>
      <c r="G32" s="153">
        <f t="shared" si="10"/>
        <v>0</v>
      </c>
      <c r="H32" s="557"/>
      <c r="I32" s="794">
        <f>_xlfn.IFNA(VLOOKUP($C$3,'School Level'!$C:$CZ,24,FALSE),0)</f>
        <v>0</v>
      </c>
      <c r="J32" s="23">
        <f t="shared" ref="J32:J67" si="16">H32+I32</f>
        <v>0</v>
      </c>
      <c r="K32" s="564"/>
      <c r="L32" s="23">
        <f>SUMIFS('2. Accruals'!$F$9:$F$76,'2. Accruals'!$A$9:$A$76,"Creditors",'2. Accruals'!$E$9:$E$76,B32)</f>
        <v>0</v>
      </c>
      <c r="M32" s="23">
        <f>-SUMIFS('2. Accruals'!$F$9:$F$76,'2. Accruals'!$A$9:$A$76,"Payment_in_advance",'2. Accruals'!$E$9:$E$76,B32)</f>
        <v>0</v>
      </c>
      <c r="N32" s="564"/>
      <c r="O32" s="23">
        <f t="shared" ref="O32:O67" si="17">L32+M32</f>
        <v>0</v>
      </c>
      <c r="P32" s="23">
        <f t="shared" si="11"/>
        <v>0</v>
      </c>
      <c r="Q32" s="25" t="str">
        <f t="shared" si="12"/>
        <v/>
      </c>
      <c r="R32" s="144" t="str">
        <f t="shared" ref="R32:R50" si="18">IFERROR(+P32/$P$69,"")</f>
        <v/>
      </c>
      <c r="S32" s="23">
        <f t="shared" si="13"/>
        <v>0</v>
      </c>
      <c r="T32" s="211"/>
      <c r="U32" s="716" t="str">
        <f t="shared" si="14"/>
        <v/>
      </c>
      <c r="V32" s="18"/>
      <c r="W32" s="19"/>
      <c r="X32" s="23"/>
      <c r="Y32" s="207"/>
      <c r="AB32" s="23">
        <f t="shared" si="15"/>
        <v>0</v>
      </c>
      <c r="AF32" s="211"/>
    </row>
    <row r="33" spans="1:32" ht="12" customHeight="1">
      <c r="A33" s="38" t="s">
        <v>114</v>
      </c>
      <c r="B33" s="240" t="s">
        <v>114</v>
      </c>
      <c r="C33" s="22" t="s">
        <v>115</v>
      </c>
      <c r="D33" s="42">
        <f>IFERROR(VLOOKUP($C$3,'2024-25 Outturn'!$C:$DW,26,FALSE),0)</f>
        <v>0</v>
      </c>
      <c r="E33" s="24"/>
      <c r="F33" s="24"/>
      <c r="G33" s="153">
        <f t="shared" si="10"/>
        <v>0</v>
      </c>
      <c r="H33" s="557"/>
      <c r="I33" s="794">
        <f>_xlfn.IFNA(VLOOKUP($C$3,'School Level'!$C:$CZ,25,FALSE),0)</f>
        <v>0</v>
      </c>
      <c r="J33" s="23">
        <f t="shared" si="16"/>
        <v>0</v>
      </c>
      <c r="K33" s="564"/>
      <c r="L33" s="23">
        <f>SUMIFS('2. Accruals'!$F$9:$F$76,'2. Accruals'!$A$9:$A$76,"Creditors",'2. Accruals'!$E$9:$E$76,B33)</f>
        <v>0</v>
      </c>
      <c r="M33" s="23">
        <f>-SUMIFS('2. Accruals'!$F$9:$F$76,'2. Accruals'!$A$9:$A$76,"Payment_in_advance",'2. Accruals'!$E$9:$E$76,B33)</f>
        <v>0</v>
      </c>
      <c r="N33" s="564"/>
      <c r="O33" s="23">
        <f t="shared" si="17"/>
        <v>0</v>
      </c>
      <c r="P33" s="23">
        <f t="shared" si="11"/>
        <v>0</v>
      </c>
      <c r="Q33" s="25" t="str">
        <f t="shared" si="12"/>
        <v/>
      </c>
      <c r="R33" s="144" t="str">
        <f t="shared" si="18"/>
        <v/>
      </c>
      <c r="S33" s="23">
        <f t="shared" si="13"/>
        <v>0</v>
      </c>
      <c r="T33" s="211"/>
      <c r="U33" s="716" t="str">
        <f t="shared" si="14"/>
        <v/>
      </c>
      <c r="V33" s="18"/>
      <c r="W33" s="19"/>
      <c r="X33" s="23"/>
      <c r="Y33" s="207"/>
      <c r="AB33" s="23">
        <f t="shared" si="15"/>
        <v>0</v>
      </c>
      <c r="AF33" s="211"/>
    </row>
    <row r="34" spans="1:32" ht="12" customHeight="1">
      <c r="A34" s="38" t="s">
        <v>116</v>
      </c>
      <c r="B34" s="240" t="s">
        <v>116</v>
      </c>
      <c r="C34" s="22" t="s">
        <v>117</v>
      </c>
      <c r="D34" s="42">
        <f>IFERROR(VLOOKUP($C$3,'2024-25 Outturn'!$C:$DW,27,FALSE),0)</f>
        <v>0</v>
      </c>
      <c r="E34" s="24"/>
      <c r="F34" s="24"/>
      <c r="G34" s="153">
        <f t="shared" si="10"/>
        <v>0</v>
      </c>
      <c r="H34" s="557"/>
      <c r="I34" s="794">
        <f>_xlfn.IFNA(VLOOKUP($C$3,'School Level'!$C:$CZ,26,FALSE),0)</f>
        <v>0</v>
      </c>
      <c r="J34" s="23">
        <f t="shared" si="16"/>
        <v>0</v>
      </c>
      <c r="K34" s="564"/>
      <c r="L34" s="23">
        <f>SUMIFS('2. Accruals'!$F$9:$F$76,'2. Accruals'!$A$9:$A$76,"Creditors",'2. Accruals'!$E$9:$E$76,B34)</f>
        <v>0</v>
      </c>
      <c r="M34" s="23">
        <f>-SUMIFS('2. Accruals'!$F$9:$F$76,'2. Accruals'!$A$9:$A$76,"Payment_in_advance",'2. Accruals'!$E$9:$E$76,B34)</f>
        <v>0</v>
      </c>
      <c r="N34" s="564"/>
      <c r="O34" s="23">
        <f t="shared" si="17"/>
        <v>0</v>
      </c>
      <c r="P34" s="23">
        <f t="shared" si="11"/>
        <v>0</v>
      </c>
      <c r="Q34" s="25" t="str">
        <f t="shared" si="12"/>
        <v/>
      </c>
      <c r="R34" s="144" t="str">
        <f t="shared" si="18"/>
        <v/>
      </c>
      <c r="S34" s="23">
        <f t="shared" si="13"/>
        <v>0</v>
      </c>
      <c r="T34" s="211"/>
      <c r="U34" s="716" t="str">
        <f t="shared" si="14"/>
        <v/>
      </c>
      <c r="V34" s="18"/>
      <c r="W34" s="19"/>
      <c r="X34" s="23"/>
      <c r="Y34" s="207"/>
      <c r="AB34" s="23">
        <f t="shared" si="15"/>
        <v>0</v>
      </c>
      <c r="AF34" s="211"/>
    </row>
    <row r="35" spans="1:32" ht="12" customHeight="1">
      <c r="A35" s="38" t="s">
        <v>118</v>
      </c>
      <c r="B35" s="240" t="s">
        <v>118</v>
      </c>
      <c r="C35" s="22" t="s">
        <v>119</v>
      </c>
      <c r="D35" s="42">
        <f>IFERROR(VLOOKUP($C$3,'2024-25 Outturn'!$C:$DW,28,FALSE),0)</f>
        <v>0</v>
      </c>
      <c r="E35" s="24"/>
      <c r="F35" s="24"/>
      <c r="G35" s="153">
        <f t="shared" si="10"/>
        <v>0</v>
      </c>
      <c r="H35" s="557"/>
      <c r="I35" s="794">
        <f>_xlfn.IFNA(VLOOKUP($C$3,'School Level'!$C:$CZ,27,FALSE),0)</f>
        <v>0</v>
      </c>
      <c r="J35" s="23">
        <f t="shared" si="16"/>
        <v>0</v>
      </c>
      <c r="K35" s="564"/>
      <c r="L35" s="23">
        <f>SUMIFS('2. Accruals'!$F$9:$F$76,'2. Accruals'!$A$9:$A$76,"Creditors",'2. Accruals'!$E$9:$E$76,B35)</f>
        <v>0</v>
      </c>
      <c r="M35" s="23">
        <f>-SUMIFS('2. Accruals'!$F$9:$F$76,'2. Accruals'!$A$9:$A$76,"Payment_in_advance",'2. Accruals'!$E$9:$E$76,B35)</f>
        <v>0</v>
      </c>
      <c r="N35" s="564"/>
      <c r="O35" s="23">
        <f t="shared" si="17"/>
        <v>0</v>
      </c>
      <c r="P35" s="23">
        <f t="shared" si="11"/>
        <v>0</v>
      </c>
      <c r="Q35" s="25" t="str">
        <f>IFERROR((P35/G35),"")</f>
        <v/>
      </c>
      <c r="R35" s="144" t="str">
        <f t="shared" si="18"/>
        <v/>
      </c>
      <c r="S35" s="23">
        <f t="shared" si="13"/>
        <v>0</v>
      </c>
      <c r="T35" s="211"/>
      <c r="U35" s="716" t="str">
        <f t="shared" si="14"/>
        <v/>
      </c>
      <c r="V35" s="18"/>
      <c r="W35" s="19"/>
      <c r="X35" s="23"/>
      <c r="Y35" s="207"/>
      <c r="AB35" s="23">
        <f t="shared" si="15"/>
        <v>0</v>
      </c>
      <c r="AF35" s="211"/>
    </row>
    <row r="36" spans="1:32" ht="12" customHeight="1">
      <c r="A36" s="38" t="s">
        <v>120</v>
      </c>
      <c r="B36" s="240" t="s">
        <v>120</v>
      </c>
      <c r="C36" s="22" t="s">
        <v>121</v>
      </c>
      <c r="D36" s="42">
        <f>IFERROR(VLOOKUP($C$3,'2024-25 Outturn'!$C:$DW,29,FALSE),0)</f>
        <v>0</v>
      </c>
      <c r="E36" s="24"/>
      <c r="F36" s="24"/>
      <c r="G36" s="153">
        <f t="shared" si="10"/>
        <v>0</v>
      </c>
      <c r="H36" s="557"/>
      <c r="I36" s="794">
        <f>_xlfn.IFNA(VLOOKUP($C$3,'School Level'!$C:$CZ,28,FALSE),0)</f>
        <v>0</v>
      </c>
      <c r="J36" s="23">
        <f t="shared" si="16"/>
        <v>0</v>
      </c>
      <c r="K36" s="564"/>
      <c r="L36" s="23">
        <f>SUMIFS('2. Accruals'!$F$9:$F$76,'2. Accruals'!$A$9:$A$76,"Creditors",'2. Accruals'!$E$9:$E$76,B36)</f>
        <v>0</v>
      </c>
      <c r="M36" s="23">
        <f>-SUMIFS('2. Accruals'!$F$9:$F$76,'2. Accruals'!$A$9:$A$76,"Payment_in_advance",'2. Accruals'!$E$9:$E$76,B36)</f>
        <v>0</v>
      </c>
      <c r="N36" s="564"/>
      <c r="O36" s="23">
        <f t="shared" si="17"/>
        <v>0</v>
      </c>
      <c r="P36" s="23">
        <f t="shared" si="11"/>
        <v>0</v>
      </c>
      <c r="Q36" s="25" t="str">
        <f t="shared" si="12"/>
        <v/>
      </c>
      <c r="R36" s="144" t="str">
        <f t="shared" si="18"/>
        <v/>
      </c>
      <c r="S36" s="23">
        <f t="shared" si="13"/>
        <v>0</v>
      </c>
      <c r="T36" s="211"/>
      <c r="U36" s="716" t="str">
        <f t="shared" si="14"/>
        <v/>
      </c>
      <c r="V36" s="18"/>
      <c r="W36" s="19"/>
      <c r="X36" s="23"/>
      <c r="Y36" s="207"/>
      <c r="AB36" s="23">
        <f t="shared" si="15"/>
        <v>0</v>
      </c>
      <c r="AF36" s="211"/>
    </row>
    <row r="37" spans="1:32" ht="12" customHeight="1">
      <c r="A37" s="38" t="s">
        <v>122</v>
      </c>
      <c r="B37" s="240" t="s">
        <v>122</v>
      </c>
      <c r="C37" s="22" t="s">
        <v>123</v>
      </c>
      <c r="D37" s="42">
        <f>IFERROR(VLOOKUP($C$3,'2024-25 Outturn'!$C:$DW,30,FALSE),0)</f>
        <v>0</v>
      </c>
      <c r="E37" s="24"/>
      <c r="F37" s="24"/>
      <c r="G37" s="153">
        <f t="shared" si="10"/>
        <v>0</v>
      </c>
      <c r="H37" s="557"/>
      <c r="I37" s="794">
        <f>_xlfn.IFNA(VLOOKUP($C$3,'School Level'!$C:$CZ,29,FALSE),0)</f>
        <v>0</v>
      </c>
      <c r="J37" s="23">
        <f t="shared" si="16"/>
        <v>0</v>
      </c>
      <c r="K37" s="564"/>
      <c r="L37" s="23">
        <f>SUMIFS('2. Accruals'!$F$9:$F$76,'2. Accruals'!$A$9:$A$76,"Creditors",'2. Accruals'!$E$9:$E$76,B37)</f>
        <v>0</v>
      </c>
      <c r="M37" s="23">
        <f>-SUMIFS('2. Accruals'!$F$9:$F$76,'2. Accruals'!$A$9:$A$76,"Payment_in_advance",'2. Accruals'!$E$9:$E$76,B37)</f>
        <v>0</v>
      </c>
      <c r="N37" s="564"/>
      <c r="O37" s="23">
        <f t="shared" si="17"/>
        <v>0</v>
      </c>
      <c r="P37" s="23">
        <f t="shared" si="11"/>
        <v>0</v>
      </c>
      <c r="Q37" s="25" t="str">
        <f t="shared" si="12"/>
        <v/>
      </c>
      <c r="R37" s="144" t="str">
        <f t="shared" si="18"/>
        <v/>
      </c>
      <c r="S37" s="23">
        <f t="shared" si="13"/>
        <v>0</v>
      </c>
      <c r="T37" s="211"/>
      <c r="U37" s="716" t="str">
        <f t="shared" si="14"/>
        <v/>
      </c>
      <c r="V37" s="18"/>
      <c r="W37" s="19"/>
      <c r="X37" s="23"/>
      <c r="Y37" s="207"/>
      <c r="AB37" s="23">
        <f t="shared" si="15"/>
        <v>0</v>
      </c>
      <c r="AF37" s="211"/>
    </row>
    <row r="38" spans="1:32" ht="12" customHeight="1">
      <c r="A38" s="38" t="s">
        <v>124</v>
      </c>
      <c r="B38" s="240" t="s">
        <v>124</v>
      </c>
      <c r="C38" s="22" t="s">
        <v>125</v>
      </c>
      <c r="D38" s="42">
        <f>IFERROR(VLOOKUP($C$3,'2024-25 Outturn'!$C:$DW,31,FALSE),0)</f>
        <v>0</v>
      </c>
      <c r="E38" s="24"/>
      <c r="F38" s="24"/>
      <c r="G38" s="153">
        <f t="shared" si="10"/>
        <v>0</v>
      </c>
      <c r="H38" s="557"/>
      <c r="I38" s="794">
        <f>_xlfn.IFNA(VLOOKUP($C$3,'School Level'!$C:$CZ,30,FALSE),0)</f>
        <v>0</v>
      </c>
      <c r="J38" s="23">
        <f t="shared" si="16"/>
        <v>0</v>
      </c>
      <c r="K38" s="564"/>
      <c r="L38" s="23">
        <f>SUMIFS('2. Accruals'!$F$9:$F$76,'2. Accruals'!$A$9:$A$76,"Creditors",'2. Accruals'!$E$9:$E$76,B38)</f>
        <v>0</v>
      </c>
      <c r="M38" s="23">
        <f>-SUMIFS('2. Accruals'!$F$9:$F$76,'2. Accruals'!$A$9:$A$76,"Payment_in_advance",'2. Accruals'!$E$9:$E$76,B38)</f>
        <v>0</v>
      </c>
      <c r="N38" s="564"/>
      <c r="O38" s="23">
        <f t="shared" si="17"/>
        <v>0</v>
      </c>
      <c r="P38" s="23">
        <f>J38+O38</f>
        <v>0</v>
      </c>
      <c r="Q38" s="25" t="str">
        <f t="shared" si="12"/>
        <v/>
      </c>
      <c r="R38" s="144" t="str">
        <f t="shared" si="18"/>
        <v/>
      </c>
      <c r="S38" s="23">
        <f t="shared" si="13"/>
        <v>0</v>
      </c>
      <c r="T38" s="211"/>
      <c r="U38" s="716" t="str">
        <f t="shared" si="14"/>
        <v/>
      </c>
      <c r="V38" s="18"/>
      <c r="W38" s="19"/>
      <c r="X38" s="23"/>
      <c r="Y38" s="207"/>
      <c r="AB38" s="23">
        <f t="shared" si="15"/>
        <v>0</v>
      </c>
      <c r="AF38" s="211"/>
    </row>
    <row r="39" spans="1:32" ht="12" customHeight="1">
      <c r="A39" s="38" t="s">
        <v>126</v>
      </c>
      <c r="B39" s="240" t="s">
        <v>126</v>
      </c>
      <c r="C39" s="22" t="s">
        <v>127</v>
      </c>
      <c r="D39" s="42">
        <f>IFERROR(VLOOKUP($C$3,'2024-25 Outturn'!$C:$DW,32,FALSE),0)</f>
        <v>0</v>
      </c>
      <c r="E39" s="24"/>
      <c r="F39" s="24"/>
      <c r="G39" s="153">
        <f t="shared" si="10"/>
        <v>0</v>
      </c>
      <c r="H39" s="557"/>
      <c r="I39" s="794">
        <f>_xlfn.IFNA(VLOOKUP($C$3,'School Level'!$C:$CZ,31,FALSE),0)</f>
        <v>0</v>
      </c>
      <c r="J39" s="23">
        <f t="shared" si="16"/>
        <v>0</v>
      </c>
      <c r="K39" s="564"/>
      <c r="L39" s="23">
        <f>SUMIFS('2. Accruals'!$F$9:$F$76,'2. Accruals'!$A$9:$A$76,"Creditors",'2. Accruals'!$E$9:$E$76,B39)</f>
        <v>0</v>
      </c>
      <c r="M39" s="23">
        <f>-SUMIFS('2. Accruals'!$F$9:$F$76,'2. Accruals'!$A$9:$A$76,"Payment_in_advance",'2. Accruals'!$E$9:$E$76,B39)</f>
        <v>0</v>
      </c>
      <c r="N39" s="564"/>
      <c r="O39" s="23">
        <f t="shared" si="17"/>
        <v>0</v>
      </c>
      <c r="P39" s="23">
        <f t="shared" si="11"/>
        <v>0</v>
      </c>
      <c r="Q39" s="25" t="str">
        <f t="shared" si="12"/>
        <v/>
      </c>
      <c r="R39" s="144" t="str">
        <f t="shared" si="18"/>
        <v/>
      </c>
      <c r="S39" s="23">
        <f t="shared" si="13"/>
        <v>0</v>
      </c>
      <c r="T39" s="211"/>
      <c r="U39" s="716" t="str">
        <f t="shared" si="14"/>
        <v/>
      </c>
      <c r="V39" s="18"/>
      <c r="W39" s="19"/>
      <c r="X39" s="23"/>
      <c r="Y39" s="207"/>
      <c r="AB39" s="23">
        <f t="shared" si="15"/>
        <v>0</v>
      </c>
      <c r="AF39" s="211"/>
    </row>
    <row r="40" spans="1:32" ht="12" customHeight="1">
      <c r="A40" s="38" t="s">
        <v>128</v>
      </c>
      <c r="B40" s="240" t="s">
        <v>128</v>
      </c>
      <c r="C40" s="22" t="s">
        <v>129</v>
      </c>
      <c r="D40" s="42">
        <f>IFERROR(VLOOKUP($C$3,'2024-25 Outturn'!$C:$DW,33,FALSE),0)</f>
        <v>0</v>
      </c>
      <c r="E40" s="24"/>
      <c r="F40" s="24"/>
      <c r="G40" s="153">
        <f t="shared" si="10"/>
        <v>0</v>
      </c>
      <c r="H40" s="557"/>
      <c r="I40" s="794">
        <f>_xlfn.IFNA(VLOOKUP($C$3,'School Level'!$C:$CZ,32,FALSE),0)</f>
        <v>0</v>
      </c>
      <c r="J40" s="23">
        <f t="shared" si="16"/>
        <v>0</v>
      </c>
      <c r="K40" s="564"/>
      <c r="L40" s="23">
        <f>SUMIFS('2. Accruals'!$F$9:$F$76,'2. Accruals'!$A$9:$A$76,"Creditors",'2. Accruals'!$E$9:$E$76,B40)</f>
        <v>0</v>
      </c>
      <c r="M40" s="23">
        <f>-SUMIFS('2. Accruals'!$F$9:$F$76,'2. Accruals'!$A$9:$A$76,"Payment_in_advance",'2. Accruals'!$E$9:$E$76,B40)</f>
        <v>0</v>
      </c>
      <c r="N40" s="564"/>
      <c r="O40" s="23">
        <f t="shared" si="17"/>
        <v>0</v>
      </c>
      <c r="P40" s="23">
        <f t="shared" si="11"/>
        <v>0</v>
      </c>
      <c r="Q40" s="25" t="str">
        <f t="shared" si="12"/>
        <v/>
      </c>
      <c r="R40" s="144" t="str">
        <f t="shared" si="18"/>
        <v/>
      </c>
      <c r="S40" s="23">
        <f t="shared" si="13"/>
        <v>0</v>
      </c>
      <c r="T40" s="211"/>
      <c r="U40" s="716" t="str">
        <f t="shared" si="14"/>
        <v/>
      </c>
      <c r="V40" s="18"/>
      <c r="W40" s="19"/>
      <c r="X40" s="23"/>
      <c r="Y40" s="207"/>
      <c r="AB40" s="23">
        <f t="shared" si="15"/>
        <v>0</v>
      </c>
      <c r="AF40" s="211"/>
    </row>
    <row r="41" spans="1:32" ht="12" customHeight="1">
      <c r="A41" s="38" t="s">
        <v>130</v>
      </c>
      <c r="B41" s="240" t="s">
        <v>130</v>
      </c>
      <c r="C41" s="22" t="s">
        <v>131</v>
      </c>
      <c r="D41" s="42">
        <f>IFERROR(VLOOKUP($C$3,'2024-25 Outturn'!$C:$DW,34,FALSE),0)</f>
        <v>0</v>
      </c>
      <c r="E41" s="24"/>
      <c r="F41" s="24"/>
      <c r="G41" s="153">
        <f t="shared" si="10"/>
        <v>0</v>
      </c>
      <c r="H41" s="557"/>
      <c r="I41" s="794">
        <f>_xlfn.IFNA(VLOOKUP($C$3,'School Level'!$C:$CZ,33,FALSE),0)</f>
        <v>0</v>
      </c>
      <c r="J41" s="23">
        <f t="shared" si="16"/>
        <v>0</v>
      </c>
      <c r="K41" s="564"/>
      <c r="L41" s="23">
        <f>SUMIFS('2. Accruals'!$F$9:$F$76,'2. Accruals'!$A$9:$A$76,"Creditors",'2. Accruals'!$E$9:$E$76,B41)</f>
        <v>0</v>
      </c>
      <c r="M41" s="23">
        <f>-SUMIFS('2. Accruals'!$F$9:$F$76,'2. Accruals'!$A$9:$A$76,"Payment_in_advance",'2. Accruals'!$E$9:$E$76,B41)</f>
        <v>0</v>
      </c>
      <c r="N41" s="564"/>
      <c r="O41" s="23">
        <f t="shared" si="17"/>
        <v>0</v>
      </c>
      <c r="P41" s="23">
        <f t="shared" si="11"/>
        <v>0</v>
      </c>
      <c r="Q41" s="25" t="str">
        <f t="shared" si="12"/>
        <v/>
      </c>
      <c r="R41" s="144" t="str">
        <f t="shared" si="18"/>
        <v/>
      </c>
      <c r="S41" s="23">
        <f t="shared" si="13"/>
        <v>0</v>
      </c>
      <c r="T41" s="211"/>
      <c r="U41" s="716" t="str">
        <f t="shared" si="14"/>
        <v/>
      </c>
      <c r="V41" s="18"/>
      <c r="W41" s="19"/>
      <c r="X41" s="23"/>
      <c r="Y41" s="207"/>
      <c r="AB41" s="23">
        <f t="shared" si="15"/>
        <v>0</v>
      </c>
      <c r="AF41" s="211"/>
    </row>
    <row r="42" spans="1:32" ht="12" customHeight="1">
      <c r="A42" s="38" t="s">
        <v>132</v>
      </c>
      <c r="B42" s="240" t="s">
        <v>132</v>
      </c>
      <c r="C42" s="22" t="s">
        <v>133</v>
      </c>
      <c r="D42" s="42">
        <f>IFERROR(VLOOKUP($C$3,'2024-25 Outturn'!$C:$DW,35,FALSE),0)</f>
        <v>0</v>
      </c>
      <c r="E42" s="24"/>
      <c r="F42" s="24"/>
      <c r="G42" s="153">
        <f t="shared" si="10"/>
        <v>0</v>
      </c>
      <c r="H42" s="557"/>
      <c r="I42" s="794">
        <f>_xlfn.IFNA(VLOOKUP($C$3,'School Level'!$C:$CZ,34,FALSE),0)</f>
        <v>0</v>
      </c>
      <c r="J42" s="23">
        <f t="shared" si="16"/>
        <v>0</v>
      </c>
      <c r="K42" s="564"/>
      <c r="L42" s="23">
        <f>SUMIFS('2. Accruals'!$F$9:$F$76,'2. Accruals'!$A$9:$A$76,"Creditors",'2. Accruals'!$E$9:$E$76,B42)</f>
        <v>0</v>
      </c>
      <c r="M42" s="23">
        <f>-SUMIFS('2. Accruals'!$F$9:$F$76,'2. Accruals'!$A$9:$A$76,"Payment_in_advance",'2. Accruals'!$E$9:$E$76,B42)</f>
        <v>0</v>
      </c>
      <c r="N42" s="564"/>
      <c r="O42" s="23">
        <f t="shared" si="17"/>
        <v>0</v>
      </c>
      <c r="P42" s="23">
        <f t="shared" si="11"/>
        <v>0</v>
      </c>
      <c r="Q42" s="25" t="str">
        <f t="shared" si="12"/>
        <v/>
      </c>
      <c r="R42" s="144" t="str">
        <f t="shared" si="18"/>
        <v/>
      </c>
      <c r="S42" s="23">
        <f t="shared" si="13"/>
        <v>0</v>
      </c>
      <c r="T42" s="211"/>
      <c r="U42" s="716" t="str">
        <f t="shared" si="14"/>
        <v/>
      </c>
      <c r="V42" s="18"/>
      <c r="W42" s="19"/>
      <c r="X42" s="23"/>
      <c r="Y42" s="207"/>
      <c r="AB42" s="23">
        <f t="shared" si="15"/>
        <v>0</v>
      </c>
      <c r="AF42" s="211"/>
    </row>
    <row r="43" spans="1:32" ht="12" customHeight="1">
      <c r="A43" s="38" t="s">
        <v>134</v>
      </c>
      <c r="B43" s="240" t="s">
        <v>134</v>
      </c>
      <c r="C43" s="22" t="s">
        <v>135</v>
      </c>
      <c r="D43" s="42">
        <f>IFERROR(VLOOKUP($C$3,'2024-25 Outturn'!$C:$DW,36,FALSE),0)</f>
        <v>0</v>
      </c>
      <c r="E43" s="24"/>
      <c r="F43" s="24"/>
      <c r="G43" s="153">
        <f t="shared" si="10"/>
        <v>0</v>
      </c>
      <c r="H43" s="557"/>
      <c r="I43" s="794">
        <f>_xlfn.IFNA(VLOOKUP($C$3,'School Level'!$C:$CZ,35,FALSE),0)</f>
        <v>0</v>
      </c>
      <c r="J43" s="23">
        <f t="shared" si="16"/>
        <v>0</v>
      </c>
      <c r="K43" s="564"/>
      <c r="L43" s="23">
        <f>SUMIFS('2. Accruals'!$F$9:$F$76,'2. Accruals'!$A$9:$A$76,"Creditors",'2. Accruals'!$E$9:$E$76,B43)</f>
        <v>0</v>
      </c>
      <c r="M43" s="23">
        <f>-SUMIFS('2. Accruals'!$F$9:$F$76,'2. Accruals'!$A$9:$A$76,"Payment_in_advance",'2. Accruals'!$E$9:$E$76,B43)</f>
        <v>0</v>
      </c>
      <c r="N43" s="564"/>
      <c r="O43" s="23">
        <f t="shared" si="17"/>
        <v>0</v>
      </c>
      <c r="P43" s="23">
        <f t="shared" si="11"/>
        <v>0</v>
      </c>
      <c r="Q43" s="25" t="str">
        <f t="shared" si="12"/>
        <v/>
      </c>
      <c r="R43" s="144" t="str">
        <f t="shared" si="18"/>
        <v/>
      </c>
      <c r="S43" s="23">
        <f t="shared" si="13"/>
        <v>0</v>
      </c>
      <c r="T43" s="211"/>
      <c r="U43" s="716" t="str">
        <f t="shared" si="14"/>
        <v/>
      </c>
      <c r="V43" s="18"/>
      <c r="W43" s="19"/>
      <c r="X43" s="23"/>
      <c r="Y43" s="207"/>
      <c r="AB43" s="23">
        <f t="shared" si="15"/>
        <v>0</v>
      </c>
      <c r="AF43" s="211"/>
    </row>
    <row r="44" spans="1:32" ht="12" customHeight="1">
      <c r="A44" s="38" t="s">
        <v>136</v>
      </c>
      <c r="B44" s="240" t="s">
        <v>136</v>
      </c>
      <c r="C44" s="22" t="s">
        <v>137</v>
      </c>
      <c r="D44" s="42">
        <f>IFERROR(VLOOKUP($C$3,'2024-25 Outturn'!$C:$DW,37,FALSE),0)</f>
        <v>0</v>
      </c>
      <c r="E44" s="24"/>
      <c r="F44" s="24"/>
      <c r="G44" s="153">
        <f t="shared" si="10"/>
        <v>0</v>
      </c>
      <c r="H44" s="557"/>
      <c r="I44" s="794">
        <f>_xlfn.IFNA(VLOOKUP($C$3,'School Level'!$C:$CZ,36,FALSE),0)</f>
        <v>0</v>
      </c>
      <c r="J44" s="23">
        <f t="shared" si="16"/>
        <v>0</v>
      </c>
      <c r="K44" s="564"/>
      <c r="L44" s="23">
        <f>SUMIFS('2. Accruals'!$F$9:$F$76,'2. Accruals'!$A$9:$A$76,"Creditors",'2. Accruals'!$E$9:$E$76,B44)</f>
        <v>0</v>
      </c>
      <c r="M44" s="23">
        <f>-SUMIFS('2. Accruals'!$F$9:$F$76,'2. Accruals'!$A$9:$A$76,"Payment_in_advance",'2. Accruals'!$E$9:$E$76,B44)</f>
        <v>0</v>
      </c>
      <c r="N44" s="564"/>
      <c r="O44" s="23">
        <f t="shared" si="17"/>
        <v>0</v>
      </c>
      <c r="P44" s="23">
        <f t="shared" si="11"/>
        <v>0</v>
      </c>
      <c r="Q44" s="25" t="str">
        <f t="shared" si="12"/>
        <v/>
      </c>
      <c r="R44" s="144" t="str">
        <f t="shared" si="18"/>
        <v/>
      </c>
      <c r="S44" s="23">
        <f t="shared" si="13"/>
        <v>0</v>
      </c>
      <c r="T44" s="211"/>
      <c r="U44" s="716" t="str">
        <f t="shared" si="14"/>
        <v/>
      </c>
      <c r="V44" s="18"/>
      <c r="W44" s="19"/>
      <c r="X44" s="23"/>
      <c r="Y44" s="207"/>
      <c r="AB44" s="23">
        <f t="shared" si="15"/>
        <v>0</v>
      </c>
      <c r="AF44" s="211"/>
    </row>
    <row r="45" spans="1:32" ht="12" customHeight="1">
      <c r="A45" s="38" t="s">
        <v>138</v>
      </c>
      <c r="B45" s="240" t="s">
        <v>138</v>
      </c>
      <c r="C45" s="22" t="s">
        <v>139</v>
      </c>
      <c r="D45" s="42">
        <f>IFERROR(VLOOKUP($C$3,'2024-25 Outturn'!$C:$DW,38,FALSE),0)</f>
        <v>0</v>
      </c>
      <c r="E45" s="24"/>
      <c r="F45" s="24"/>
      <c r="G45" s="153">
        <f t="shared" si="10"/>
        <v>0</v>
      </c>
      <c r="H45" s="557"/>
      <c r="I45" s="794">
        <f>_xlfn.IFNA(VLOOKUP($C$3,'School Level'!$C:$CZ,37,FALSE),0)</f>
        <v>0</v>
      </c>
      <c r="J45" s="23">
        <f t="shared" si="16"/>
        <v>0</v>
      </c>
      <c r="K45" s="564"/>
      <c r="L45" s="23">
        <f>SUMIFS('2. Accruals'!$F$9:$F$76,'2. Accruals'!$A$9:$A$76,"Creditors",'2. Accruals'!$E$9:$E$76,B45)</f>
        <v>0</v>
      </c>
      <c r="M45" s="23">
        <f>-SUMIFS('2. Accruals'!$F$9:$F$76,'2. Accruals'!$A$9:$A$76,"Payment_in_advance",'2. Accruals'!$E$9:$E$76,B45)</f>
        <v>0</v>
      </c>
      <c r="N45" s="564"/>
      <c r="O45" s="23">
        <f t="shared" si="17"/>
        <v>0</v>
      </c>
      <c r="P45" s="23">
        <f t="shared" si="11"/>
        <v>0</v>
      </c>
      <c r="Q45" s="25" t="str">
        <f t="shared" si="12"/>
        <v/>
      </c>
      <c r="R45" s="144" t="str">
        <f t="shared" si="18"/>
        <v/>
      </c>
      <c r="S45" s="23">
        <f t="shared" si="13"/>
        <v>0</v>
      </c>
      <c r="T45" s="211"/>
      <c r="U45" s="716" t="str">
        <f t="shared" si="14"/>
        <v/>
      </c>
      <c r="V45" s="18"/>
      <c r="W45" s="19"/>
      <c r="X45" s="23"/>
      <c r="Y45" s="207"/>
      <c r="AB45" s="23">
        <f t="shared" si="15"/>
        <v>0</v>
      </c>
      <c r="AF45" s="211"/>
    </row>
    <row r="46" spans="1:32" ht="12" customHeight="1">
      <c r="A46" s="38" t="s">
        <v>140</v>
      </c>
      <c r="B46" s="240" t="s">
        <v>140</v>
      </c>
      <c r="C46" s="22" t="s">
        <v>141</v>
      </c>
      <c r="D46" s="42">
        <f>IFERROR(VLOOKUP($C$3,'2024-25 Outturn'!$C:$DW,39,FALSE),0)</f>
        <v>0</v>
      </c>
      <c r="E46" s="24"/>
      <c r="F46" s="24"/>
      <c r="G46" s="153">
        <f t="shared" si="10"/>
        <v>0</v>
      </c>
      <c r="H46" s="557"/>
      <c r="I46" s="794">
        <f>_xlfn.IFNA(VLOOKUP($C$3,'School Level'!$C:$CZ,38,FALSE),0)</f>
        <v>0</v>
      </c>
      <c r="J46" s="23">
        <f t="shared" si="16"/>
        <v>0</v>
      </c>
      <c r="K46" s="564"/>
      <c r="L46" s="23">
        <f>SUMIFS('2. Accruals'!$F$9:$F$76,'2. Accruals'!$A$9:$A$76,"Creditors",'2. Accruals'!$E$9:$E$76,B46)</f>
        <v>0</v>
      </c>
      <c r="M46" s="23">
        <f>-SUMIFS('2. Accruals'!$F$9:$F$76,'2. Accruals'!$A$9:$A$76,"Payment_in_advance",'2. Accruals'!$E$9:$E$76,B46)</f>
        <v>0</v>
      </c>
      <c r="N46" s="564"/>
      <c r="O46" s="23">
        <f t="shared" si="17"/>
        <v>0</v>
      </c>
      <c r="P46" s="23">
        <f t="shared" si="11"/>
        <v>0</v>
      </c>
      <c r="Q46" s="25" t="str">
        <f t="shared" si="12"/>
        <v/>
      </c>
      <c r="R46" s="144" t="str">
        <f t="shared" si="18"/>
        <v/>
      </c>
      <c r="S46" s="23">
        <f t="shared" si="13"/>
        <v>0</v>
      </c>
      <c r="T46" s="211"/>
      <c r="U46" s="716" t="str">
        <f t="shared" si="14"/>
        <v/>
      </c>
      <c r="V46" s="18"/>
      <c r="W46" s="19"/>
      <c r="X46" s="23"/>
      <c r="Y46" s="207"/>
      <c r="AB46" s="23">
        <f t="shared" si="15"/>
        <v>0</v>
      </c>
      <c r="AF46" s="211"/>
    </row>
    <row r="47" spans="1:32" ht="12" customHeight="1">
      <c r="A47" s="38" t="s">
        <v>142</v>
      </c>
      <c r="B47" s="240" t="s">
        <v>142</v>
      </c>
      <c r="C47" s="22" t="s">
        <v>143</v>
      </c>
      <c r="D47" s="42">
        <f>IFERROR(VLOOKUP($C$3,'2024-25 Outturn'!$C:$DW,40,FALSE),0)</f>
        <v>0</v>
      </c>
      <c r="E47" s="24"/>
      <c r="F47" s="24"/>
      <c r="G47" s="153">
        <f t="shared" si="10"/>
        <v>0</v>
      </c>
      <c r="H47" s="557">
        <f>-_xlfn.IFNA(VLOOKUP('CFR Return'!$C$3,Payments!$A:$T,15,FALSE),0)</f>
        <v>0</v>
      </c>
      <c r="I47" s="794">
        <f>_xlfn.IFNA(VLOOKUP($C$3,'School Level'!$C:$CZ,39,FALSE),0)</f>
        <v>0</v>
      </c>
      <c r="J47" s="23">
        <f t="shared" si="16"/>
        <v>0</v>
      </c>
      <c r="K47" s="564"/>
      <c r="L47" s="23">
        <f>SUMIFS('2. Accruals'!$F$9:$F$76,'2. Accruals'!$A$9:$A$76,"Creditors",'2. Accruals'!$E$9:$E$76,B47)</f>
        <v>0</v>
      </c>
      <c r="M47" s="23">
        <f>-SUMIFS('2. Accruals'!$F$9:$F$76,'2. Accruals'!$A$9:$A$76,"Payment_in_advance",'2. Accruals'!$E$9:$E$76,B47)</f>
        <v>0</v>
      </c>
      <c r="N47" s="564"/>
      <c r="O47" s="23">
        <f t="shared" si="17"/>
        <v>0</v>
      </c>
      <c r="P47" s="23">
        <f t="shared" si="11"/>
        <v>0</v>
      </c>
      <c r="Q47" s="25" t="str">
        <f t="shared" si="12"/>
        <v/>
      </c>
      <c r="R47" s="144" t="str">
        <f t="shared" si="18"/>
        <v/>
      </c>
      <c r="S47" s="23">
        <f t="shared" si="13"/>
        <v>0</v>
      </c>
      <c r="T47" s="211"/>
      <c r="U47" s="716" t="str">
        <f t="shared" si="14"/>
        <v/>
      </c>
      <c r="V47" s="18"/>
      <c r="W47" s="19"/>
      <c r="X47" s="23"/>
      <c r="Y47" s="207"/>
      <c r="AB47" s="23">
        <f t="shared" si="15"/>
        <v>0</v>
      </c>
      <c r="AF47" s="211"/>
    </row>
    <row r="48" spans="1:32" ht="12" customHeight="1">
      <c r="A48" s="38" t="s">
        <v>144</v>
      </c>
      <c r="B48" s="240" t="s">
        <v>144</v>
      </c>
      <c r="C48" s="22" t="s">
        <v>145</v>
      </c>
      <c r="D48" s="42">
        <f>IFERROR(VLOOKUP($C$3,'2024-25 Outturn'!$C:$DW,41,FALSE),0)</f>
        <v>0</v>
      </c>
      <c r="E48" s="24"/>
      <c r="F48" s="24"/>
      <c r="G48" s="153">
        <f t="shared" si="10"/>
        <v>0</v>
      </c>
      <c r="H48" s="557"/>
      <c r="I48" s="794">
        <f>_xlfn.IFNA(VLOOKUP($C$3,'School Level'!$C:$CZ,40,FALSE),0)</f>
        <v>0</v>
      </c>
      <c r="J48" s="23">
        <f t="shared" si="16"/>
        <v>0</v>
      </c>
      <c r="K48" s="564"/>
      <c r="L48" s="23">
        <f>SUMIFS('2. Accruals'!$F$9:$F$76,'2. Accruals'!$A$9:$A$76,"Creditors",'2. Accruals'!$E$9:$E$76,B48)</f>
        <v>0</v>
      </c>
      <c r="M48" s="23">
        <f>-SUMIFS('2. Accruals'!$F$9:$F$76,'2. Accruals'!$A$9:$A$76,"Payment_in_advance",'2. Accruals'!$E$9:$E$76,B48)</f>
        <v>0</v>
      </c>
      <c r="N48" s="564"/>
      <c r="O48" s="23">
        <f t="shared" si="17"/>
        <v>0</v>
      </c>
      <c r="P48" s="23">
        <f t="shared" si="11"/>
        <v>0</v>
      </c>
      <c r="Q48" s="25" t="str">
        <f t="shared" si="12"/>
        <v/>
      </c>
      <c r="R48" s="144" t="str">
        <f t="shared" si="18"/>
        <v/>
      </c>
      <c r="S48" s="23">
        <f t="shared" si="13"/>
        <v>0</v>
      </c>
      <c r="T48" s="211"/>
      <c r="U48" s="716" t="str">
        <f t="shared" si="14"/>
        <v/>
      </c>
      <c r="V48" s="18"/>
      <c r="W48" s="19"/>
      <c r="X48" s="23"/>
      <c r="Y48" s="207"/>
      <c r="AB48" s="23">
        <f t="shared" si="15"/>
        <v>0</v>
      </c>
      <c r="AF48" s="211"/>
    </row>
    <row r="49" spans="1:34" ht="12" customHeight="1">
      <c r="A49" s="38" t="s">
        <v>146</v>
      </c>
      <c r="B49" s="240" t="s">
        <v>146</v>
      </c>
      <c r="C49" s="22" t="s">
        <v>147</v>
      </c>
      <c r="D49" s="42">
        <f>IFERROR(VLOOKUP($C$3,'2024-25 Outturn'!$C:$DW,42,FALSE),0)</f>
        <v>0</v>
      </c>
      <c r="E49" s="24"/>
      <c r="F49" s="24"/>
      <c r="G49" s="153">
        <f t="shared" si="10"/>
        <v>0</v>
      </c>
      <c r="H49" s="557"/>
      <c r="I49" s="794">
        <f>_xlfn.IFNA(VLOOKUP($C$3,'School Level'!$C:$CZ,41,FALSE),0)</f>
        <v>0</v>
      </c>
      <c r="J49" s="23">
        <f t="shared" si="16"/>
        <v>0</v>
      </c>
      <c r="K49" s="564"/>
      <c r="L49" s="23">
        <f>SUMIFS('2. Accruals'!$F$9:$F$76,'2. Accruals'!$A$9:$A$76,"Creditors",'2. Accruals'!$E$9:$E$76,B49)</f>
        <v>0</v>
      </c>
      <c r="M49" s="23">
        <f>-SUMIFS('2. Accruals'!$F$9:$F$76,'2. Accruals'!$A$9:$A$76,"Payment_in_advance",'2. Accruals'!$E$9:$E$76,B49)</f>
        <v>0</v>
      </c>
      <c r="N49" s="564"/>
      <c r="O49" s="23">
        <f t="shared" si="17"/>
        <v>0</v>
      </c>
      <c r="P49" s="23">
        <f t="shared" si="11"/>
        <v>0</v>
      </c>
      <c r="Q49" s="25" t="str">
        <f t="shared" si="12"/>
        <v/>
      </c>
      <c r="R49" s="144" t="str">
        <f t="shared" si="18"/>
        <v/>
      </c>
      <c r="S49" s="23">
        <f t="shared" si="13"/>
        <v>0</v>
      </c>
      <c r="T49" s="211"/>
      <c r="U49" s="716" t="str">
        <f t="shared" si="14"/>
        <v/>
      </c>
      <c r="V49" s="18"/>
      <c r="W49" s="19"/>
      <c r="X49" s="23"/>
      <c r="Y49" s="207"/>
      <c r="AB49" s="23">
        <f t="shared" si="15"/>
        <v>0</v>
      </c>
      <c r="AF49" s="211"/>
    </row>
    <row r="50" spans="1:34" ht="12" customHeight="1">
      <c r="A50" s="38" t="s">
        <v>148</v>
      </c>
      <c r="B50" s="240" t="s">
        <v>149</v>
      </c>
      <c r="C50" s="22" t="s">
        <v>150</v>
      </c>
      <c r="D50" s="42">
        <f>IFERROR(VLOOKUP($C$3,'2024-25 Outturn'!$C:$DW,43,FALSE),0)</f>
        <v>0</v>
      </c>
      <c r="E50" s="24"/>
      <c r="F50" s="24"/>
      <c r="G50" s="153">
        <f t="shared" si="10"/>
        <v>0</v>
      </c>
      <c r="H50" s="557"/>
      <c r="I50" s="794">
        <f>_xlfn.IFNA(VLOOKUP($C$3,'School Level'!$C:$CZ,42,FALSE),0)</f>
        <v>0</v>
      </c>
      <c r="J50" s="23">
        <f t="shared" si="16"/>
        <v>0</v>
      </c>
      <c r="K50" s="564"/>
      <c r="L50" s="23">
        <f>SUMIFS('2. Accruals'!$F$9:$F$76,'2. Accruals'!$A$9:$A$76,"Creditors",'2. Accruals'!$E$9:$E$76,B50)</f>
        <v>0</v>
      </c>
      <c r="M50" s="23">
        <f>-SUMIFS('2. Accruals'!$F$9:$F$76,'2. Accruals'!$A$9:$A$76,"Payment_in_advance",'2. Accruals'!$E$9:$E$76,B50)</f>
        <v>0</v>
      </c>
      <c r="N50" s="564"/>
      <c r="O50" s="23">
        <f t="shared" si="17"/>
        <v>0</v>
      </c>
      <c r="P50" s="23">
        <f t="shared" si="11"/>
        <v>0</v>
      </c>
      <c r="Q50" s="25" t="str">
        <f t="shared" si="12"/>
        <v/>
      </c>
      <c r="R50" s="144" t="str">
        <f t="shared" si="18"/>
        <v/>
      </c>
      <c r="S50" s="23">
        <f t="shared" si="13"/>
        <v>0</v>
      </c>
      <c r="T50" s="211"/>
      <c r="U50" s="716" t="str">
        <f t="shared" si="14"/>
        <v/>
      </c>
      <c r="V50" s="18"/>
      <c r="W50" s="19"/>
      <c r="X50" s="23"/>
      <c r="Y50" s="207"/>
      <c r="AB50" s="23">
        <f>P50+X50</f>
        <v>0</v>
      </c>
      <c r="AF50" s="211"/>
    </row>
    <row r="51" spans="1:34" ht="12" customHeight="1">
      <c r="A51" s="38"/>
      <c r="B51" s="240" t="s">
        <v>151</v>
      </c>
      <c r="C51" s="22" t="s">
        <v>152</v>
      </c>
      <c r="D51" s="42"/>
      <c r="E51" s="24"/>
      <c r="F51" s="24"/>
      <c r="G51" s="153">
        <f t="shared" si="10"/>
        <v>0</v>
      </c>
      <c r="H51" s="557"/>
      <c r="I51" s="794">
        <f>_xlfn.IFNA(VLOOKUP($C$3,'School Level'!$C:$CZ,43,FALSE),0)</f>
        <v>0</v>
      </c>
      <c r="J51" s="23">
        <f t="shared" si="16"/>
        <v>0</v>
      </c>
      <c r="K51" s="564"/>
      <c r="L51" s="23">
        <f>SUMIFS('2. Accruals'!$F$9:$F$76,'2. Accruals'!$A$9:$A$76,"Creditors",'2. Accruals'!$E$9:$E$76,B51)</f>
        <v>0</v>
      </c>
      <c r="M51" s="23">
        <f>-SUMIFS('2. Accruals'!$F$9:$F$76,'2. Accruals'!$A$9:$A$76,"Payment_in_advance",'2. Accruals'!$E$9:$E$76,B51)</f>
        <v>0</v>
      </c>
      <c r="N51" s="564"/>
      <c r="O51" s="23">
        <f t="shared" si="17"/>
        <v>0</v>
      </c>
      <c r="P51" s="23">
        <f t="shared" si="11"/>
        <v>0</v>
      </c>
      <c r="Q51" s="25" t="str">
        <f t="shared" si="12"/>
        <v/>
      </c>
      <c r="R51" s="144" t="str">
        <f t="shared" ref="R51:R56" si="19">IFERROR(+P51/$P$69,"")</f>
        <v/>
      </c>
      <c r="S51" s="23">
        <f t="shared" si="13"/>
        <v>0</v>
      </c>
      <c r="T51" s="211"/>
      <c r="U51" s="716" t="str">
        <f t="shared" si="14"/>
        <v/>
      </c>
      <c r="V51" s="18"/>
      <c r="W51" s="19"/>
      <c r="X51" s="23"/>
      <c r="Y51" s="207"/>
      <c r="AB51" s="23">
        <f t="shared" ref="AB51:AB57" si="20">P51+X51</f>
        <v>0</v>
      </c>
      <c r="AF51" s="211"/>
    </row>
    <row r="52" spans="1:34" ht="12" customHeight="1">
      <c r="A52" s="38"/>
      <c r="B52" s="240" t="s">
        <v>153</v>
      </c>
      <c r="C52" s="22" t="s">
        <v>154</v>
      </c>
      <c r="D52" s="42"/>
      <c r="E52" s="24"/>
      <c r="F52" s="24"/>
      <c r="G52" s="153">
        <f t="shared" si="10"/>
        <v>0</v>
      </c>
      <c r="H52" s="557"/>
      <c r="I52" s="794">
        <f>_xlfn.IFNA(VLOOKUP($C$3,'School Level'!$C:$CZ,44,FALSE),0)</f>
        <v>0</v>
      </c>
      <c r="J52" s="23">
        <f t="shared" si="16"/>
        <v>0</v>
      </c>
      <c r="K52" s="564"/>
      <c r="L52" s="23">
        <f>SUMIFS('2. Accruals'!$F$9:$F$76,'2. Accruals'!$A$9:$A$76,"Creditors",'2. Accruals'!$E$9:$E$76,B52)</f>
        <v>0</v>
      </c>
      <c r="M52" s="23">
        <f>-SUMIFS('2. Accruals'!$F$9:$F$76,'2. Accruals'!$A$9:$A$76,"Payment_in_advance",'2. Accruals'!$E$9:$E$76,B52)</f>
        <v>0</v>
      </c>
      <c r="N52" s="564"/>
      <c r="O52" s="23">
        <f t="shared" si="17"/>
        <v>0</v>
      </c>
      <c r="P52" s="23">
        <f t="shared" si="11"/>
        <v>0</v>
      </c>
      <c r="Q52" s="25" t="str">
        <f t="shared" si="12"/>
        <v/>
      </c>
      <c r="R52" s="144" t="str">
        <f t="shared" si="19"/>
        <v/>
      </c>
      <c r="S52" s="23">
        <f t="shared" si="13"/>
        <v>0</v>
      </c>
      <c r="T52" s="211"/>
      <c r="U52" s="716" t="str">
        <f t="shared" si="14"/>
        <v/>
      </c>
      <c r="V52" s="18"/>
      <c r="W52" s="19"/>
      <c r="X52" s="23"/>
      <c r="Y52" s="207"/>
      <c r="AB52" s="23">
        <f t="shared" si="20"/>
        <v>0</v>
      </c>
      <c r="AF52" s="211"/>
    </row>
    <row r="53" spans="1:34" ht="12" customHeight="1">
      <c r="A53" s="38"/>
      <c r="B53" s="240" t="s">
        <v>155</v>
      </c>
      <c r="C53" s="22" t="s">
        <v>156</v>
      </c>
      <c r="D53" s="42"/>
      <c r="E53" s="24"/>
      <c r="F53" s="24"/>
      <c r="G53" s="153">
        <f t="shared" si="10"/>
        <v>0</v>
      </c>
      <c r="H53" s="557"/>
      <c r="I53" s="794">
        <f>_xlfn.IFNA(VLOOKUP($C$3,'School Level'!$C:$CZ,45,FALSE),0)</f>
        <v>0</v>
      </c>
      <c r="J53" s="23">
        <f t="shared" si="16"/>
        <v>0</v>
      </c>
      <c r="K53" s="564"/>
      <c r="L53" s="23">
        <f>SUMIFS('2. Accruals'!$F$9:$F$76,'2. Accruals'!$A$9:$A$76,"Creditors",'2. Accruals'!$E$9:$E$76,B53)</f>
        <v>0</v>
      </c>
      <c r="M53" s="23">
        <f>-SUMIFS('2. Accruals'!$F$9:$F$76,'2. Accruals'!$A$9:$A$76,"Payment_in_advance",'2. Accruals'!$E$9:$E$76,B53)</f>
        <v>0</v>
      </c>
      <c r="N53" s="564"/>
      <c r="O53" s="23">
        <f t="shared" si="17"/>
        <v>0</v>
      </c>
      <c r="P53" s="23">
        <f t="shared" si="11"/>
        <v>0</v>
      </c>
      <c r="Q53" s="25" t="str">
        <f t="shared" si="12"/>
        <v/>
      </c>
      <c r="R53" s="144" t="str">
        <f t="shared" si="19"/>
        <v/>
      </c>
      <c r="S53" s="23">
        <f t="shared" si="13"/>
        <v>0</v>
      </c>
      <c r="T53" s="211"/>
      <c r="U53" s="716" t="str">
        <f t="shared" si="14"/>
        <v/>
      </c>
      <c r="V53" s="18"/>
      <c r="W53" s="19"/>
      <c r="X53" s="23"/>
      <c r="Y53" s="207"/>
      <c r="AB53" s="23">
        <f t="shared" si="20"/>
        <v>0</v>
      </c>
      <c r="AF53" s="211"/>
    </row>
    <row r="54" spans="1:34" ht="12" customHeight="1">
      <c r="A54" s="38"/>
      <c r="B54" s="240" t="s">
        <v>157</v>
      </c>
      <c r="C54" s="22" t="s">
        <v>158</v>
      </c>
      <c r="D54" s="42"/>
      <c r="E54" s="24"/>
      <c r="F54" s="24"/>
      <c r="G54" s="153">
        <f t="shared" si="10"/>
        <v>0</v>
      </c>
      <c r="H54" s="557"/>
      <c r="I54" s="794">
        <f>_xlfn.IFNA(VLOOKUP($C$3,'School Level'!$C:$CZ,46,FALSE),0)</f>
        <v>0</v>
      </c>
      <c r="J54" s="23">
        <f t="shared" si="16"/>
        <v>0</v>
      </c>
      <c r="K54" s="564"/>
      <c r="L54" s="23">
        <f>SUMIFS('2. Accruals'!$F$9:$F$76,'2. Accruals'!$A$9:$A$76,"Creditors",'2. Accruals'!$E$9:$E$76,B54)</f>
        <v>0</v>
      </c>
      <c r="M54" s="23">
        <f>-SUMIFS('2. Accruals'!$F$9:$F$76,'2. Accruals'!$A$9:$A$76,"Payment_in_advance",'2. Accruals'!$E$9:$E$76,B54)</f>
        <v>0</v>
      </c>
      <c r="N54" s="564"/>
      <c r="O54" s="23">
        <f t="shared" si="17"/>
        <v>0</v>
      </c>
      <c r="P54" s="23">
        <f t="shared" si="11"/>
        <v>0</v>
      </c>
      <c r="Q54" s="25" t="str">
        <f t="shared" si="12"/>
        <v/>
      </c>
      <c r="R54" s="144" t="str">
        <f t="shared" si="19"/>
        <v/>
      </c>
      <c r="S54" s="23">
        <f t="shared" si="13"/>
        <v>0</v>
      </c>
      <c r="T54" s="211"/>
      <c r="U54" s="716" t="str">
        <f t="shared" si="14"/>
        <v/>
      </c>
      <c r="V54" s="18"/>
      <c r="W54" s="19"/>
      <c r="X54" s="23"/>
      <c r="Y54" s="207"/>
      <c r="AB54" s="23">
        <f t="shared" si="20"/>
        <v>0</v>
      </c>
      <c r="AF54" s="211"/>
    </row>
    <row r="55" spans="1:34" ht="12" customHeight="1">
      <c r="A55" s="38"/>
      <c r="B55" s="240" t="s">
        <v>159</v>
      </c>
      <c r="C55" s="22" t="s">
        <v>160</v>
      </c>
      <c r="D55" s="42"/>
      <c r="E55" s="24"/>
      <c r="F55" s="24"/>
      <c r="G55" s="153">
        <f t="shared" si="10"/>
        <v>0</v>
      </c>
      <c r="H55" s="557"/>
      <c r="I55" s="794">
        <f>_xlfn.IFNA(VLOOKUP($C$3,'School Level'!$C:$CZ,47,FALSE),0)</f>
        <v>0</v>
      </c>
      <c r="J55" s="23">
        <f t="shared" si="16"/>
        <v>0</v>
      </c>
      <c r="K55" s="564"/>
      <c r="L55" s="23">
        <f>SUMIFS('2. Accruals'!$F$9:$F$76,'2. Accruals'!$A$9:$A$76,"Creditors",'2. Accruals'!$E$9:$E$76,B55)</f>
        <v>0</v>
      </c>
      <c r="M55" s="23">
        <f>-SUMIFS('2. Accruals'!$F$9:$F$76,'2. Accruals'!$A$9:$A$76,"Payment_in_advance",'2. Accruals'!$E$9:$E$76,B55)</f>
        <v>0</v>
      </c>
      <c r="N55" s="564"/>
      <c r="O55" s="23">
        <f t="shared" si="17"/>
        <v>0</v>
      </c>
      <c r="P55" s="23">
        <f t="shared" si="11"/>
        <v>0</v>
      </c>
      <c r="Q55" s="25" t="str">
        <f t="shared" si="12"/>
        <v/>
      </c>
      <c r="R55" s="144" t="str">
        <f t="shared" si="19"/>
        <v/>
      </c>
      <c r="S55" s="23">
        <f t="shared" si="13"/>
        <v>0</v>
      </c>
      <c r="T55" s="211"/>
      <c r="U55" s="716" t="str">
        <f t="shared" si="14"/>
        <v/>
      </c>
      <c r="V55" s="18"/>
      <c r="W55" s="19"/>
      <c r="X55" s="23"/>
      <c r="Y55" s="207"/>
      <c r="AB55" s="23">
        <f t="shared" si="20"/>
        <v>0</v>
      </c>
      <c r="AF55" s="211"/>
    </row>
    <row r="56" spans="1:34" ht="12" customHeight="1">
      <c r="A56" s="38"/>
      <c r="B56" s="240" t="s">
        <v>161</v>
      </c>
      <c r="C56" s="22" t="s">
        <v>162</v>
      </c>
      <c r="D56" s="42"/>
      <c r="E56" s="24"/>
      <c r="F56" s="24"/>
      <c r="G56" s="153">
        <f t="shared" si="10"/>
        <v>0</v>
      </c>
      <c r="H56" s="557"/>
      <c r="I56" s="794">
        <f>_xlfn.IFNA(VLOOKUP($C$3,'School Level'!$C:$CZ,48,FALSE),0)</f>
        <v>0</v>
      </c>
      <c r="J56" s="23">
        <f t="shared" si="16"/>
        <v>0</v>
      </c>
      <c r="K56" s="564"/>
      <c r="L56" s="23">
        <f>SUMIFS('2. Accruals'!$F$9:$F$76,'2. Accruals'!$A$9:$A$76,"Creditors",'2. Accruals'!$E$9:$E$76,B56)</f>
        <v>0</v>
      </c>
      <c r="M56" s="23">
        <f>-SUMIFS('2. Accruals'!$F$9:$F$76,'2. Accruals'!$A$9:$A$76,"Payment_in_advance",'2. Accruals'!$E$9:$E$76,B56)</f>
        <v>0</v>
      </c>
      <c r="N56" s="564"/>
      <c r="O56" s="23">
        <f t="shared" si="17"/>
        <v>0</v>
      </c>
      <c r="P56" s="23">
        <f t="shared" si="11"/>
        <v>0</v>
      </c>
      <c r="Q56" s="25" t="str">
        <f t="shared" si="12"/>
        <v/>
      </c>
      <c r="R56" s="144" t="str">
        <f t="shared" si="19"/>
        <v/>
      </c>
      <c r="S56" s="23">
        <f t="shared" si="13"/>
        <v>0</v>
      </c>
      <c r="T56" s="211"/>
      <c r="U56" s="716" t="str">
        <f t="shared" si="14"/>
        <v/>
      </c>
      <c r="V56" s="18"/>
      <c r="W56" s="19"/>
      <c r="X56" s="23"/>
      <c r="Y56" s="207"/>
      <c r="AB56" s="23">
        <f t="shared" si="20"/>
        <v>0</v>
      </c>
      <c r="AF56" s="211"/>
    </row>
    <row r="57" spans="1:34" ht="12" customHeight="1">
      <c r="A57" s="38" t="s">
        <v>163</v>
      </c>
      <c r="B57" s="240" t="s">
        <v>163</v>
      </c>
      <c r="C57" s="22" t="s">
        <v>164</v>
      </c>
      <c r="D57" s="42">
        <f>IFERROR(VLOOKUP($C$3,'2024-25 Outturn'!$C:$DW,44,FALSE),0)</f>
        <v>0</v>
      </c>
      <c r="E57" s="24"/>
      <c r="F57" s="24"/>
      <c r="G57" s="153">
        <f t="shared" si="10"/>
        <v>0</v>
      </c>
      <c r="H57" s="557"/>
      <c r="I57" s="794">
        <f>_xlfn.IFNA(VLOOKUP($C$3,'School Level'!$C:$CZ,49,FALSE),0)</f>
        <v>0</v>
      </c>
      <c r="J57" s="23">
        <f t="shared" si="16"/>
        <v>0</v>
      </c>
      <c r="K57" s="564"/>
      <c r="L57" s="23">
        <f>SUMIFS('2. Accruals'!$F$9:$F$76,'2. Accruals'!$A$9:$A$76,"Creditors",'2. Accruals'!$E$9:$E$76,B57)</f>
        <v>0</v>
      </c>
      <c r="M57" s="23">
        <f>-SUMIFS('2. Accruals'!$F$9:$F$76,'2. Accruals'!$A$9:$A$76,"Payment_in_advance",'2. Accruals'!$E$9:$E$76,B57)</f>
        <v>0</v>
      </c>
      <c r="N57" s="564"/>
      <c r="O57" s="23">
        <f t="shared" si="17"/>
        <v>0</v>
      </c>
      <c r="P57" s="23">
        <f t="shared" si="11"/>
        <v>0</v>
      </c>
      <c r="Q57" s="25" t="str">
        <f t="shared" si="12"/>
        <v/>
      </c>
      <c r="R57" s="144" t="str">
        <f t="shared" ref="R57:R67" si="21">IFERROR(+P57/$P$69,"")</f>
        <v/>
      </c>
      <c r="S57" s="23">
        <f t="shared" si="13"/>
        <v>0</v>
      </c>
      <c r="T57" s="211"/>
      <c r="U57" s="716" t="str">
        <f t="shared" si="14"/>
        <v/>
      </c>
      <c r="V57" s="18"/>
      <c r="W57" s="19"/>
      <c r="X57" s="23"/>
      <c r="Y57" s="207"/>
      <c r="AB57" s="23">
        <f t="shared" si="20"/>
        <v>0</v>
      </c>
      <c r="AF57" s="211"/>
    </row>
    <row r="58" spans="1:34" ht="12" customHeight="1">
      <c r="A58" s="38" t="s">
        <v>165</v>
      </c>
      <c r="B58" s="240" t="s">
        <v>165</v>
      </c>
      <c r="C58" s="22" t="s">
        <v>166</v>
      </c>
      <c r="D58" s="42">
        <f>IFERROR(VLOOKUP($C$3,'2024-25 Outturn'!$C:$DW,45,FALSE),0)</f>
        <v>0</v>
      </c>
      <c r="E58" s="24"/>
      <c r="F58" s="24"/>
      <c r="G58" s="153">
        <f t="shared" si="10"/>
        <v>0</v>
      </c>
      <c r="H58" s="557">
        <f>-_xlfn.IFNA(VLOOKUP('CFR Return'!$C$3,Payments!$A:$T,16,FALSE),0)</f>
        <v>0</v>
      </c>
      <c r="I58" s="794">
        <f>_xlfn.IFNA(VLOOKUP($C$3,'School Level'!$C:$CZ,50,FALSE),0)</f>
        <v>0</v>
      </c>
      <c r="J58" s="23">
        <f t="shared" si="16"/>
        <v>0</v>
      </c>
      <c r="K58" s="564"/>
      <c r="L58" s="23">
        <f>SUMIFS('2. Accruals'!$F$9:$F$76,'2. Accruals'!$A$9:$A$76,"Creditors",'2. Accruals'!$E$9:$E$76,B58)</f>
        <v>0</v>
      </c>
      <c r="M58" s="23">
        <f>-SUMIFS('2. Accruals'!$F$9:$F$76,'2. Accruals'!$A$9:$A$76,"Payment_in_advance",'2. Accruals'!$E$9:$E$76,B58)</f>
        <v>0</v>
      </c>
      <c r="N58" s="564"/>
      <c r="O58" s="23">
        <f t="shared" si="17"/>
        <v>0</v>
      </c>
      <c r="P58" s="23">
        <f t="shared" si="11"/>
        <v>0</v>
      </c>
      <c r="Q58" s="25" t="str">
        <f t="shared" si="12"/>
        <v/>
      </c>
      <c r="R58" s="144" t="str">
        <f t="shared" si="21"/>
        <v/>
      </c>
      <c r="S58" s="23">
        <f t="shared" si="13"/>
        <v>0</v>
      </c>
      <c r="T58" s="211"/>
      <c r="U58" s="716" t="str">
        <f t="shared" si="14"/>
        <v/>
      </c>
      <c r="V58" s="18"/>
      <c r="W58" s="19"/>
      <c r="X58" s="23"/>
      <c r="Y58" s="207"/>
      <c r="AB58" s="23">
        <f t="shared" si="15"/>
        <v>0</v>
      </c>
      <c r="AF58" s="211"/>
    </row>
    <row r="59" spans="1:34" ht="12" customHeight="1">
      <c r="A59" s="38" t="s">
        <v>167</v>
      </c>
      <c r="B59" s="240" t="s">
        <v>167</v>
      </c>
      <c r="C59" s="22" t="s">
        <v>168</v>
      </c>
      <c r="D59" s="42">
        <f>IFERROR(VLOOKUP($C$3,'2024-25 Outturn'!$C:$DW,46,FALSE),0)</f>
        <v>0</v>
      </c>
      <c r="E59" s="24"/>
      <c r="F59" s="24"/>
      <c r="G59" s="153">
        <f t="shared" si="10"/>
        <v>0</v>
      </c>
      <c r="H59" s="557">
        <f>-_xlfn.IFNA(VLOOKUP('CFR Return'!$C$3,Payments!$A:$T,17,FALSE),0)</f>
        <v>0</v>
      </c>
      <c r="I59" s="794">
        <f>_xlfn.IFNA(VLOOKUP($C$3,'School Level'!$C:$CZ,51,FALSE),0)</f>
        <v>0</v>
      </c>
      <c r="J59" s="23">
        <f t="shared" si="16"/>
        <v>0</v>
      </c>
      <c r="K59" s="564"/>
      <c r="L59" s="23">
        <f>SUMIFS('2. Accruals'!$F$9:$F$76,'2. Accruals'!$A$9:$A$76,"Creditors",'2. Accruals'!$E$9:$E$76,B59)</f>
        <v>0</v>
      </c>
      <c r="M59" s="23">
        <f>-SUMIFS('2. Accruals'!$F$9:$F$76,'2. Accruals'!$A$9:$A$76,"Payment_in_advance",'2. Accruals'!$E$9:$E$76,B59)</f>
        <v>0</v>
      </c>
      <c r="N59" s="564"/>
      <c r="O59" s="23">
        <f t="shared" si="17"/>
        <v>0</v>
      </c>
      <c r="P59" s="23">
        <f t="shared" si="11"/>
        <v>0</v>
      </c>
      <c r="Q59" s="25" t="str">
        <f t="shared" si="12"/>
        <v/>
      </c>
      <c r="R59" s="144" t="str">
        <f t="shared" si="21"/>
        <v/>
      </c>
      <c r="S59" s="23">
        <f t="shared" si="13"/>
        <v>0</v>
      </c>
      <c r="T59" s="211"/>
      <c r="U59" s="716" t="str">
        <f t="shared" si="14"/>
        <v/>
      </c>
      <c r="V59" s="18"/>
      <c r="W59" s="19"/>
      <c r="X59" s="23"/>
      <c r="Y59" s="207"/>
      <c r="AB59" s="23">
        <f t="shared" si="15"/>
        <v>0</v>
      </c>
      <c r="AF59" s="211"/>
    </row>
    <row r="60" spans="1:34" ht="12" customHeight="1">
      <c r="A60" s="38" t="s">
        <v>169</v>
      </c>
      <c r="B60" s="240" t="s">
        <v>169</v>
      </c>
      <c r="C60" s="22" t="s">
        <v>170</v>
      </c>
      <c r="D60" s="42">
        <f>IFERROR(VLOOKUP($C$3,'2024-25 Outturn'!$C:$DW,47,FALSE),0)</f>
        <v>0</v>
      </c>
      <c r="E60" s="24"/>
      <c r="F60" s="24"/>
      <c r="G60" s="153">
        <f t="shared" si="10"/>
        <v>0</v>
      </c>
      <c r="H60" s="557"/>
      <c r="I60" s="794">
        <f>_xlfn.IFNA(VLOOKUP($C$3,'School Level'!$C:$CZ,52,FALSE),0)</f>
        <v>0</v>
      </c>
      <c r="J60" s="23">
        <f t="shared" si="16"/>
        <v>0</v>
      </c>
      <c r="K60" s="564"/>
      <c r="L60" s="23">
        <f>SUMIFS('2. Accruals'!$F$9:$F$76,'2. Accruals'!$A$9:$A$76,"Creditors",'2. Accruals'!$E$9:$E$76,B60)</f>
        <v>0</v>
      </c>
      <c r="M60" s="23">
        <f>-SUMIFS('2. Accruals'!$F$9:$F$76,'2. Accruals'!$A$9:$A$76,"Payment_in_advance",'2. Accruals'!$E$9:$E$76,B60)</f>
        <v>0</v>
      </c>
      <c r="N60" s="564"/>
      <c r="O60" s="23">
        <f t="shared" si="17"/>
        <v>0</v>
      </c>
      <c r="P60" s="23">
        <f t="shared" si="11"/>
        <v>0</v>
      </c>
      <c r="Q60" s="25" t="str">
        <f t="shared" si="12"/>
        <v/>
      </c>
      <c r="R60" s="144" t="str">
        <f t="shared" si="21"/>
        <v/>
      </c>
      <c r="S60" s="23">
        <f t="shared" si="13"/>
        <v>0</v>
      </c>
      <c r="T60" s="211"/>
      <c r="U60" s="716" t="str">
        <f t="shared" si="14"/>
        <v/>
      </c>
      <c r="V60" s="18"/>
      <c r="W60" s="19"/>
      <c r="X60" s="23"/>
      <c r="Y60" s="207"/>
      <c r="AB60" s="23">
        <f t="shared" si="15"/>
        <v>0</v>
      </c>
      <c r="AF60" s="211"/>
    </row>
    <row r="61" spans="1:34" ht="12" customHeight="1">
      <c r="A61" s="38" t="s">
        <v>171</v>
      </c>
      <c r="B61" s="240" t="s">
        <v>171</v>
      </c>
      <c r="C61" s="22" t="s">
        <v>172</v>
      </c>
      <c r="D61" s="42">
        <f>IFERROR(VLOOKUP($C$3,'2024-25 Outturn'!$C:$DW,48,FALSE),0)</f>
        <v>0</v>
      </c>
      <c r="E61" s="24"/>
      <c r="F61" s="24"/>
      <c r="G61" s="153">
        <f t="shared" si="10"/>
        <v>0</v>
      </c>
      <c r="H61" s="557"/>
      <c r="I61" s="794">
        <f>_xlfn.IFNA(VLOOKUP($C$3,'School Level'!$C:$CZ,53,FALSE),0)</f>
        <v>0</v>
      </c>
      <c r="J61" s="23">
        <f t="shared" si="16"/>
        <v>0</v>
      </c>
      <c r="K61" s="564"/>
      <c r="L61" s="23">
        <f>SUMIFS('2. Accruals'!$F$9:$F$76,'2. Accruals'!$A$9:$A$76,"Creditors",'2. Accruals'!$E$9:$E$76,B61)</f>
        <v>0</v>
      </c>
      <c r="M61" s="23">
        <f>-SUMIFS('2. Accruals'!$F$9:$F$76,'2. Accruals'!$A$9:$A$76,"Payment_in_advance",'2. Accruals'!$E$9:$E$76,B61)</f>
        <v>0</v>
      </c>
      <c r="N61" s="564"/>
      <c r="O61" s="23">
        <f t="shared" si="17"/>
        <v>0</v>
      </c>
      <c r="P61" s="23">
        <f t="shared" si="11"/>
        <v>0</v>
      </c>
      <c r="Q61" s="25" t="str">
        <f t="shared" si="12"/>
        <v/>
      </c>
      <c r="R61" s="144" t="str">
        <f t="shared" si="21"/>
        <v/>
      </c>
      <c r="S61" s="23">
        <f t="shared" si="13"/>
        <v>0</v>
      </c>
      <c r="T61" s="211"/>
      <c r="U61" s="716" t="str">
        <f t="shared" si="14"/>
        <v/>
      </c>
      <c r="V61" s="18"/>
      <c r="W61" s="19"/>
      <c r="X61" s="23"/>
      <c r="Y61" s="207"/>
      <c r="AB61" s="23">
        <f t="shared" si="15"/>
        <v>0</v>
      </c>
      <c r="AF61" s="211"/>
    </row>
    <row r="62" spans="1:34" ht="12" customHeight="1">
      <c r="A62" s="38" t="s">
        <v>173</v>
      </c>
      <c r="B62" s="240" t="s">
        <v>173</v>
      </c>
      <c r="C62" s="22" t="s">
        <v>174</v>
      </c>
      <c r="D62" s="42">
        <f>IFERROR(VLOOKUP($C$3,'2024-25 Outturn'!$C:$DW,49,FALSE),0)</f>
        <v>0</v>
      </c>
      <c r="E62" s="24"/>
      <c r="F62" s="24"/>
      <c r="G62" s="153">
        <f t="shared" si="10"/>
        <v>0</v>
      </c>
      <c r="H62" s="557"/>
      <c r="I62" s="794">
        <f>_xlfn.IFNA(VLOOKUP($C$3,'School Level'!$C:$CZ,54,FALSE),0)</f>
        <v>0</v>
      </c>
      <c r="J62" s="23">
        <f t="shared" si="16"/>
        <v>0</v>
      </c>
      <c r="K62" s="564"/>
      <c r="L62" s="23">
        <f>SUMIFS('2. Accruals'!$F$9:$F$76,'2. Accruals'!$A$9:$A$76,"Creditors",'2. Accruals'!$E$9:$E$76,B62)</f>
        <v>0</v>
      </c>
      <c r="M62" s="23">
        <f>-SUMIFS('2. Accruals'!$F$9:$F$76,'2. Accruals'!$A$9:$A$76,"Payment_in_advance",'2. Accruals'!$E$9:$E$76,B62)</f>
        <v>0</v>
      </c>
      <c r="N62" s="564"/>
      <c r="O62" s="23">
        <f t="shared" si="17"/>
        <v>0</v>
      </c>
      <c r="P62" s="23">
        <f t="shared" si="11"/>
        <v>0</v>
      </c>
      <c r="Q62" s="25" t="str">
        <f t="shared" si="12"/>
        <v/>
      </c>
      <c r="R62" s="144" t="str">
        <f t="shared" si="21"/>
        <v/>
      </c>
      <c r="S62" s="23">
        <f t="shared" si="13"/>
        <v>0</v>
      </c>
      <c r="T62" s="211"/>
      <c r="U62" s="716" t="str">
        <f t="shared" si="14"/>
        <v/>
      </c>
      <c r="V62" s="18"/>
      <c r="W62" s="19"/>
      <c r="X62" s="23"/>
      <c r="Y62" s="207"/>
      <c r="AB62" s="23">
        <f t="shared" si="15"/>
        <v>0</v>
      </c>
      <c r="AF62" s="211"/>
    </row>
    <row r="63" spans="1:34" ht="12" customHeight="1">
      <c r="A63" s="38" t="s">
        <v>175</v>
      </c>
      <c r="B63" s="240" t="s">
        <v>175</v>
      </c>
      <c r="C63" s="22" t="s">
        <v>176</v>
      </c>
      <c r="D63" s="42">
        <f>IFERROR(VLOOKUP($C$3,'2024-25 Outturn'!$C:$DW,50,FALSE),0)</f>
        <v>0</v>
      </c>
      <c r="E63" s="24"/>
      <c r="F63" s="24"/>
      <c r="G63" s="153">
        <f t="shared" si="10"/>
        <v>0</v>
      </c>
      <c r="H63" s="557">
        <f>-_xlfn.IFNA(VLOOKUP('CFR Return'!$C$3,Payments!$A:$T,18,FALSE),0)</f>
        <v>0</v>
      </c>
      <c r="I63" s="794">
        <f>_xlfn.IFNA(VLOOKUP($C$3,'School Level'!$C:$CZ,55,FALSE),0)</f>
        <v>0</v>
      </c>
      <c r="J63" s="23">
        <f t="shared" si="16"/>
        <v>0</v>
      </c>
      <c r="K63" s="564"/>
      <c r="L63" s="23">
        <f>SUMIFS('2. Accruals'!$F$9:$F$76,'2. Accruals'!$A$9:$A$76,"Creditors",'2. Accruals'!$E$9:$E$76,B63)</f>
        <v>0</v>
      </c>
      <c r="M63" s="23">
        <f>-SUMIFS('2. Accruals'!$F$9:$F$76,'2. Accruals'!$A$9:$A$76,"Payment_in_advance",'2. Accruals'!$E$9:$E$76,B63)</f>
        <v>0</v>
      </c>
      <c r="N63" s="564"/>
      <c r="O63" s="23">
        <f t="shared" si="17"/>
        <v>0</v>
      </c>
      <c r="P63" s="23">
        <f t="shared" si="11"/>
        <v>0</v>
      </c>
      <c r="Q63" s="25" t="str">
        <f t="shared" si="12"/>
        <v/>
      </c>
      <c r="R63" s="144" t="str">
        <f t="shared" si="21"/>
        <v/>
      </c>
      <c r="S63" s="23">
        <f t="shared" si="13"/>
        <v>0</v>
      </c>
      <c r="T63" s="211"/>
      <c r="U63" s="716" t="str">
        <f t="shared" si="14"/>
        <v/>
      </c>
      <c r="V63" s="18"/>
      <c r="W63" s="19"/>
      <c r="X63" s="23"/>
      <c r="Y63" s="207"/>
      <c r="AB63" s="23">
        <f t="shared" si="15"/>
        <v>0</v>
      </c>
      <c r="AF63" s="211"/>
      <c r="AH63" s="245"/>
    </row>
    <row r="64" spans="1:34" ht="12" customHeight="1">
      <c r="A64" s="38" t="s">
        <v>177</v>
      </c>
      <c r="B64" s="240" t="s">
        <v>178</v>
      </c>
      <c r="C64" s="22" t="s">
        <v>179</v>
      </c>
      <c r="D64" s="42">
        <f>IFERROR(VLOOKUP($C$3,'2024-25 Outturn'!$C:$DW,51,FALSE),0)</f>
        <v>0</v>
      </c>
      <c r="E64" s="24"/>
      <c r="F64" s="24"/>
      <c r="G64" s="153">
        <f t="shared" si="10"/>
        <v>0</v>
      </c>
      <c r="H64" s="557"/>
      <c r="I64" s="794">
        <f>_xlfn.IFNA(VLOOKUP($C$3,'School Level'!$C:$CZ,56,FALSE),0)</f>
        <v>0</v>
      </c>
      <c r="J64" s="23">
        <f t="shared" si="16"/>
        <v>0</v>
      </c>
      <c r="K64" s="564"/>
      <c r="L64" s="23">
        <f>SUMIFS('2. Accruals'!$F$9:$F$76,'2. Accruals'!$A$9:$A$76,"Creditors",'2. Accruals'!$E$9:$E$76,B64)</f>
        <v>0</v>
      </c>
      <c r="M64" s="23">
        <f>-SUMIFS('2. Accruals'!$F$9:$F$76,'2. Accruals'!$A$9:$A$76,"Payment_in_advance",'2. Accruals'!$E$9:$E$76,B64)</f>
        <v>0</v>
      </c>
      <c r="N64" s="564"/>
      <c r="O64" s="23">
        <f t="shared" si="17"/>
        <v>0</v>
      </c>
      <c r="P64" s="23">
        <f t="shared" si="11"/>
        <v>0</v>
      </c>
      <c r="Q64" s="25" t="str">
        <f t="shared" si="12"/>
        <v/>
      </c>
      <c r="R64" s="144" t="str">
        <f t="shared" si="21"/>
        <v/>
      </c>
      <c r="S64" s="23">
        <f t="shared" si="13"/>
        <v>0</v>
      </c>
      <c r="T64" s="211"/>
      <c r="U64" s="716" t="str">
        <f t="shared" si="14"/>
        <v/>
      </c>
      <c r="V64" s="18"/>
      <c r="W64" s="19"/>
      <c r="X64" s="23"/>
      <c r="Y64" s="207"/>
      <c r="AB64" s="23">
        <f t="shared" si="15"/>
        <v>0</v>
      </c>
      <c r="AF64" s="211"/>
    </row>
    <row r="65" spans="1:32" ht="12" customHeight="1">
      <c r="A65" s="38" t="s">
        <v>177</v>
      </c>
      <c r="B65" s="240" t="s">
        <v>180</v>
      </c>
      <c r="C65" s="22" t="s">
        <v>181</v>
      </c>
      <c r="D65" s="42">
        <f>IFERROR(VLOOKUP($C$3,'2024-25 Outturn'!$C:$DW,52,FALSE),0)</f>
        <v>0</v>
      </c>
      <c r="E65" s="24"/>
      <c r="F65" s="24"/>
      <c r="G65" s="153">
        <f t="shared" si="10"/>
        <v>0</v>
      </c>
      <c r="H65" s="557"/>
      <c r="I65" s="794">
        <f>_xlfn.IFNA(VLOOKUP($C$3,'School Level'!$C:$CZ,57,FALSE),0)</f>
        <v>0</v>
      </c>
      <c r="J65" s="23">
        <f t="shared" si="16"/>
        <v>0</v>
      </c>
      <c r="K65" s="564"/>
      <c r="L65" s="23">
        <f>SUMIFS('2. Accruals'!$F$9:$F$76,'2. Accruals'!$A$9:$A$76,"Creditors",'2. Accruals'!$E$9:$E$76,B65)</f>
        <v>0</v>
      </c>
      <c r="M65" s="23">
        <f>-SUMIFS('2. Accruals'!$F$9:$F$76,'2. Accruals'!$A$9:$A$76,"Payment_in_advance",'2. Accruals'!$E$9:$E$76,B65)</f>
        <v>0</v>
      </c>
      <c r="N65" s="564"/>
      <c r="O65" s="23">
        <f t="shared" si="17"/>
        <v>0</v>
      </c>
      <c r="P65" s="23">
        <f t="shared" si="11"/>
        <v>0</v>
      </c>
      <c r="Q65" s="25" t="str">
        <f t="shared" si="12"/>
        <v/>
      </c>
      <c r="R65" s="144" t="str">
        <f t="shared" si="21"/>
        <v/>
      </c>
      <c r="S65" s="23">
        <f t="shared" si="13"/>
        <v>0</v>
      </c>
      <c r="T65" s="211"/>
      <c r="U65" s="716" t="str">
        <f t="shared" si="14"/>
        <v/>
      </c>
      <c r="V65" s="18"/>
      <c r="W65" s="19"/>
      <c r="X65" s="23"/>
      <c r="Y65" s="207"/>
      <c r="AB65" s="23">
        <f t="shared" si="15"/>
        <v>0</v>
      </c>
      <c r="AF65" s="211"/>
    </row>
    <row r="66" spans="1:32" ht="12" customHeight="1">
      <c r="A66" s="38" t="s">
        <v>182</v>
      </c>
      <c r="B66" s="240" t="s">
        <v>182</v>
      </c>
      <c r="C66" s="22" t="s">
        <v>183</v>
      </c>
      <c r="D66" s="42">
        <f>IFERROR(VLOOKUP($C$3,'2024-25 Outturn'!$C:$DW,53,FALSE),0)</f>
        <v>0</v>
      </c>
      <c r="E66" s="24"/>
      <c r="F66" s="24"/>
      <c r="G66" s="153">
        <f t="shared" si="10"/>
        <v>0</v>
      </c>
      <c r="H66" s="557"/>
      <c r="I66" s="794">
        <f>_xlfn.IFNA(VLOOKUP($C$3,'School Level'!$C:$CZ,58,FALSE),0)</f>
        <v>0</v>
      </c>
      <c r="J66" s="23">
        <f t="shared" si="16"/>
        <v>0</v>
      </c>
      <c r="K66" s="564"/>
      <c r="L66" s="23">
        <f>SUMIFS('2. Accruals'!$F$9:$F$76,'2. Accruals'!$A$9:$A$76,"Creditors",'2. Accruals'!$E$9:$E$76,B66)</f>
        <v>0</v>
      </c>
      <c r="M66" s="23">
        <f>-SUMIFS('2. Accruals'!$F$9:$F$76,'2. Accruals'!$A$9:$A$76,"Payment_in_advance",'2. Accruals'!$E$9:$E$76,B66)</f>
        <v>0</v>
      </c>
      <c r="N66" s="564"/>
      <c r="O66" s="23">
        <f t="shared" si="17"/>
        <v>0</v>
      </c>
      <c r="P66" s="23">
        <f t="shared" si="11"/>
        <v>0</v>
      </c>
      <c r="Q66" s="25" t="str">
        <f t="shared" si="12"/>
        <v/>
      </c>
      <c r="R66" s="144" t="str">
        <f t="shared" si="21"/>
        <v/>
      </c>
      <c r="S66" s="23">
        <f t="shared" si="13"/>
        <v>0</v>
      </c>
      <c r="T66" s="211"/>
      <c r="U66" s="716" t="str">
        <f t="shared" si="14"/>
        <v/>
      </c>
      <c r="V66" s="18"/>
      <c r="W66" s="19"/>
      <c r="X66" s="23"/>
      <c r="Y66" s="207"/>
      <c r="AB66" s="23">
        <f t="shared" si="15"/>
        <v>0</v>
      </c>
      <c r="AF66" s="211"/>
    </row>
    <row r="67" spans="1:32" ht="12" customHeight="1">
      <c r="A67" s="38" t="s">
        <v>184</v>
      </c>
      <c r="B67" s="240" t="s">
        <v>184</v>
      </c>
      <c r="C67" s="22" t="s">
        <v>185</v>
      </c>
      <c r="D67" s="42">
        <f>IFERROR(VLOOKUP($C$3,'2024-25 Outturn'!$C:$DW,54,FALSE),0)</f>
        <v>0</v>
      </c>
      <c r="E67" s="24"/>
      <c r="F67" s="24"/>
      <c r="G67" s="153">
        <f t="shared" si="10"/>
        <v>0</v>
      </c>
      <c r="H67" s="557"/>
      <c r="I67" s="794">
        <f>_xlfn.IFNA(VLOOKUP($C$3,'School Level'!$C:$CZ,59,FALSE),0)</f>
        <v>0</v>
      </c>
      <c r="J67" s="23">
        <f t="shared" si="16"/>
        <v>0</v>
      </c>
      <c r="K67" s="564"/>
      <c r="L67" s="23">
        <f>SUMIFS('2. Accruals'!$F$9:$F$76,'2. Accruals'!$A$9:$A$76,"Creditors",'2. Accruals'!$E$9:$E$76,B67)</f>
        <v>0</v>
      </c>
      <c r="M67" s="23">
        <f>-SUMIFS('2. Accruals'!$F$9:$F$76,'2. Accruals'!$A$9:$A$76,"Payment_in_advance",'2. Accruals'!$E$9:$E$76,B67)</f>
        <v>0</v>
      </c>
      <c r="N67" s="564"/>
      <c r="O67" s="23">
        <f t="shared" si="17"/>
        <v>0</v>
      </c>
      <c r="P67" s="23">
        <f t="shared" si="11"/>
        <v>0</v>
      </c>
      <c r="Q67" s="25" t="str">
        <f t="shared" si="12"/>
        <v/>
      </c>
      <c r="R67" s="144" t="str">
        <f t="shared" si="21"/>
        <v/>
      </c>
      <c r="S67" s="23">
        <f t="shared" si="13"/>
        <v>0</v>
      </c>
      <c r="T67" s="211"/>
      <c r="U67" s="716" t="str">
        <f t="shared" si="14"/>
        <v/>
      </c>
      <c r="V67" s="18"/>
      <c r="W67" s="19"/>
      <c r="X67" s="23"/>
      <c r="Y67" s="207"/>
      <c r="AB67" s="23">
        <f t="shared" si="15"/>
        <v>0</v>
      </c>
      <c r="AF67" s="211"/>
    </row>
    <row r="68" spans="1:32">
      <c r="B68" s="240"/>
      <c r="C68" s="27"/>
      <c r="D68" s="28"/>
      <c r="E68" s="139"/>
      <c r="F68" s="23"/>
      <c r="G68" s="23"/>
      <c r="H68" s="23"/>
      <c r="I68" s="23"/>
      <c r="J68" s="23"/>
      <c r="K68" s="23"/>
      <c r="L68" s="23"/>
      <c r="M68" s="23"/>
      <c r="N68" s="23"/>
      <c r="O68" s="23"/>
      <c r="P68" s="23"/>
      <c r="Q68" s="28" t="str">
        <f t="shared" si="12"/>
        <v/>
      </c>
      <c r="R68" s="28"/>
      <c r="S68" s="174"/>
      <c r="T68" s="210"/>
      <c r="W68" s="12"/>
      <c r="X68" s="28"/>
      <c r="Y68" s="209"/>
      <c r="AB68" s="23">
        <f t="shared" si="15"/>
        <v>0</v>
      </c>
      <c r="AF68" s="210"/>
    </row>
    <row r="69" spans="1:32" ht="12">
      <c r="B69" s="818" t="s">
        <v>186</v>
      </c>
      <c r="C69" s="819"/>
      <c r="D69" s="16">
        <f t="shared" ref="D69:P69" si="22">SUM(D31:D68)</f>
        <v>0</v>
      </c>
      <c r="E69" s="16">
        <f t="shared" si="22"/>
        <v>0</v>
      </c>
      <c r="F69" s="16">
        <f t="shared" si="22"/>
        <v>0</v>
      </c>
      <c r="G69" s="16">
        <f t="shared" si="22"/>
        <v>0</v>
      </c>
      <c r="H69" s="16">
        <f t="shared" si="22"/>
        <v>0</v>
      </c>
      <c r="I69" s="16">
        <f t="shared" si="22"/>
        <v>0</v>
      </c>
      <c r="J69" s="16">
        <f t="shared" si="22"/>
        <v>0</v>
      </c>
      <c r="K69" s="16">
        <f t="shared" si="22"/>
        <v>0</v>
      </c>
      <c r="L69" s="16">
        <f t="shared" si="22"/>
        <v>0</v>
      </c>
      <c r="M69" s="16">
        <f t="shared" si="22"/>
        <v>0</v>
      </c>
      <c r="N69" s="16">
        <f t="shared" si="22"/>
        <v>0</v>
      </c>
      <c r="O69" s="16">
        <f t="shared" si="22"/>
        <v>0</v>
      </c>
      <c r="P69" s="16">
        <f t="shared" si="22"/>
        <v>0</v>
      </c>
      <c r="Q69" s="186"/>
      <c r="R69" s="186"/>
      <c r="S69" s="185"/>
      <c r="T69" s="205"/>
      <c r="W69" s="12"/>
      <c r="X69" s="16">
        <f>SUM(X31:X68)</f>
        <v>0</v>
      </c>
      <c r="Y69" s="204"/>
      <c r="AB69" s="16">
        <f>SUM(AB31:AB68)</f>
        <v>0</v>
      </c>
      <c r="AF69" s="205"/>
    </row>
    <row r="70" spans="1:32" ht="12">
      <c r="B70" s="241"/>
      <c r="C70" s="29"/>
      <c r="D70" s="188"/>
      <c r="E70" s="558"/>
      <c r="F70" s="204"/>
      <c r="G70" s="204"/>
      <c r="H70" s="561"/>
      <c r="I70" s="204"/>
      <c r="J70" s="204"/>
      <c r="K70" s="204"/>
      <c r="L70" s="204"/>
      <c r="M70" s="204"/>
      <c r="N70" s="204"/>
      <c r="O70" s="204"/>
      <c r="P70" s="204"/>
      <c r="Q70" s="243"/>
      <c r="R70" s="243"/>
      <c r="S70" s="243"/>
      <c r="T70" s="212"/>
      <c r="V70" s="18"/>
      <c r="W70" s="19"/>
      <c r="X70" s="152"/>
      <c r="Y70" s="152"/>
      <c r="AB70" s="152"/>
      <c r="AF70" s="212"/>
    </row>
    <row r="71" spans="1:32" ht="12">
      <c r="B71" s="818" t="s">
        <v>187</v>
      </c>
      <c r="C71" s="819"/>
      <c r="D71" s="16">
        <f t="shared" ref="D71:P71" si="23">D28-D69</f>
        <v>0</v>
      </c>
      <c r="E71" s="16">
        <f t="shared" si="23"/>
        <v>0</v>
      </c>
      <c r="F71" s="16">
        <f t="shared" si="23"/>
        <v>0</v>
      </c>
      <c r="G71" s="16">
        <f t="shared" si="23"/>
        <v>0</v>
      </c>
      <c r="H71" s="16">
        <f t="shared" si="23"/>
        <v>0</v>
      </c>
      <c r="I71" s="16">
        <f t="shared" si="23"/>
        <v>0</v>
      </c>
      <c r="J71" s="16">
        <f t="shared" si="23"/>
        <v>0</v>
      </c>
      <c r="K71" s="16">
        <f t="shared" si="23"/>
        <v>0</v>
      </c>
      <c r="L71" s="16">
        <f t="shared" si="23"/>
        <v>0</v>
      </c>
      <c r="M71" s="16">
        <f t="shared" si="23"/>
        <v>0</v>
      </c>
      <c r="N71" s="16">
        <f t="shared" si="23"/>
        <v>0</v>
      </c>
      <c r="O71" s="16">
        <f t="shared" si="23"/>
        <v>0</v>
      </c>
      <c r="P71" s="16">
        <f t="shared" si="23"/>
        <v>0</v>
      </c>
      <c r="Q71" s="185"/>
      <c r="R71" s="185"/>
      <c r="S71" s="185"/>
      <c r="T71" s="213"/>
      <c r="W71" s="12"/>
      <c r="X71" s="16">
        <f>X28-X69</f>
        <v>0</v>
      </c>
      <c r="Y71" s="204"/>
      <c r="AB71" s="16">
        <f>AB28-AB69</f>
        <v>0</v>
      </c>
      <c r="AF71" s="213"/>
    </row>
    <row r="72" spans="1:32" ht="12">
      <c r="B72" s="241"/>
      <c r="D72" s="188"/>
      <c r="E72" s="558"/>
      <c r="F72" s="204"/>
      <c r="G72" s="204"/>
      <c r="H72" s="561"/>
      <c r="I72" s="204"/>
      <c r="J72" s="204"/>
      <c r="K72" s="204"/>
      <c r="L72" s="204"/>
      <c r="M72" s="204"/>
      <c r="N72" s="204"/>
      <c r="O72" s="204"/>
      <c r="P72" s="204"/>
      <c r="Q72" s="243"/>
      <c r="R72" s="243"/>
      <c r="S72" s="243"/>
      <c r="T72" s="214"/>
      <c r="V72" s="18"/>
      <c r="W72" s="19"/>
      <c r="X72" s="152"/>
      <c r="Y72" s="152"/>
      <c r="AB72" s="152"/>
      <c r="AF72" s="214"/>
    </row>
    <row r="73" spans="1:32" ht="12">
      <c r="B73" s="818" t="s">
        <v>188</v>
      </c>
      <c r="C73" s="819"/>
      <c r="D73" s="16">
        <f>D71+D10</f>
        <v>0</v>
      </c>
      <c r="E73" s="16">
        <f t="shared" ref="E73:P73" si="24">E71+E10</f>
        <v>0</v>
      </c>
      <c r="F73" s="16">
        <f t="shared" si="24"/>
        <v>0</v>
      </c>
      <c r="G73" s="16">
        <f t="shared" si="24"/>
        <v>0</v>
      </c>
      <c r="H73" s="16">
        <f t="shared" si="24"/>
        <v>0</v>
      </c>
      <c r="I73" s="16">
        <f t="shared" si="24"/>
        <v>0</v>
      </c>
      <c r="J73" s="16">
        <f t="shared" si="24"/>
        <v>0</v>
      </c>
      <c r="K73" s="16">
        <f t="shared" si="24"/>
        <v>0</v>
      </c>
      <c r="L73" s="16">
        <f t="shared" si="24"/>
        <v>0</v>
      </c>
      <c r="M73" s="16">
        <f t="shared" si="24"/>
        <v>0</v>
      </c>
      <c r="N73" s="16">
        <f t="shared" si="24"/>
        <v>0</v>
      </c>
      <c r="O73" s="16">
        <f t="shared" si="24"/>
        <v>0</v>
      </c>
      <c r="P73" s="16">
        <f t="shared" si="24"/>
        <v>0</v>
      </c>
      <c r="Q73" s="185"/>
      <c r="R73" s="185"/>
      <c r="S73" s="185"/>
      <c r="T73" s="213"/>
      <c r="W73" s="12"/>
      <c r="X73" s="16">
        <f>+X10+X71</f>
        <v>0</v>
      </c>
      <c r="Y73" s="204"/>
      <c r="AB73" s="16">
        <f>+AB10+AB71</f>
        <v>0</v>
      </c>
      <c r="AF73" s="213"/>
    </row>
    <row r="74" spans="1:32" ht="12">
      <c r="B74" s="244"/>
      <c r="C74" s="30"/>
      <c r="D74" s="189"/>
      <c r="E74" s="190"/>
      <c r="F74" s="191"/>
      <c r="G74" s="191"/>
      <c r="H74" s="191"/>
      <c r="I74" s="191"/>
      <c r="J74" s="191"/>
      <c r="K74" s="565"/>
      <c r="L74" s="565"/>
      <c r="M74" s="565"/>
      <c r="N74" s="565"/>
      <c r="O74" s="191"/>
      <c r="P74" s="191"/>
      <c r="Q74" s="191"/>
      <c r="R74" s="191"/>
      <c r="S74" s="191"/>
      <c r="T74" s="212"/>
      <c r="V74" s="18"/>
      <c r="W74" s="19"/>
      <c r="X74" s="31"/>
      <c r="Y74" s="152"/>
      <c r="AB74" s="31"/>
      <c r="AF74" s="212"/>
    </row>
    <row r="75" spans="1:32" ht="17.399999999999999">
      <c r="B75" s="238" t="s">
        <v>189</v>
      </c>
      <c r="D75" s="245"/>
      <c r="E75" s="242"/>
      <c r="F75" s="243"/>
      <c r="G75" s="243"/>
      <c r="H75" s="243"/>
      <c r="I75" s="243"/>
      <c r="J75" s="243"/>
      <c r="K75" s="204"/>
      <c r="L75" s="204"/>
      <c r="M75" s="204"/>
      <c r="N75" s="204"/>
      <c r="O75" s="243"/>
      <c r="P75" s="243"/>
      <c r="Q75" s="243"/>
      <c r="R75" s="243"/>
      <c r="S75" s="243"/>
      <c r="T75" s="214"/>
      <c r="V75" s="18"/>
      <c r="W75" s="19"/>
      <c r="X75" s="152"/>
      <c r="Y75" s="152"/>
      <c r="AB75" s="152"/>
      <c r="AF75" s="214"/>
    </row>
    <row r="76" spans="1:32" ht="12" customHeight="1">
      <c r="B76" s="238"/>
      <c r="C76" s="32"/>
      <c r="D76" s="192"/>
      <c r="E76" s="193"/>
      <c r="F76" s="194"/>
      <c r="G76" s="194"/>
      <c r="H76" s="194"/>
      <c r="I76" s="194"/>
      <c r="J76" s="194"/>
      <c r="K76" s="566"/>
      <c r="L76" s="566"/>
      <c r="M76" s="566"/>
      <c r="N76" s="566"/>
      <c r="O76" s="194"/>
      <c r="P76" s="194"/>
      <c r="Q76" s="194"/>
      <c r="R76" s="194"/>
      <c r="S76" s="194"/>
      <c r="T76" s="214"/>
      <c r="V76" s="18"/>
      <c r="W76" s="19"/>
      <c r="X76" s="33"/>
      <c r="Y76" s="152"/>
      <c r="AB76" s="33"/>
      <c r="AF76" s="214"/>
    </row>
    <row r="77" spans="1:32" ht="12">
      <c r="B77" s="818" t="s">
        <v>190</v>
      </c>
      <c r="C77" s="819"/>
      <c r="D77" s="16">
        <f>IFERROR(VLOOKUP($C$3,'2024-25 Outturn'!$C:$DW,68,FALSE),0)</f>
        <v>0</v>
      </c>
      <c r="E77" s="136">
        <f>$D$130+$D$131</f>
        <v>0</v>
      </c>
      <c r="F77" s="16"/>
      <c r="G77" s="16">
        <f>$D$130+$D$131</f>
        <v>0</v>
      </c>
      <c r="H77" s="16"/>
      <c r="I77" s="16"/>
      <c r="J77" s="16">
        <f>E77</f>
        <v>0</v>
      </c>
      <c r="K77" s="16"/>
      <c r="L77" s="16"/>
      <c r="M77" s="16"/>
      <c r="N77" s="16"/>
      <c r="O77" s="16"/>
      <c r="P77" s="16">
        <f>E77</f>
        <v>0</v>
      </c>
      <c r="Q77" s="185"/>
      <c r="R77" s="185"/>
      <c r="S77" s="185"/>
      <c r="T77" s="205"/>
      <c r="V77" s="18"/>
      <c r="W77" s="19"/>
      <c r="X77" s="16">
        <v>0</v>
      </c>
      <c r="Y77" s="204"/>
      <c r="AB77" s="16">
        <f>+P77</f>
        <v>0</v>
      </c>
      <c r="AF77" s="205"/>
    </row>
    <row r="78" spans="1:32" ht="12" customHeight="1">
      <c r="B78" s="246"/>
      <c r="C78" s="22"/>
      <c r="D78" s="184"/>
      <c r="E78" s="559"/>
      <c r="F78" s="53"/>
      <c r="G78" s="53"/>
      <c r="H78" s="53"/>
      <c r="I78" s="53"/>
      <c r="J78" s="53"/>
      <c r="K78" s="53"/>
      <c r="L78" s="53"/>
      <c r="M78" s="53"/>
      <c r="N78" s="53"/>
      <c r="O78" s="53"/>
      <c r="P78" s="53"/>
      <c r="Q78" s="195"/>
      <c r="R78" s="195"/>
      <c r="S78" s="195"/>
      <c r="T78" s="206"/>
      <c r="V78" s="18"/>
      <c r="W78" s="19"/>
      <c r="X78" s="35"/>
      <c r="Y78" s="215"/>
      <c r="AB78" s="35"/>
      <c r="AF78" s="206"/>
    </row>
    <row r="79" spans="1:32" ht="12">
      <c r="B79" s="240"/>
      <c r="C79" s="20" t="s">
        <v>191</v>
      </c>
      <c r="D79" s="184"/>
      <c r="E79" s="139"/>
      <c r="F79" s="23"/>
      <c r="G79" s="139"/>
      <c r="H79" s="23"/>
      <c r="I79" s="23"/>
      <c r="J79" s="23"/>
      <c r="K79" s="23"/>
      <c r="L79" s="23"/>
      <c r="M79" s="23"/>
      <c r="N79" s="23"/>
      <c r="O79" s="23"/>
      <c r="P79" s="23"/>
      <c r="Q79" s="184" t="str">
        <f t="shared" ref="Q79:Q82" si="25">IFERROR((P79/G79),"")</f>
        <v/>
      </c>
      <c r="R79" s="184"/>
      <c r="S79" s="184"/>
      <c r="T79" s="210"/>
      <c r="W79" s="12"/>
      <c r="X79" s="34"/>
      <c r="Y79" s="216"/>
      <c r="AB79" s="34"/>
      <c r="AF79" s="210"/>
    </row>
    <row r="80" spans="1:32" ht="12" customHeight="1">
      <c r="A80" s="38" t="s">
        <v>192</v>
      </c>
      <c r="B80" s="240" t="s">
        <v>192</v>
      </c>
      <c r="C80" s="22" t="s">
        <v>193</v>
      </c>
      <c r="D80" s="42">
        <f>IFERROR(VLOOKUP($C$3,'2024-25 Outturn'!$C:$DW,59,FALSE),0)</f>
        <v>0</v>
      </c>
      <c r="E80" s="24"/>
      <c r="F80" s="24"/>
      <c r="G80" s="153">
        <f t="shared" ref="G80:G82" si="26">E80+F80</f>
        <v>0</v>
      </c>
      <c r="H80" s="557">
        <f>_xlfn.IFNA(VLOOKUP('CFR Return'!$C$3,Payments!$A:$T,19,FALSE),0)</f>
        <v>0</v>
      </c>
      <c r="I80" s="794">
        <f>_xlfn.IFNA(VLOOKUP($C$3,'School Level'!$C:$CZ,64,FALSE),0)</f>
        <v>0</v>
      </c>
      <c r="J80" s="23">
        <f t="shared" ref="J80:J81" si="27">H80+I80</f>
        <v>0</v>
      </c>
      <c r="K80" s="23">
        <f>SUMIFS('2. Accruals'!$F$9:$F$76,'2. Accruals'!$A$9:$A$76,"Debtors",'2. Accruals'!$E$9:$E$76,B80)</f>
        <v>0</v>
      </c>
      <c r="L80" s="564"/>
      <c r="M80" s="564"/>
      <c r="N80" s="23">
        <f>-SUMIFS('2. Accruals'!$F$9:$F$76,'2. Accruals'!$A$9:$A$76,"Income_in_advance",'2. Accruals'!$E$9:$E$76,B80)</f>
        <v>0</v>
      </c>
      <c r="O80" s="23">
        <f>K80+N80</f>
        <v>0</v>
      </c>
      <c r="P80" s="23">
        <f t="shared" ref="P80:P81" si="28">J80+O80</f>
        <v>0</v>
      </c>
      <c r="Q80" s="25" t="str">
        <f t="shared" si="25"/>
        <v/>
      </c>
      <c r="R80" s="144" t="str">
        <f>IFERROR(+P80/$P$84,"")</f>
        <v/>
      </c>
      <c r="S80" s="23">
        <f t="shared" ref="S80:S82" si="29">G80-P80</f>
        <v>0</v>
      </c>
      <c r="T80" s="211"/>
      <c r="U80" s="716" t="str">
        <f t="shared" ref="U80:U82" si="30">IF(P80&lt;0,"VALUE IN COLUMN P MUST BE GREATER THAN 0","")</f>
        <v/>
      </c>
      <c r="V80" s="18"/>
      <c r="W80" s="12"/>
      <c r="X80" s="23"/>
      <c r="Y80" s="207"/>
      <c r="AB80" s="23">
        <f t="shared" ref="AB80:AB82" si="31">P80+X80</f>
        <v>0</v>
      </c>
      <c r="AF80" s="211"/>
    </row>
    <row r="81" spans="1:32" ht="12" customHeight="1">
      <c r="A81" s="38" t="s">
        <v>194</v>
      </c>
      <c r="B81" s="240" t="s">
        <v>194</v>
      </c>
      <c r="C81" s="22" t="s">
        <v>195</v>
      </c>
      <c r="D81" s="42">
        <f>IFERROR(VLOOKUP($C$3,'2024-25 Outturn'!$C:$DW,60,FALSE),0)</f>
        <v>0</v>
      </c>
      <c r="E81" s="24"/>
      <c r="F81" s="24"/>
      <c r="G81" s="153">
        <f>E81+F81</f>
        <v>0</v>
      </c>
      <c r="H81" s="557"/>
      <c r="I81" s="794">
        <f>_xlfn.IFNA(VLOOKUP($C$3,'School Level'!$C:$CZ,65,FALSE),0)</f>
        <v>0</v>
      </c>
      <c r="J81" s="23">
        <f t="shared" si="27"/>
        <v>0</v>
      </c>
      <c r="K81" s="23">
        <f>SUMIFS('2. Accruals'!$F$9:$F$76,'2. Accruals'!$A$9:$A$76,"Debtors",'2. Accruals'!$E$9:$E$76,B81)</f>
        <v>0</v>
      </c>
      <c r="L81" s="564"/>
      <c r="M81" s="564"/>
      <c r="N81" s="23">
        <f>-SUMIFS('2. Accruals'!$F$9:$F$76,'2. Accruals'!$A$9:$A$76,"Income_in_advance",'2. Accruals'!$E$9:$E$76,B81)</f>
        <v>0</v>
      </c>
      <c r="O81" s="23">
        <f t="shared" ref="O81:O82" si="32">K81+N81</f>
        <v>0</v>
      </c>
      <c r="P81" s="23">
        <f t="shared" si="28"/>
        <v>0</v>
      </c>
      <c r="Q81" s="25" t="str">
        <f t="shared" si="25"/>
        <v/>
      </c>
      <c r="R81" s="144" t="str">
        <f>IFERROR(+P81/$P$84,"")</f>
        <v/>
      </c>
      <c r="S81" s="23">
        <f t="shared" si="29"/>
        <v>0</v>
      </c>
      <c r="T81" s="211"/>
      <c r="U81" s="716" t="str">
        <f t="shared" si="30"/>
        <v/>
      </c>
      <c r="V81" s="18"/>
      <c r="W81" s="12"/>
      <c r="X81" s="23"/>
      <c r="Y81" s="207"/>
      <c r="AB81" s="23">
        <f t="shared" si="31"/>
        <v>0</v>
      </c>
      <c r="AF81" s="211"/>
    </row>
    <row r="82" spans="1:32" ht="12" customHeight="1">
      <c r="A82" s="38" t="s">
        <v>196</v>
      </c>
      <c r="B82" s="240" t="s">
        <v>196</v>
      </c>
      <c r="C82" s="22" t="s">
        <v>197</v>
      </c>
      <c r="D82" s="42">
        <f>IFERROR(VLOOKUP($C$3,'2024-25 Outturn'!$C:$DW,61,FALSE),0)</f>
        <v>0</v>
      </c>
      <c r="E82" s="24"/>
      <c r="F82" s="24"/>
      <c r="G82" s="153">
        <f t="shared" si="26"/>
        <v>0</v>
      </c>
      <c r="H82" s="557"/>
      <c r="I82" s="794">
        <f>_xlfn.IFNA(VLOOKUP($C$3,'School Level'!$C:$CZ,66,FALSE),0)</f>
        <v>0</v>
      </c>
      <c r="J82" s="23">
        <f>H82+I82</f>
        <v>0</v>
      </c>
      <c r="K82" s="23">
        <f>SUMIFS('2. Accruals'!$F$9:$F$76,'2. Accruals'!$A$9:$A$76,"Debtors",'2. Accruals'!$E$9:$E$76,B82)</f>
        <v>0</v>
      </c>
      <c r="L82" s="564"/>
      <c r="M82" s="564"/>
      <c r="N82" s="23">
        <f>-SUMIFS('2. Accruals'!$F$9:$F$76,'2. Accruals'!$A$9:$A$76,"Income_in_advance",'2. Accruals'!$E$9:$E$76,B82)</f>
        <v>0</v>
      </c>
      <c r="O82" s="23">
        <f t="shared" si="32"/>
        <v>0</v>
      </c>
      <c r="P82" s="23">
        <f>J82+O82</f>
        <v>0</v>
      </c>
      <c r="Q82" s="25" t="str">
        <f t="shared" si="25"/>
        <v/>
      </c>
      <c r="R82" s="144" t="str">
        <f t="shared" ref="R82" si="33">IFERROR(+P82/$P$84,"")</f>
        <v/>
      </c>
      <c r="S82" s="23">
        <f t="shared" si="29"/>
        <v>0</v>
      </c>
      <c r="T82" s="217"/>
      <c r="U82" s="716" t="str">
        <f t="shared" si="30"/>
        <v/>
      </c>
      <c r="V82" s="18"/>
      <c r="W82" s="12"/>
      <c r="X82" s="23"/>
      <c r="Y82" s="207"/>
      <c r="AB82" s="23">
        <f t="shared" si="31"/>
        <v>0</v>
      </c>
      <c r="AF82" s="217"/>
    </row>
    <row r="83" spans="1:32">
      <c r="B83" s="240"/>
      <c r="C83" s="27"/>
      <c r="D83" s="184"/>
      <c r="E83" s="139"/>
      <c r="F83" s="23"/>
      <c r="G83" s="23"/>
      <c r="H83" s="23"/>
      <c r="I83" s="23"/>
      <c r="J83" s="23"/>
      <c r="K83" s="23"/>
      <c r="L83" s="23"/>
      <c r="M83" s="23"/>
      <c r="N83" s="23"/>
      <c r="O83" s="23"/>
      <c r="P83" s="23"/>
      <c r="Q83" s="184"/>
      <c r="R83" s="184"/>
      <c r="S83" s="184"/>
      <c r="T83" s="218"/>
      <c r="W83" s="12"/>
      <c r="X83" s="34"/>
      <c r="Y83" s="216"/>
      <c r="AB83" s="34"/>
      <c r="AF83" s="218"/>
    </row>
    <row r="84" spans="1:32" ht="12">
      <c r="B84" s="818" t="s">
        <v>198</v>
      </c>
      <c r="C84" s="819"/>
      <c r="D84" s="16">
        <f>SUM(D80:D83)</f>
        <v>0</v>
      </c>
      <c r="E84" s="16">
        <f t="shared" ref="E84:P84" si="34">SUM(E80:E83)</f>
        <v>0</v>
      </c>
      <c r="F84" s="16"/>
      <c r="G84" s="16">
        <f t="shared" si="34"/>
        <v>0</v>
      </c>
      <c r="H84" s="16">
        <f t="shared" si="34"/>
        <v>0</v>
      </c>
      <c r="I84" s="16"/>
      <c r="J84" s="16">
        <f t="shared" si="34"/>
        <v>0</v>
      </c>
      <c r="K84" s="16">
        <f t="shared" si="34"/>
        <v>0</v>
      </c>
      <c r="L84" s="16">
        <f t="shared" si="34"/>
        <v>0</v>
      </c>
      <c r="M84" s="16">
        <f t="shared" si="34"/>
        <v>0</v>
      </c>
      <c r="N84" s="16">
        <f t="shared" si="34"/>
        <v>0</v>
      </c>
      <c r="O84" s="16">
        <f>SUM(O80:O83)</f>
        <v>0</v>
      </c>
      <c r="P84" s="16">
        <f t="shared" si="34"/>
        <v>0</v>
      </c>
      <c r="Q84" s="186"/>
      <c r="R84" s="186"/>
      <c r="S84" s="185"/>
      <c r="T84" s="205"/>
      <c r="W84" s="12"/>
      <c r="X84" s="16">
        <f>SUM(X80:X83)</f>
        <v>0</v>
      </c>
      <c r="Y84" s="204"/>
      <c r="AB84" s="16">
        <f>SUM(AB80:AB83)</f>
        <v>0</v>
      </c>
      <c r="AF84" s="205"/>
    </row>
    <row r="85" spans="1:32">
      <c r="B85" s="240"/>
      <c r="C85" s="27"/>
      <c r="D85" s="197"/>
      <c r="E85" s="197"/>
      <c r="F85" s="197"/>
      <c r="G85" s="197"/>
      <c r="H85" s="562"/>
      <c r="I85" s="562"/>
      <c r="J85" s="562"/>
      <c r="K85" s="562"/>
      <c r="L85" s="562"/>
      <c r="M85" s="562"/>
      <c r="N85" s="562"/>
      <c r="O85" s="562"/>
      <c r="P85" s="562"/>
      <c r="Q85" s="197"/>
      <c r="R85" s="197"/>
      <c r="S85" s="197"/>
      <c r="T85" s="218"/>
      <c r="W85" s="12"/>
      <c r="X85" s="37"/>
      <c r="Y85" s="219"/>
      <c r="AB85" s="37"/>
      <c r="AF85" s="218"/>
    </row>
    <row r="86" spans="1:32" ht="12">
      <c r="B86" s="240"/>
      <c r="C86" s="20" t="s">
        <v>199</v>
      </c>
      <c r="D86" s="184"/>
      <c r="E86" s="196"/>
      <c r="F86" s="184"/>
      <c r="G86" s="184"/>
      <c r="H86" s="23"/>
      <c r="I86" s="23"/>
      <c r="J86" s="23"/>
      <c r="K86" s="23"/>
      <c r="L86" s="23"/>
      <c r="M86" s="23"/>
      <c r="N86" s="23"/>
      <c r="O86" s="23"/>
      <c r="P86" s="23"/>
      <c r="Q86" s="184"/>
      <c r="R86" s="184"/>
      <c r="S86" s="184"/>
      <c r="T86" s="210"/>
      <c r="W86" s="12"/>
      <c r="X86" s="28"/>
      <c r="Y86" s="209"/>
      <c r="AB86" s="28"/>
      <c r="AF86" s="210"/>
    </row>
    <row r="87" spans="1:32" ht="12" customHeight="1">
      <c r="A87" s="38" t="s">
        <v>200</v>
      </c>
      <c r="B87" s="240" t="s">
        <v>200</v>
      </c>
      <c r="C87" s="22" t="s">
        <v>201</v>
      </c>
      <c r="D87" s="42">
        <f>IFERROR(VLOOKUP($C$3,'2024-25 Outturn'!$C:$DW,63,FALSE),0)</f>
        <v>0</v>
      </c>
      <c r="E87" s="24"/>
      <c r="F87" s="24"/>
      <c r="G87" s="153">
        <f t="shared" ref="G87:G94" si="35">E87+F87</f>
        <v>0</v>
      </c>
      <c r="H87" s="557"/>
      <c r="I87" s="794">
        <f>_xlfn.IFNA(VLOOKUP($C$3,'School Level'!$C:$CZ,68,FALSE),0)</f>
        <v>0</v>
      </c>
      <c r="J87" s="23">
        <f>H87+I87</f>
        <v>0</v>
      </c>
      <c r="K87" s="564"/>
      <c r="L87" s="23">
        <f>SUMIFS('2. Accruals'!$F$9:$F$76,'2. Accruals'!$A$9:$A$76,"Creditors",'2. Accruals'!$E$9:$E$76,B87)</f>
        <v>0</v>
      </c>
      <c r="M87" s="23">
        <f>-SUMIFS('2. Accruals'!$F$9:$F$76,'2. Accruals'!$A$9:$A$76,"Payment_in_advance",'2. Accruals'!$E$9:$E$76,B87)</f>
        <v>0</v>
      </c>
      <c r="N87" s="564"/>
      <c r="O87" s="23">
        <f>L87+M87</f>
        <v>0</v>
      </c>
      <c r="P87" s="23">
        <f>J87+O87</f>
        <v>0</v>
      </c>
      <c r="Q87" s="25" t="str">
        <f t="shared" ref="Q87:Q94" si="36">IFERROR((P87/G87),"")</f>
        <v/>
      </c>
      <c r="R87" s="144" t="str">
        <f>IFERROR(+P87/$P$96,"")</f>
        <v/>
      </c>
      <c r="S87" s="23">
        <f t="shared" ref="S87:S94" si="37">G87-P87</f>
        <v>0</v>
      </c>
      <c r="T87" s="211"/>
      <c r="U87" s="716" t="str">
        <f t="shared" ref="U87:U94" si="38">IF(P87&lt;0,"VALUE IN COLUMN P MUST BE GREATER THAN 0","")</f>
        <v/>
      </c>
      <c r="V87" s="18"/>
      <c r="W87" s="12"/>
      <c r="X87" s="23"/>
      <c r="Y87" s="207"/>
      <c r="AB87" s="23">
        <f t="shared" ref="AB87:AB94" si="39">P87+X87</f>
        <v>0</v>
      </c>
      <c r="AF87" s="211"/>
    </row>
    <row r="88" spans="1:32" ht="12" customHeight="1">
      <c r="A88" s="38" t="s">
        <v>202</v>
      </c>
      <c r="B88" s="240" t="s">
        <v>202</v>
      </c>
      <c r="C88" s="22" t="s">
        <v>203</v>
      </c>
      <c r="D88" s="42">
        <f>IFERROR(VLOOKUP($C$3,'2024-25 Outturn'!$C:$DW,64,FALSE),0)</f>
        <v>0</v>
      </c>
      <c r="E88" s="24"/>
      <c r="F88" s="24"/>
      <c r="G88" s="153">
        <f>E88+F88</f>
        <v>0</v>
      </c>
      <c r="H88" s="557"/>
      <c r="I88" s="794">
        <f>_xlfn.IFNA(VLOOKUP($C$3,'School Level'!$C:$CZ,69,FALSE),0)</f>
        <v>0</v>
      </c>
      <c r="J88" s="23">
        <f>H88+I88</f>
        <v>0</v>
      </c>
      <c r="K88" s="564"/>
      <c r="L88" s="23">
        <f>SUMIFS('2. Accruals'!$F$9:$F$76,'2. Accruals'!$A$9:$A$76,"Creditors",'2. Accruals'!$E$9:$E$76,B88)</f>
        <v>0</v>
      </c>
      <c r="M88" s="23">
        <f>-SUMIFS('2. Accruals'!$F$9:$F$76,'2. Accruals'!$A$9:$A$76,"Payment_in_advance",'2. Accruals'!$E$9:$E$76,B88)</f>
        <v>0</v>
      </c>
      <c r="N88" s="564"/>
      <c r="O88" s="23">
        <f t="shared" ref="O88:O94" si="40">L88+M88</f>
        <v>0</v>
      </c>
      <c r="P88" s="23">
        <f>J88+O88</f>
        <v>0</v>
      </c>
      <c r="Q88" s="25" t="str">
        <f t="shared" si="36"/>
        <v/>
      </c>
      <c r="R88" s="144" t="str">
        <f>IFERROR(+P88/$P$96,"")</f>
        <v/>
      </c>
      <c r="S88" s="23">
        <f t="shared" si="37"/>
        <v>0</v>
      </c>
      <c r="T88" s="211"/>
      <c r="U88" s="716" t="str">
        <f t="shared" si="38"/>
        <v/>
      </c>
      <c r="V88" s="18"/>
      <c r="W88" s="12"/>
      <c r="X88" s="23"/>
      <c r="Y88" s="207"/>
      <c r="AB88" s="23">
        <f t="shared" si="39"/>
        <v>0</v>
      </c>
      <c r="AF88" s="211"/>
    </row>
    <row r="89" spans="1:32" ht="12" customHeight="1">
      <c r="A89" s="38" t="s">
        <v>204</v>
      </c>
      <c r="B89" s="240" t="s">
        <v>204</v>
      </c>
      <c r="C89" s="22" t="s">
        <v>205</v>
      </c>
      <c r="D89" s="42">
        <f>IFERROR(VLOOKUP($C$3,'2024-25 Outturn'!$C:$DW,65,FALSE),0)</f>
        <v>0</v>
      </c>
      <c r="E89" s="24"/>
      <c r="F89" s="24"/>
      <c r="G89" s="153">
        <f t="shared" si="35"/>
        <v>0</v>
      </c>
      <c r="H89" s="557"/>
      <c r="I89" s="794">
        <f>_xlfn.IFNA(VLOOKUP($C$3,'School Level'!$C:$CZ,70,FALSE),0)</f>
        <v>0</v>
      </c>
      <c r="J89" s="23">
        <f>H89+I89</f>
        <v>0</v>
      </c>
      <c r="K89" s="564"/>
      <c r="L89" s="23">
        <f>SUMIFS('2. Accruals'!$F$9:$F$76,'2. Accruals'!$A$9:$A$76,"Creditors",'2. Accruals'!$E$9:$E$76,B89)</f>
        <v>0</v>
      </c>
      <c r="M89" s="23">
        <f>-SUMIFS('2. Accruals'!$F$9:$F$76,'2. Accruals'!$A$9:$A$76,"Payment_in_advance",'2. Accruals'!$E$9:$E$76,B89)</f>
        <v>0</v>
      </c>
      <c r="N89" s="564"/>
      <c r="O89" s="23">
        <f t="shared" si="40"/>
        <v>0</v>
      </c>
      <c r="P89" s="23">
        <f>J89+O89</f>
        <v>0</v>
      </c>
      <c r="Q89" s="25" t="str">
        <f t="shared" si="36"/>
        <v/>
      </c>
      <c r="R89" s="144" t="str">
        <f>IFERROR(+P89/$P$96,"")</f>
        <v/>
      </c>
      <c r="S89" s="23">
        <f t="shared" si="37"/>
        <v>0</v>
      </c>
      <c r="T89" s="211"/>
      <c r="U89" s="716" t="str">
        <f t="shared" si="38"/>
        <v/>
      </c>
      <c r="V89" s="18"/>
      <c r="W89" s="12"/>
      <c r="X89" s="23"/>
      <c r="Y89" s="207"/>
      <c r="AB89" s="23">
        <f t="shared" si="39"/>
        <v>0</v>
      </c>
      <c r="AF89" s="211"/>
    </row>
    <row r="90" spans="1:32" ht="12" customHeight="1">
      <c r="A90" s="38"/>
      <c r="B90" s="240" t="s">
        <v>206</v>
      </c>
      <c r="C90" s="22" t="s">
        <v>150</v>
      </c>
      <c r="D90" s="42"/>
      <c r="E90" s="24"/>
      <c r="F90" s="24"/>
      <c r="G90" s="153">
        <f t="shared" si="35"/>
        <v>0</v>
      </c>
      <c r="H90" s="557"/>
      <c r="I90" s="794">
        <f>_xlfn.IFNA(VLOOKUP($C$3,'School Level'!$C:$CZ,71,FALSE),0)</f>
        <v>0</v>
      </c>
      <c r="J90" s="23">
        <f t="shared" ref="J90:J93" si="41">H90+I90</f>
        <v>0</v>
      </c>
      <c r="K90" s="564"/>
      <c r="L90" s="23">
        <f>SUMIFS('2. Accruals'!$F$9:$F$76,'2. Accruals'!$A$9:$A$76,"Creditors",'2. Accruals'!$E$9:$E$76,B90)</f>
        <v>0</v>
      </c>
      <c r="M90" s="23">
        <f>-SUMIFS('2. Accruals'!$F$9:$F$76,'2. Accruals'!$A$9:$A$76,"Payment_in_advance",'2. Accruals'!$E$9:$E$76,B90)</f>
        <v>0</v>
      </c>
      <c r="N90" s="564"/>
      <c r="O90" s="23">
        <f t="shared" si="40"/>
        <v>0</v>
      </c>
      <c r="P90" s="23">
        <f t="shared" ref="P90:P93" si="42">J90+O90</f>
        <v>0</v>
      </c>
      <c r="Q90" s="25"/>
      <c r="R90" s="144" t="str">
        <f t="shared" ref="R90:R93" si="43">IFERROR(+P90/$P$96,"")</f>
        <v/>
      </c>
      <c r="S90" s="23">
        <f t="shared" si="37"/>
        <v>0</v>
      </c>
      <c r="T90" s="211"/>
      <c r="U90" s="716" t="str">
        <f t="shared" si="38"/>
        <v/>
      </c>
      <c r="V90" s="18"/>
      <c r="W90" s="12"/>
      <c r="X90" s="23"/>
      <c r="Y90" s="207"/>
      <c r="AB90" s="23">
        <f t="shared" si="39"/>
        <v>0</v>
      </c>
      <c r="AF90" s="211"/>
    </row>
    <row r="91" spans="1:32" ht="12" customHeight="1">
      <c r="A91" s="38"/>
      <c r="B91" s="240" t="s">
        <v>207</v>
      </c>
      <c r="C91" s="22" t="s">
        <v>152</v>
      </c>
      <c r="D91" s="42"/>
      <c r="E91" s="24"/>
      <c r="F91" s="24"/>
      <c r="G91" s="153">
        <f t="shared" si="35"/>
        <v>0</v>
      </c>
      <c r="H91" s="557"/>
      <c r="I91" s="794">
        <f>_xlfn.IFNA(VLOOKUP($C$3,'School Level'!$C:$CZ,72,FALSE),0)</f>
        <v>0</v>
      </c>
      <c r="J91" s="23">
        <f t="shared" si="41"/>
        <v>0</v>
      </c>
      <c r="K91" s="564"/>
      <c r="L91" s="23">
        <f>SUMIFS('2. Accruals'!$F$9:$F$76,'2. Accruals'!$A$9:$A$76,"Creditors",'2. Accruals'!$E$9:$E$76,B91)</f>
        <v>0</v>
      </c>
      <c r="M91" s="23">
        <f>-SUMIFS('2. Accruals'!$F$9:$F$76,'2. Accruals'!$A$9:$A$76,"Payment_in_advance",'2. Accruals'!$E$9:$E$76,B91)</f>
        <v>0</v>
      </c>
      <c r="N91" s="564"/>
      <c r="O91" s="23">
        <f t="shared" si="40"/>
        <v>0</v>
      </c>
      <c r="P91" s="23">
        <f t="shared" si="42"/>
        <v>0</v>
      </c>
      <c r="Q91" s="25"/>
      <c r="R91" s="144" t="str">
        <f t="shared" si="43"/>
        <v/>
      </c>
      <c r="S91" s="23">
        <f t="shared" si="37"/>
        <v>0</v>
      </c>
      <c r="T91" s="211"/>
      <c r="U91" s="716" t="str">
        <f t="shared" si="38"/>
        <v/>
      </c>
      <c r="V91" s="18"/>
      <c r="W91" s="12"/>
      <c r="X91" s="23"/>
      <c r="Y91" s="207"/>
      <c r="AB91" s="23">
        <f t="shared" si="39"/>
        <v>0</v>
      </c>
      <c r="AF91" s="211"/>
    </row>
    <row r="92" spans="1:32" ht="12" customHeight="1">
      <c r="A92" s="38"/>
      <c r="B92" s="240" t="s">
        <v>208</v>
      </c>
      <c r="C92" s="22" t="s">
        <v>156</v>
      </c>
      <c r="D92" s="42"/>
      <c r="E92" s="24"/>
      <c r="F92" s="24"/>
      <c r="G92" s="153">
        <f t="shared" si="35"/>
        <v>0</v>
      </c>
      <c r="H92" s="557"/>
      <c r="I92" s="794">
        <f>_xlfn.IFNA(VLOOKUP($C$3,'School Level'!$C:$CZ,73,FALSE),0)</f>
        <v>0</v>
      </c>
      <c r="J92" s="23">
        <f t="shared" si="41"/>
        <v>0</v>
      </c>
      <c r="K92" s="564"/>
      <c r="L92" s="23">
        <f>SUMIFS('2. Accruals'!$F$9:$F$76,'2. Accruals'!$A$9:$A$76,"Creditors",'2. Accruals'!$E$9:$E$76,B92)</f>
        <v>0</v>
      </c>
      <c r="M92" s="23">
        <f>-SUMIFS('2. Accruals'!$F$9:$F$76,'2. Accruals'!$A$9:$A$76,"Payment_in_advance",'2. Accruals'!$E$9:$E$76,B92)</f>
        <v>0</v>
      </c>
      <c r="N92" s="564"/>
      <c r="O92" s="23">
        <f t="shared" si="40"/>
        <v>0</v>
      </c>
      <c r="P92" s="23">
        <f t="shared" si="42"/>
        <v>0</v>
      </c>
      <c r="Q92" s="25"/>
      <c r="R92" s="144" t="str">
        <f t="shared" si="43"/>
        <v/>
      </c>
      <c r="S92" s="23">
        <f t="shared" si="37"/>
        <v>0</v>
      </c>
      <c r="T92" s="211"/>
      <c r="U92" s="716" t="str">
        <f t="shared" si="38"/>
        <v/>
      </c>
      <c r="V92" s="18"/>
      <c r="W92" s="12"/>
      <c r="X92" s="23"/>
      <c r="Y92" s="207"/>
      <c r="AB92" s="23">
        <f t="shared" si="39"/>
        <v>0</v>
      </c>
      <c r="AF92" s="211"/>
    </row>
    <row r="93" spans="1:32" ht="12" customHeight="1">
      <c r="A93" s="38"/>
      <c r="B93" s="240" t="s">
        <v>209</v>
      </c>
      <c r="C93" s="22" t="s">
        <v>210</v>
      </c>
      <c r="D93" s="42"/>
      <c r="E93" s="24"/>
      <c r="F93" s="24"/>
      <c r="G93" s="153">
        <f t="shared" si="35"/>
        <v>0</v>
      </c>
      <c r="H93" s="557"/>
      <c r="I93" s="794">
        <f>_xlfn.IFNA(VLOOKUP($C$3,'School Level'!$C:$CZ,74,FALSE),0)</f>
        <v>0</v>
      </c>
      <c r="J93" s="23">
        <f t="shared" si="41"/>
        <v>0</v>
      </c>
      <c r="K93" s="564"/>
      <c r="L93" s="23">
        <f>SUMIFS('2. Accruals'!$F$9:$F$76,'2. Accruals'!$A$9:$A$76,"Creditors",'2. Accruals'!$E$9:$E$76,B93)</f>
        <v>0</v>
      </c>
      <c r="M93" s="23">
        <f>-SUMIFS('2. Accruals'!$F$9:$F$76,'2. Accruals'!$A$9:$A$76,"Payment_in_advance",'2. Accruals'!$E$9:$E$76,B93)</f>
        <v>0</v>
      </c>
      <c r="N93" s="564"/>
      <c r="O93" s="23">
        <f t="shared" si="40"/>
        <v>0</v>
      </c>
      <c r="P93" s="23">
        <f t="shared" si="42"/>
        <v>0</v>
      </c>
      <c r="Q93" s="25"/>
      <c r="R93" s="144" t="str">
        <f t="shared" si="43"/>
        <v/>
      </c>
      <c r="S93" s="23">
        <f t="shared" si="37"/>
        <v>0</v>
      </c>
      <c r="T93" s="211"/>
      <c r="U93" s="716" t="str">
        <f t="shared" si="38"/>
        <v/>
      </c>
      <c r="V93" s="18"/>
      <c r="W93" s="12"/>
      <c r="X93" s="23"/>
      <c r="Y93" s="207"/>
      <c r="AB93" s="23">
        <f t="shared" si="39"/>
        <v>0</v>
      </c>
      <c r="AF93" s="211"/>
    </row>
    <row r="94" spans="1:32" ht="12" customHeight="1">
      <c r="A94" s="38" t="s">
        <v>211</v>
      </c>
      <c r="B94" s="240" t="s">
        <v>212</v>
      </c>
      <c r="C94" s="22" t="s">
        <v>160</v>
      </c>
      <c r="D94" s="42">
        <f>IFERROR(VLOOKUP($C$3,'2024-25 Outturn'!$C:$DW,66,FALSE),0)</f>
        <v>0</v>
      </c>
      <c r="E94" s="24"/>
      <c r="F94" s="24"/>
      <c r="G94" s="153">
        <f t="shared" si="35"/>
        <v>0</v>
      </c>
      <c r="H94" s="557"/>
      <c r="I94" s="794">
        <f>_xlfn.IFNA(VLOOKUP($C$3,'School Level'!$C:$CZ,75,FALSE),0)</f>
        <v>0</v>
      </c>
      <c r="J94" s="23">
        <f>H94+I94</f>
        <v>0</v>
      </c>
      <c r="K94" s="564"/>
      <c r="L94" s="23">
        <f>SUMIFS('2. Accruals'!$F$9:$F$76,'2. Accruals'!$A$9:$A$76,"Creditors",'2. Accruals'!$E$9:$E$76,B94)</f>
        <v>0</v>
      </c>
      <c r="M94" s="23">
        <f>-SUMIFS('2. Accruals'!$F$9:$F$76,'2. Accruals'!$A$9:$A$76,"Payment_in_advance",'2. Accruals'!$E$9:$E$76,B94)</f>
        <v>0</v>
      </c>
      <c r="N94" s="564"/>
      <c r="O94" s="23">
        <f t="shared" si="40"/>
        <v>0</v>
      </c>
      <c r="P94" s="23">
        <f>J94+O94</f>
        <v>0</v>
      </c>
      <c r="Q94" s="25" t="str">
        <f t="shared" si="36"/>
        <v/>
      </c>
      <c r="R94" s="144" t="str">
        <f>IFERROR(+P94/$P$96,"")</f>
        <v/>
      </c>
      <c r="S94" s="23">
        <f t="shared" si="37"/>
        <v>0</v>
      </c>
      <c r="T94" s="211"/>
      <c r="U94" s="716" t="str">
        <f t="shared" si="38"/>
        <v/>
      </c>
      <c r="V94" s="18"/>
      <c r="W94" s="12"/>
      <c r="X94" s="23"/>
      <c r="Y94" s="207"/>
      <c r="AB94" s="23">
        <f t="shared" si="39"/>
        <v>0</v>
      </c>
      <c r="AF94" s="211"/>
    </row>
    <row r="95" spans="1:32">
      <c r="B95" s="240"/>
      <c r="C95" s="27"/>
      <c r="D95" s="184"/>
      <c r="E95" s="139"/>
      <c r="F95" s="23"/>
      <c r="G95" s="23"/>
      <c r="H95" s="23"/>
      <c r="I95" s="23"/>
      <c r="J95" s="23"/>
      <c r="K95" s="23"/>
      <c r="L95" s="23"/>
      <c r="M95" s="23"/>
      <c r="N95" s="23"/>
      <c r="O95" s="23"/>
      <c r="P95" s="23"/>
      <c r="Q95" s="184"/>
      <c r="R95" s="184"/>
      <c r="S95" s="184"/>
      <c r="T95" s="210"/>
      <c r="W95" s="12"/>
      <c r="X95" s="34"/>
      <c r="Y95" s="216"/>
      <c r="AB95" s="34"/>
      <c r="AF95" s="210"/>
    </row>
    <row r="96" spans="1:32" ht="12">
      <c r="B96" s="818" t="s">
        <v>213</v>
      </c>
      <c r="C96" s="819"/>
      <c r="D96" s="16">
        <f>SUM(D87:D95)</f>
        <v>0</v>
      </c>
      <c r="E96" s="16">
        <f t="shared" ref="E96:P96" si="44">SUM(E87:E95)</f>
        <v>0</v>
      </c>
      <c r="F96" s="16"/>
      <c r="G96" s="16">
        <f t="shared" si="44"/>
        <v>0</v>
      </c>
      <c r="H96" s="16">
        <f t="shared" si="44"/>
        <v>0</v>
      </c>
      <c r="I96" s="16">
        <f t="shared" si="44"/>
        <v>0</v>
      </c>
      <c r="J96" s="16">
        <f t="shared" si="44"/>
        <v>0</v>
      </c>
      <c r="K96" s="16">
        <f t="shared" si="44"/>
        <v>0</v>
      </c>
      <c r="L96" s="16">
        <f t="shared" si="44"/>
        <v>0</v>
      </c>
      <c r="M96" s="16">
        <f t="shared" si="44"/>
        <v>0</v>
      </c>
      <c r="N96" s="16">
        <f t="shared" si="44"/>
        <v>0</v>
      </c>
      <c r="O96" s="16">
        <f>SUM(O87:O95)</f>
        <v>0</v>
      </c>
      <c r="P96" s="16">
        <f t="shared" si="44"/>
        <v>0</v>
      </c>
      <c r="Q96" s="186"/>
      <c r="R96" s="186"/>
      <c r="S96" s="185"/>
      <c r="T96" s="205"/>
      <c r="W96" s="12"/>
      <c r="X96" s="16">
        <v>0</v>
      </c>
      <c r="Y96" s="204"/>
      <c r="AB96" s="136">
        <f t="shared" ref="AB96" si="45">SUM(AB87:AB95)</f>
        <v>0</v>
      </c>
      <c r="AF96" s="205"/>
    </row>
    <row r="97" spans="1:32" ht="12" customHeight="1">
      <c r="B97" s="238"/>
      <c r="C97" s="29"/>
      <c r="D97" s="198"/>
      <c r="E97" s="558"/>
      <c r="F97" s="204"/>
      <c r="G97" s="204"/>
      <c r="H97" s="561"/>
      <c r="I97" s="204"/>
      <c r="J97" s="204"/>
      <c r="K97" s="204"/>
      <c r="L97" s="204"/>
      <c r="M97" s="204"/>
      <c r="N97" s="204"/>
      <c r="O97" s="204"/>
      <c r="P97" s="204"/>
      <c r="Q97" s="243"/>
      <c r="R97" s="243"/>
      <c r="S97" s="243"/>
      <c r="T97" s="214"/>
      <c r="V97" s="18"/>
      <c r="W97" s="19"/>
      <c r="X97" s="215"/>
      <c r="Y97" s="215"/>
      <c r="AB97" s="150"/>
      <c r="AF97" s="214"/>
    </row>
    <row r="98" spans="1:32" ht="12">
      <c r="B98" s="818" t="s">
        <v>214</v>
      </c>
      <c r="C98" s="819"/>
      <c r="D98" s="16">
        <f>D84-D96</f>
        <v>0</v>
      </c>
      <c r="E98" s="16">
        <f t="shared" ref="E98:P98" si="46">E84-E96</f>
        <v>0</v>
      </c>
      <c r="F98" s="16"/>
      <c r="G98" s="16">
        <f t="shared" si="46"/>
        <v>0</v>
      </c>
      <c r="H98" s="16">
        <f t="shared" si="46"/>
        <v>0</v>
      </c>
      <c r="I98" s="16">
        <f t="shared" si="46"/>
        <v>0</v>
      </c>
      <c r="J98" s="16">
        <f t="shared" si="46"/>
        <v>0</v>
      </c>
      <c r="K98" s="16">
        <f t="shared" si="46"/>
        <v>0</v>
      </c>
      <c r="L98" s="16">
        <f t="shared" si="46"/>
        <v>0</v>
      </c>
      <c r="M98" s="16">
        <f t="shared" si="46"/>
        <v>0</v>
      </c>
      <c r="N98" s="16">
        <f t="shared" si="46"/>
        <v>0</v>
      </c>
      <c r="O98" s="16">
        <f t="shared" si="46"/>
        <v>0</v>
      </c>
      <c r="P98" s="16">
        <f t="shared" si="46"/>
        <v>0</v>
      </c>
      <c r="Q98" s="185"/>
      <c r="R98" s="185"/>
      <c r="S98" s="185"/>
      <c r="T98" s="213"/>
      <c r="W98" s="12"/>
      <c r="X98" s="16">
        <v>0</v>
      </c>
      <c r="Y98" s="204"/>
      <c r="AB98" s="136">
        <f t="shared" ref="AB98" si="47">AB84-AB96</f>
        <v>0</v>
      </c>
      <c r="AF98" s="213"/>
    </row>
    <row r="99" spans="1:32" ht="12">
      <c r="B99" s="247"/>
      <c r="C99" s="29"/>
      <c r="D99" s="199"/>
      <c r="E99" s="560"/>
      <c r="F99" s="204"/>
      <c r="G99" s="204"/>
      <c r="H99" s="561"/>
      <c r="I99" s="204"/>
      <c r="J99" s="204"/>
      <c r="K99" s="204"/>
      <c r="L99" s="204"/>
      <c r="M99" s="204"/>
      <c r="N99" s="204"/>
      <c r="O99" s="204"/>
      <c r="P99" s="204"/>
      <c r="Q99" s="243"/>
      <c r="R99" s="243"/>
      <c r="S99" s="243"/>
      <c r="T99" s="214"/>
      <c r="V99" s="18"/>
      <c r="W99" s="19"/>
      <c r="X99" s="215"/>
      <c r="Y99" s="215"/>
      <c r="AB99" s="150"/>
      <c r="AF99" s="214"/>
    </row>
    <row r="100" spans="1:32" ht="12">
      <c r="B100" s="818" t="s">
        <v>215</v>
      </c>
      <c r="C100" s="819"/>
      <c r="D100" s="16">
        <f t="shared" ref="D100:P100" si="48">D77+D98</f>
        <v>0</v>
      </c>
      <c r="E100" s="16">
        <f t="shared" si="48"/>
        <v>0</v>
      </c>
      <c r="F100" s="16"/>
      <c r="G100" s="16">
        <f t="shared" si="48"/>
        <v>0</v>
      </c>
      <c r="H100" s="16">
        <f t="shared" si="48"/>
        <v>0</v>
      </c>
      <c r="I100" s="16">
        <f t="shared" si="48"/>
        <v>0</v>
      </c>
      <c r="J100" s="16">
        <f t="shared" si="48"/>
        <v>0</v>
      </c>
      <c r="K100" s="16">
        <f t="shared" si="48"/>
        <v>0</v>
      </c>
      <c r="L100" s="16">
        <f t="shared" si="48"/>
        <v>0</v>
      </c>
      <c r="M100" s="16">
        <f t="shared" si="48"/>
        <v>0</v>
      </c>
      <c r="N100" s="16">
        <f t="shared" si="48"/>
        <v>0</v>
      </c>
      <c r="O100" s="16">
        <f t="shared" si="48"/>
        <v>0</v>
      </c>
      <c r="P100" s="16">
        <f t="shared" si="48"/>
        <v>0</v>
      </c>
      <c r="Q100" s="185"/>
      <c r="R100" s="185"/>
      <c r="S100" s="185"/>
      <c r="T100" s="412" t="str">
        <f>IF(P100&gt;0,"","CAPITAL CAN NOT BE IN DEFICIT")</f>
        <v>CAPITAL CAN NOT BE IN DEFICIT</v>
      </c>
      <c r="W100" s="12"/>
      <c r="X100" s="16">
        <v>0</v>
      </c>
      <c r="Y100" s="204"/>
      <c r="AB100" s="136">
        <f>+AB77+AB98</f>
        <v>0</v>
      </c>
      <c r="AF100" s="213"/>
    </row>
    <row r="101" spans="1:32">
      <c r="B101" s="248"/>
      <c r="D101" s="249"/>
      <c r="E101" s="249"/>
      <c r="F101" s="249"/>
      <c r="G101" s="249"/>
      <c r="H101" s="245"/>
      <c r="I101" s="245"/>
      <c r="J101" s="245"/>
      <c r="K101" s="464"/>
      <c r="L101" s="464"/>
      <c r="M101" s="464"/>
      <c r="N101" s="464"/>
      <c r="O101" s="245"/>
      <c r="P101" s="245"/>
      <c r="Q101" s="245"/>
      <c r="R101" s="245"/>
      <c r="S101" s="245"/>
      <c r="T101" s="220"/>
      <c r="W101" s="12"/>
      <c r="AF101" s="220"/>
    </row>
    <row r="102" spans="1:32" ht="17.399999999999999">
      <c r="B102" s="238" t="s">
        <v>216</v>
      </c>
      <c r="D102" s="245"/>
      <c r="E102" s="242"/>
      <c r="F102" s="243"/>
      <c r="G102" s="243"/>
      <c r="H102" s="243"/>
      <c r="I102" s="243"/>
      <c r="J102" s="243"/>
      <c r="K102" s="204"/>
      <c r="L102" s="204"/>
      <c r="M102" s="204"/>
      <c r="N102" s="204"/>
      <c r="O102" s="243"/>
      <c r="P102" s="243"/>
      <c r="Q102" s="243"/>
      <c r="R102" s="243"/>
      <c r="S102" s="243"/>
      <c r="T102" s="214"/>
      <c r="V102" s="18"/>
      <c r="W102" s="19"/>
      <c r="X102" s="152"/>
      <c r="Y102" s="152"/>
      <c r="AB102" s="152"/>
      <c r="AF102" s="214"/>
    </row>
    <row r="103" spans="1:32" ht="12" customHeight="1">
      <c r="B103" s="238"/>
      <c r="D103" s="245"/>
      <c r="E103" s="242"/>
      <c r="F103" s="243"/>
      <c r="G103" s="243"/>
      <c r="H103" s="243"/>
      <c r="I103" s="243"/>
      <c r="J103" s="243"/>
      <c r="K103" s="204"/>
      <c r="L103" s="204"/>
      <c r="M103" s="204"/>
      <c r="N103" s="204"/>
      <c r="O103" s="243"/>
      <c r="P103" s="243"/>
      <c r="Q103" s="243"/>
      <c r="R103" s="243"/>
      <c r="S103" s="243"/>
      <c r="T103" s="214"/>
      <c r="V103" s="18"/>
      <c r="W103" s="19"/>
      <c r="X103" s="152"/>
      <c r="Y103" s="152"/>
      <c r="AB103" s="152"/>
      <c r="AF103" s="214"/>
    </row>
    <row r="104" spans="1:32" ht="12">
      <c r="B104" s="818" t="s">
        <v>217</v>
      </c>
      <c r="C104" s="819"/>
      <c r="D104" s="16">
        <f>IFERROR(VLOOKUP($C$3,'2024-25 Outturn'!$C:$DW,77,FALSE),0)</f>
        <v>0</v>
      </c>
      <c r="E104" s="136">
        <f>$D$132</f>
        <v>0</v>
      </c>
      <c r="F104" s="16"/>
      <c r="G104" s="16">
        <f>$D$132</f>
        <v>0</v>
      </c>
      <c r="H104" s="16"/>
      <c r="I104" s="16"/>
      <c r="J104" s="16">
        <f>$D$132</f>
        <v>0</v>
      </c>
      <c r="K104" s="16"/>
      <c r="L104" s="16"/>
      <c r="M104" s="16"/>
      <c r="N104" s="16"/>
      <c r="O104" s="16"/>
      <c r="P104" s="16">
        <f>$D$132</f>
        <v>0</v>
      </c>
      <c r="Q104" s="185"/>
      <c r="R104" s="185"/>
      <c r="S104" s="185"/>
      <c r="T104" s="205"/>
      <c r="W104" s="12"/>
      <c r="X104" s="16">
        <v>0</v>
      </c>
      <c r="Y104" s="204"/>
      <c r="AB104" s="16">
        <f>N120</f>
        <v>0</v>
      </c>
      <c r="AF104" s="205"/>
    </row>
    <row r="105" spans="1:32" ht="12">
      <c r="B105" s="247"/>
      <c r="C105" s="39"/>
      <c r="D105" s="195"/>
      <c r="E105" s="559"/>
      <c r="F105" s="53"/>
      <c r="G105" s="53"/>
      <c r="H105" s="53"/>
      <c r="I105" s="53"/>
      <c r="J105" s="53"/>
      <c r="K105" s="53"/>
      <c r="L105" s="53"/>
      <c r="M105" s="53"/>
      <c r="N105" s="53"/>
      <c r="O105" s="53"/>
      <c r="P105" s="53"/>
      <c r="Q105" s="195"/>
      <c r="R105" s="195"/>
      <c r="S105" s="195"/>
      <c r="T105" s="206"/>
      <c r="V105" s="18"/>
      <c r="W105" s="19"/>
      <c r="X105" s="35"/>
      <c r="Y105" s="215"/>
      <c r="AB105" s="35"/>
      <c r="AF105" s="206"/>
    </row>
    <row r="106" spans="1:32" ht="12">
      <c r="B106" s="247"/>
      <c r="C106" s="20" t="s">
        <v>218</v>
      </c>
      <c r="D106" s="195"/>
      <c r="E106" s="559"/>
      <c r="F106" s="53"/>
      <c r="G106" s="53"/>
      <c r="H106" s="53"/>
      <c r="I106" s="53"/>
      <c r="J106" s="53"/>
      <c r="K106" s="53"/>
      <c r="L106" s="53"/>
      <c r="M106" s="53"/>
      <c r="N106" s="53"/>
      <c r="O106" s="53"/>
      <c r="P106" s="53"/>
      <c r="Q106" s="187" t="str">
        <f t="shared" ref="Q106:Q109" si="49">IFERROR((P106/G106),"")</f>
        <v/>
      </c>
      <c r="R106" s="195"/>
      <c r="S106" s="195"/>
      <c r="T106" s="206"/>
      <c r="V106" s="18"/>
      <c r="W106" s="19"/>
      <c r="X106" s="35"/>
      <c r="Y106" s="215"/>
      <c r="AB106" s="35"/>
      <c r="AF106" s="206"/>
    </row>
    <row r="107" spans="1:32" ht="12" customHeight="1">
      <c r="A107" s="38" t="s">
        <v>219</v>
      </c>
      <c r="B107" s="240" t="s">
        <v>219</v>
      </c>
      <c r="C107" s="22" t="s">
        <v>220</v>
      </c>
      <c r="D107" s="42">
        <f>IFERROR(VLOOKUP($C$3,'2024-25 Outturn'!$C:$DW,71,FALSE),0)</f>
        <v>0</v>
      </c>
      <c r="E107" s="24"/>
      <c r="F107" s="24"/>
      <c r="G107" s="153">
        <f>E107+F107</f>
        <v>0</v>
      </c>
      <c r="H107" s="557"/>
      <c r="I107" s="794">
        <f>_xlfn.IFNA(VLOOKUP($C$3,'School Level'!$C:$CZ,80,FALSE),0)</f>
        <v>0</v>
      </c>
      <c r="J107" s="23">
        <f t="shared" ref="J107:J108" si="50">H107+I107</f>
        <v>0</v>
      </c>
      <c r="K107" s="23">
        <f>SUMIFS('2. Accruals'!$F$9:$F$76,'2. Accruals'!$A$9:$A$76,"Debtors",'2. Accruals'!$E$9:$E$76,B107)</f>
        <v>0</v>
      </c>
      <c r="L107" s="564"/>
      <c r="M107" s="564"/>
      <c r="N107" s="23">
        <f>-SUMIFS('2. Accruals'!$F$9:$F$76,'2. Accruals'!$A$9:$A$76,"Income_in_advance",'2. Accruals'!$E$9:$E$76,B107)</f>
        <v>0</v>
      </c>
      <c r="O107" s="23">
        <f>K107+N107</f>
        <v>0</v>
      </c>
      <c r="P107" s="23">
        <f t="shared" ref="P107:P108" si="51">J107+O107</f>
        <v>0</v>
      </c>
      <c r="Q107" s="25" t="str">
        <f t="shared" si="49"/>
        <v/>
      </c>
      <c r="R107" s="144" t="str">
        <f>IFERROR(+P107/$P$110,"")</f>
        <v/>
      </c>
      <c r="S107" s="23">
        <f t="shared" ref="S107:S108" si="52">G107-P107</f>
        <v>0</v>
      </c>
      <c r="T107" s="211"/>
      <c r="U107" s="716" t="str">
        <f t="shared" ref="U107:U108" si="53">IF(P107&lt;0,"VALUE IN COLUMN P MUST BE GREATER THAN 0","")</f>
        <v/>
      </c>
      <c r="V107" s="18"/>
      <c r="W107" s="19"/>
      <c r="X107" s="23"/>
      <c r="Y107" s="207"/>
      <c r="AB107" s="23">
        <f t="shared" ref="AB107:AB108" si="54">P107+X107</f>
        <v>0</v>
      </c>
      <c r="AF107" s="208"/>
    </row>
    <row r="108" spans="1:32" ht="12" customHeight="1">
      <c r="A108" s="38" t="s">
        <v>221</v>
      </c>
      <c r="B108" s="240" t="s">
        <v>221</v>
      </c>
      <c r="C108" s="22" t="s">
        <v>222</v>
      </c>
      <c r="D108" s="42">
        <f>IFERROR(VLOOKUP($C$3,'2024-25 Outturn'!$C:$DW,72,FALSE),0)</f>
        <v>0</v>
      </c>
      <c r="E108" s="24"/>
      <c r="F108" s="24"/>
      <c r="G108" s="153">
        <f t="shared" ref="G108" si="55">E108+F108</f>
        <v>0</v>
      </c>
      <c r="H108" s="557"/>
      <c r="I108" s="794">
        <f>_xlfn.IFNA(VLOOKUP($C$3,'School Level'!$C:$CZ,81,FALSE),0)</f>
        <v>0</v>
      </c>
      <c r="J108" s="23">
        <f t="shared" si="50"/>
        <v>0</v>
      </c>
      <c r="K108" s="23">
        <f>SUMIFS('2. Accruals'!$F$9:$F$76,'2. Accruals'!$A$9:$A$76,"Debtors",'2. Accruals'!$E$9:$E$76,B108)</f>
        <v>0</v>
      </c>
      <c r="L108" s="564"/>
      <c r="M108" s="564"/>
      <c r="N108" s="23">
        <f>-SUMIFS('2. Accruals'!$F$9:$F$76,'2. Accruals'!$A$9:$A$76,"Income_in_advance",'2. Accruals'!$E$9:$E$76,B108)</f>
        <v>0</v>
      </c>
      <c r="O108" s="23">
        <f>K108+N108</f>
        <v>0</v>
      </c>
      <c r="P108" s="23">
        <f t="shared" si="51"/>
        <v>0</v>
      </c>
      <c r="Q108" s="25" t="str">
        <f t="shared" si="49"/>
        <v/>
      </c>
      <c r="R108" s="144" t="str">
        <f>IFERROR(+P108/$P$110,"")</f>
        <v/>
      </c>
      <c r="S108" s="23">
        <f t="shared" si="52"/>
        <v>0</v>
      </c>
      <c r="T108" s="211"/>
      <c r="U108" s="716" t="str">
        <f t="shared" si="53"/>
        <v/>
      </c>
      <c r="V108" s="18"/>
      <c r="W108" s="19"/>
      <c r="X108" s="23"/>
      <c r="Y108" s="207"/>
      <c r="AB108" s="23">
        <f t="shared" si="54"/>
        <v>0</v>
      </c>
      <c r="AF108" s="208"/>
    </row>
    <row r="109" spans="1:32" ht="12">
      <c r="B109" s="247"/>
      <c r="C109" s="22"/>
      <c r="D109" s="184"/>
      <c r="E109" s="559"/>
      <c r="F109" s="53"/>
      <c r="G109" s="53"/>
      <c r="H109" s="53"/>
      <c r="I109" s="53"/>
      <c r="J109" s="53"/>
      <c r="K109" s="53"/>
      <c r="L109" s="53"/>
      <c r="M109" s="53"/>
      <c r="N109" s="53"/>
      <c r="O109" s="53"/>
      <c r="P109" s="53"/>
      <c r="Q109" s="195" t="str">
        <f t="shared" si="49"/>
        <v/>
      </c>
      <c r="R109" s="195"/>
      <c r="S109" s="195"/>
      <c r="T109" s="206"/>
      <c r="V109" s="18"/>
      <c r="W109" s="19"/>
      <c r="X109" s="35"/>
      <c r="Y109" s="215"/>
      <c r="AB109" s="35"/>
      <c r="AF109" s="206"/>
    </row>
    <row r="110" spans="1:32" ht="12">
      <c r="B110" s="818" t="s">
        <v>223</v>
      </c>
      <c r="C110" s="819"/>
      <c r="D110" s="185">
        <f>SUM(D107:D108)</f>
        <v>0</v>
      </c>
      <c r="E110" s="16">
        <f t="shared" ref="E110:P110" si="56">SUM(E107:E108)</f>
        <v>0</v>
      </c>
      <c r="F110" s="16"/>
      <c r="G110" s="16">
        <f t="shared" si="56"/>
        <v>0</v>
      </c>
      <c r="H110" s="16">
        <f t="shared" si="56"/>
        <v>0</v>
      </c>
      <c r="I110" s="16">
        <f t="shared" si="56"/>
        <v>0</v>
      </c>
      <c r="J110" s="16">
        <f t="shared" si="56"/>
        <v>0</v>
      </c>
      <c r="K110" s="16">
        <f t="shared" si="56"/>
        <v>0</v>
      </c>
      <c r="L110" s="16">
        <f t="shared" si="56"/>
        <v>0</v>
      </c>
      <c r="M110" s="16">
        <f t="shared" si="56"/>
        <v>0</v>
      </c>
      <c r="N110" s="16">
        <f t="shared" si="56"/>
        <v>0</v>
      </c>
      <c r="O110" s="16">
        <f t="shared" si="56"/>
        <v>0</v>
      </c>
      <c r="P110" s="16">
        <f t="shared" si="56"/>
        <v>0</v>
      </c>
      <c r="Q110" s="186"/>
      <c r="R110" s="136"/>
      <c r="S110" s="185"/>
      <c r="T110" s="205"/>
      <c r="W110" s="12"/>
      <c r="X110" s="16">
        <f>SUM(X107:X109)</f>
        <v>0</v>
      </c>
      <c r="Y110" s="204"/>
      <c r="AB110" s="16">
        <f>SUM(AB107:AB109)</f>
        <v>0</v>
      </c>
      <c r="AF110" s="205"/>
    </row>
    <row r="111" spans="1:32" ht="12">
      <c r="B111" s="247"/>
      <c r="C111" s="20"/>
      <c r="D111" s="195"/>
      <c r="E111" s="559"/>
      <c r="F111" s="53"/>
      <c r="G111" s="53"/>
      <c r="H111" s="53"/>
      <c r="I111" s="53"/>
      <c r="J111" s="53"/>
      <c r="K111" s="53"/>
      <c r="L111" s="53"/>
      <c r="M111" s="53"/>
      <c r="N111" s="53"/>
      <c r="O111" s="53"/>
      <c r="P111" s="53"/>
      <c r="Q111" s="195"/>
      <c r="R111" s="195"/>
      <c r="S111" s="195"/>
      <c r="T111" s="206"/>
      <c r="W111" s="12"/>
      <c r="X111" s="35"/>
      <c r="Y111" s="215"/>
      <c r="AB111" s="35"/>
      <c r="AF111" s="206"/>
    </row>
    <row r="112" spans="1:32" ht="12">
      <c r="B112" s="247"/>
      <c r="C112" s="20" t="s">
        <v>224</v>
      </c>
      <c r="D112" s="195"/>
      <c r="E112" s="559"/>
      <c r="F112" s="53"/>
      <c r="G112" s="53"/>
      <c r="H112" s="53"/>
      <c r="I112" s="53"/>
      <c r="J112" s="53"/>
      <c r="K112" s="53"/>
      <c r="L112" s="53"/>
      <c r="M112" s="53"/>
      <c r="N112" s="53"/>
      <c r="O112" s="53"/>
      <c r="P112" s="53"/>
      <c r="Q112" s="195" t="str">
        <f t="shared" ref="Q112:Q115" si="57">IFERROR((P112/G112),"")</f>
        <v/>
      </c>
      <c r="R112" s="195"/>
      <c r="S112" s="195"/>
      <c r="T112" s="206"/>
      <c r="W112" s="12"/>
      <c r="X112" s="35"/>
      <c r="Y112" s="215"/>
      <c r="AB112" s="35"/>
      <c r="AF112" s="206"/>
    </row>
    <row r="113" spans="1:32" ht="12" customHeight="1">
      <c r="A113" s="38" t="s">
        <v>225</v>
      </c>
      <c r="B113" s="240" t="s">
        <v>225</v>
      </c>
      <c r="C113" s="22" t="s">
        <v>226</v>
      </c>
      <c r="D113" s="42">
        <f>IFERROR(VLOOKUP($C$3,'2024-25 Outturn'!$C:$DW,74,FALSE),0)</f>
        <v>0</v>
      </c>
      <c r="E113" s="24"/>
      <c r="F113" s="24"/>
      <c r="G113" s="153">
        <f t="shared" ref="G113:G114" si="58">E113+F113</f>
        <v>0</v>
      </c>
      <c r="H113" s="557"/>
      <c r="I113" s="794">
        <f>_xlfn.IFNA(VLOOKUP($C$3,'School Level'!$C:$CZ,83,FALSE),0)</f>
        <v>0</v>
      </c>
      <c r="J113" s="23">
        <f>H113+I113</f>
        <v>0</v>
      </c>
      <c r="K113" s="564"/>
      <c r="L113" s="23">
        <f>SUMIFS('2. Accruals'!$F$9:$F$76,'2. Accruals'!$A$9:$A$76,"Creditors",'2. Accruals'!$E$9:$E$76,B113)</f>
        <v>0</v>
      </c>
      <c r="M113" s="23">
        <f>-SUMIFS('2. Accruals'!$F$9:$F$76,'2. Accruals'!$A$9:$A$76,"Payment_in_advance",'2. Accruals'!$E$9:$E$76,B113)</f>
        <v>0</v>
      </c>
      <c r="N113" s="564"/>
      <c r="O113" s="23">
        <f>L113+M113</f>
        <v>0</v>
      </c>
      <c r="P113" s="23">
        <f t="shared" ref="P113:P114" si="59">J113+O113</f>
        <v>0</v>
      </c>
      <c r="Q113" s="25" t="str">
        <f t="shared" si="57"/>
        <v/>
      </c>
      <c r="R113" s="144" t="str">
        <f>IFERROR(+P113/$P$116,"")</f>
        <v/>
      </c>
      <c r="S113" s="23">
        <f t="shared" ref="S113:S114" si="60">G113-P113</f>
        <v>0</v>
      </c>
      <c r="T113" s="211"/>
      <c r="U113" s="716" t="str">
        <f t="shared" ref="U113:U114" si="61">IF(P113&lt;0,"VALUE IN COLUMN P MUST BE GREATER THAN 0","")</f>
        <v/>
      </c>
      <c r="V113" s="18"/>
      <c r="W113" s="19"/>
      <c r="X113" s="23"/>
      <c r="Y113" s="207"/>
      <c r="AB113" s="23">
        <f t="shared" ref="AB113:AB114" si="62">P113+X113</f>
        <v>0</v>
      </c>
      <c r="AF113" s="211"/>
    </row>
    <row r="114" spans="1:32" ht="12" customHeight="1">
      <c r="A114" s="38" t="s">
        <v>227</v>
      </c>
      <c r="B114" s="240" t="s">
        <v>227</v>
      </c>
      <c r="C114" s="22" t="s">
        <v>228</v>
      </c>
      <c r="D114" s="42">
        <f>IFERROR(VLOOKUP($C$3,'2024-25 Outturn'!$C:$DW,75,FALSE),0)</f>
        <v>0</v>
      </c>
      <c r="E114" s="24"/>
      <c r="F114" s="24"/>
      <c r="G114" s="153">
        <f t="shared" si="58"/>
        <v>0</v>
      </c>
      <c r="H114" s="557"/>
      <c r="I114" s="794">
        <f>_xlfn.IFNA(VLOOKUP($C$3,'School Level'!$C:$CZ,84,FALSE),0)</f>
        <v>0</v>
      </c>
      <c r="J114" s="23">
        <f>H114+I114</f>
        <v>0</v>
      </c>
      <c r="K114" s="564"/>
      <c r="L114" s="23">
        <f>SUMIFS('2. Accruals'!$F$9:$F$76,'2. Accruals'!$A$9:$A$76,"Creditors",'2. Accruals'!$E$9:$E$76,B114)</f>
        <v>0</v>
      </c>
      <c r="M114" s="23">
        <f>-SUMIFS('2. Accruals'!$F$9:$F$76,'2. Accruals'!$A$9:$A$76,"Payment_in_advance",'2. Accruals'!$E$9:$E$76,B114)</f>
        <v>0</v>
      </c>
      <c r="N114" s="564"/>
      <c r="O114" s="23">
        <f>L114+M114</f>
        <v>0</v>
      </c>
      <c r="P114" s="23">
        <f t="shared" si="59"/>
        <v>0</v>
      </c>
      <c r="Q114" s="25" t="str">
        <f t="shared" si="57"/>
        <v/>
      </c>
      <c r="R114" s="144" t="str">
        <f>IFERROR(+P114/$P$116,"")</f>
        <v/>
      </c>
      <c r="S114" s="23">
        <f t="shared" si="60"/>
        <v>0</v>
      </c>
      <c r="T114" s="211"/>
      <c r="U114" s="716" t="str">
        <f t="shared" si="61"/>
        <v/>
      </c>
      <c r="V114" s="18"/>
      <c r="W114" s="19"/>
      <c r="X114" s="23"/>
      <c r="Y114" s="207"/>
      <c r="AB114" s="23">
        <f t="shared" si="62"/>
        <v>0</v>
      </c>
      <c r="AF114" s="211"/>
    </row>
    <row r="115" spans="1:32" s="7" customFormat="1" ht="12">
      <c r="B115" s="250"/>
      <c r="C115" s="20"/>
      <c r="D115" s="195"/>
      <c r="E115" s="559"/>
      <c r="F115" s="53"/>
      <c r="G115" s="53"/>
      <c r="H115" s="53"/>
      <c r="I115" s="53"/>
      <c r="J115" s="53"/>
      <c r="K115" s="53"/>
      <c r="L115" s="53"/>
      <c r="M115" s="53"/>
      <c r="N115" s="53"/>
      <c r="O115" s="23"/>
      <c r="P115" s="53"/>
      <c r="Q115" s="195" t="str">
        <f t="shared" si="57"/>
        <v/>
      </c>
      <c r="R115" s="195"/>
      <c r="S115" s="195"/>
      <c r="T115" s="221"/>
      <c r="U115" s="18"/>
      <c r="V115" s="462"/>
      <c r="W115" s="8"/>
      <c r="X115" s="35"/>
      <c r="Y115" s="215"/>
      <c r="AB115" s="35"/>
      <c r="AF115" s="221"/>
    </row>
    <row r="116" spans="1:32" ht="12">
      <c r="B116" s="818" t="s">
        <v>229</v>
      </c>
      <c r="C116" s="819" t="s">
        <v>229</v>
      </c>
      <c r="D116" s="16">
        <f>SUM(D113:D114)</f>
        <v>0</v>
      </c>
      <c r="E116" s="16">
        <f t="shared" ref="E116:P116" si="63">SUM(E113:E114)</f>
        <v>0</v>
      </c>
      <c r="F116" s="16"/>
      <c r="G116" s="16">
        <f t="shared" si="63"/>
        <v>0</v>
      </c>
      <c r="H116" s="16">
        <f t="shared" si="63"/>
        <v>0</v>
      </c>
      <c r="I116" s="16">
        <f>SUM(I113:I114)</f>
        <v>0</v>
      </c>
      <c r="J116" s="16">
        <f t="shared" si="63"/>
        <v>0</v>
      </c>
      <c r="K116" s="16">
        <f t="shared" si="63"/>
        <v>0</v>
      </c>
      <c r="L116" s="16">
        <f t="shared" si="63"/>
        <v>0</v>
      </c>
      <c r="M116" s="16">
        <f t="shared" si="63"/>
        <v>0</v>
      </c>
      <c r="N116" s="16">
        <f>SUM(N113:N114)</f>
        <v>0</v>
      </c>
      <c r="O116" s="16">
        <f t="shared" si="63"/>
        <v>0</v>
      </c>
      <c r="P116" s="16">
        <f t="shared" si="63"/>
        <v>0</v>
      </c>
      <c r="Q116" s="186"/>
      <c r="R116" s="186"/>
      <c r="S116" s="185"/>
      <c r="T116" s="205"/>
      <c r="W116" s="12"/>
      <c r="X116" s="16">
        <f>SUM(X113:X115)</f>
        <v>0</v>
      </c>
      <c r="Y116" s="204"/>
      <c r="AB116" s="16">
        <f>SUM(AB113:AB115)</f>
        <v>0</v>
      </c>
      <c r="AF116" s="205"/>
    </row>
    <row r="117" spans="1:32">
      <c r="B117" s="248"/>
      <c r="D117" s="249"/>
      <c r="E117" s="207"/>
      <c r="F117" s="207"/>
      <c r="G117" s="207"/>
      <c r="H117" s="464"/>
      <c r="I117" s="464"/>
      <c r="J117" s="464"/>
      <c r="K117" s="464"/>
      <c r="L117" s="464"/>
      <c r="M117" s="464"/>
      <c r="N117" s="464"/>
      <c r="O117" s="464"/>
      <c r="P117" s="464"/>
      <c r="Q117" s="245"/>
      <c r="R117" s="245"/>
      <c r="S117" s="245"/>
      <c r="T117" s="220"/>
      <c r="W117" s="12"/>
      <c r="AF117" s="220"/>
    </row>
    <row r="118" spans="1:32" ht="12">
      <c r="B118" s="818" t="s">
        <v>230</v>
      </c>
      <c r="C118" s="819"/>
      <c r="D118" s="16">
        <f>D110-D116</f>
        <v>0</v>
      </c>
      <c r="E118" s="16">
        <f t="shared" ref="E118:P118" si="64">E110-E116</f>
        <v>0</v>
      </c>
      <c r="F118" s="16"/>
      <c r="G118" s="16">
        <f t="shared" si="64"/>
        <v>0</v>
      </c>
      <c r="H118" s="16">
        <f t="shared" si="64"/>
        <v>0</v>
      </c>
      <c r="I118" s="16">
        <f t="shared" si="64"/>
        <v>0</v>
      </c>
      <c r="J118" s="16">
        <f t="shared" si="64"/>
        <v>0</v>
      </c>
      <c r="K118" s="16">
        <f t="shared" si="64"/>
        <v>0</v>
      </c>
      <c r="L118" s="16">
        <f t="shared" si="64"/>
        <v>0</v>
      </c>
      <c r="M118" s="16">
        <f t="shared" si="64"/>
        <v>0</v>
      </c>
      <c r="N118" s="16">
        <f>N110-N116</f>
        <v>0</v>
      </c>
      <c r="O118" s="16">
        <f t="shared" si="64"/>
        <v>0</v>
      </c>
      <c r="P118" s="16">
        <f t="shared" si="64"/>
        <v>0</v>
      </c>
      <c r="Q118" s="185"/>
      <c r="R118" s="185"/>
      <c r="S118" s="185"/>
      <c r="T118" s="213"/>
      <c r="W118" s="12"/>
      <c r="X118" s="16">
        <f>X110-X116</f>
        <v>0</v>
      </c>
      <c r="Y118" s="204"/>
      <c r="AB118" s="16">
        <f>AB110-AB116</f>
        <v>0</v>
      </c>
      <c r="AF118" s="213"/>
    </row>
    <row r="119" spans="1:32" ht="12">
      <c r="B119" s="247"/>
      <c r="C119" s="22"/>
      <c r="D119" s="184"/>
      <c r="E119" s="139"/>
      <c r="F119" s="23"/>
      <c r="G119" s="23"/>
      <c r="H119" s="23"/>
      <c r="I119" s="23"/>
      <c r="J119" s="23"/>
      <c r="K119" s="23"/>
      <c r="L119" s="23"/>
      <c r="M119" s="23"/>
      <c r="N119" s="23"/>
      <c r="O119" s="23"/>
      <c r="P119" s="23"/>
      <c r="Q119" s="184"/>
      <c r="R119" s="184"/>
      <c r="S119" s="184"/>
      <c r="T119" s="206"/>
      <c r="V119" s="18"/>
      <c r="W119" s="19"/>
      <c r="X119" s="34"/>
      <c r="Y119" s="216"/>
      <c r="AB119" s="34"/>
      <c r="AF119" s="206"/>
    </row>
    <row r="120" spans="1:32" ht="12">
      <c r="B120" s="818" t="s">
        <v>231</v>
      </c>
      <c r="C120" s="819"/>
      <c r="D120" s="16">
        <f>D104+D118</f>
        <v>0</v>
      </c>
      <c r="E120" s="16">
        <f t="shared" ref="E120:P120" si="65">E104+E118</f>
        <v>0</v>
      </c>
      <c r="F120" s="16"/>
      <c r="G120" s="16">
        <f t="shared" si="65"/>
        <v>0</v>
      </c>
      <c r="H120" s="16">
        <f t="shared" si="65"/>
        <v>0</v>
      </c>
      <c r="I120" s="16">
        <f t="shared" si="65"/>
        <v>0</v>
      </c>
      <c r="J120" s="16">
        <f t="shared" si="65"/>
        <v>0</v>
      </c>
      <c r="K120" s="16">
        <f t="shared" si="65"/>
        <v>0</v>
      </c>
      <c r="L120" s="16">
        <f t="shared" si="65"/>
        <v>0</v>
      </c>
      <c r="M120" s="16">
        <f t="shared" si="65"/>
        <v>0</v>
      </c>
      <c r="N120" s="16">
        <f>N104+N118</f>
        <v>0</v>
      </c>
      <c r="O120" s="16">
        <f t="shared" si="65"/>
        <v>0</v>
      </c>
      <c r="P120" s="16">
        <f t="shared" si="65"/>
        <v>0</v>
      </c>
      <c r="Q120" s="185"/>
      <c r="R120" s="185"/>
      <c r="S120" s="185"/>
      <c r="T120" s="213"/>
      <c r="W120" s="12"/>
      <c r="X120" s="16">
        <f>IFERROR(SUM(X104+X118),"")</f>
        <v>0</v>
      </c>
      <c r="Y120" s="204"/>
      <c r="AB120" s="16">
        <f>IFERROR(SUM(AB104+AB118),"")</f>
        <v>0</v>
      </c>
      <c r="AF120" s="213"/>
    </row>
    <row r="121" spans="1:32" ht="12">
      <c r="B121" s="244"/>
      <c r="C121" s="13"/>
      <c r="D121" s="31"/>
      <c r="E121" s="138"/>
      <c r="F121" s="31"/>
      <c r="G121" s="31"/>
      <c r="H121" s="31"/>
      <c r="I121" s="31"/>
      <c r="J121" s="31"/>
      <c r="K121" s="31"/>
      <c r="L121" s="31"/>
      <c r="M121" s="31"/>
      <c r="N121" s="31"/>
      <c r="O121" s="31"/>
      <c r="P121" s="31"/>
      <c r="Q121" s="31"/>
      <c r="R121" s="31"/>
      <c r="S121" s="175"/>
      <c r="T121" s="212"/>
      <c r="W121" s="12"/>
      <c r="X121" s="31"/>
      <c r="Y121" s="152"/>
      <c r="AB121" s="31"/>
      <c r="AF121" s="212"/>
    </row>
    <row r="122" spans="1:32" ht="12">
      <c r="B122" s="251"/>
      <c r="C122" s="7"/>
      <c r="D122" s="152"/>
      <c r="E122" s="252"/>
      <c r="F122" s="152"/>
      <c r="G122" s="152"/>
      <c r="H122" s="152"/>
      <c r="I122" s="152"/>
      <c r="J122" s="152"/>
      <c r="K122" s="152"/>
      <c r="L122" s="152"/>
      <c r="M122" s="152"/>
      <c r="N122" s="152"/>
      <c r="O122" s="152"/>
      <c r="P122" s="152"/>
      <c r="Q122" s="152"/>
      <c r="R122" s="152"/>
      <c r="S122" s="176"/>
      <c r="T122" s="214"/>
      <c r="W122" s="12"/>
      <c r="X122" s="152"/>
      <c r="Y122" s="152"/>
      <c r="AB122" s="152"/>
      <c r="AF122" s="214"/>
    </row>
    <row r="123" spans="1:32" ht="12">
      <c r="B123" s="12"/>
      <c r="C123" s="13"/>
      <c r="D123" s="31"/>
      <c r="E123" s="138"/>
      <c r="F123" s="31"/>
      <c r="G123" s="31"/>
      <c r="H123" s="31"/>
      <c r="I123" s="31"/>
      <c r="J123" s="31"/>
      <c r="K123" s="31"/>
      <c r="L123" s="31"/>
      <c r="M123" s="31"/>
      <c r="N123" s="31"/>
      <c r="O123" s="31"/>
      <c r="P123" s="31"/>
      <c r="Q123" s="31"/>
      <c r="R123" s="31"/>
      <c r="S123" s="175"/>
      <c r="T123" s="212"/>
      <c r="W123" s="12"/>
      <c r="X123" s="152"/>
      <c r="Y123" s="152"/>
      <c r="AB123" s="152"/>
      <c r="AF123" s="212"/>
    </row>
    <row r="124" spans="1:32" ht="17.399999999999999">
      <c r="B124" s="238" t="s">
        <v>232</v>
      </c>
      <c r="C124" s="7"/>
      <c r="D124" s="152"/>
      <c r="E124" s="252"/>
      <c r="F124" s="152"/>
      <c r="G124" s="152"/>
      <c r="H124" s="152"/>
      <c r="I124" s="152"/>
      <c r="J124" s="152"/>
      <c r="K124" s="152"/>
      <c r="L124" s="152"/>
      <c r="M124" s="152"/>
      <c r="N124" s="152"/>
      <c r="O124" s="152"/>
      <c r="P124" s="152"/>
      <c r="Q124" s="152"/>
      <c r="R124" s="152"/>
      <c r="S124" s="176"/>
      <c r="T124" s="214"/>
      <c r="W124" s="12"/>
      <c r="X124" s="152"/>
      <c r="Y124" s="152"/>
      <c r="AB124" s="152"/>
      <c r="AF124" s="214"/>
    </row>
    <row r="125" spans="1:32" ht="17.399999999999999">
      <c r="B125" s="253"/>
      <c r="C125" s="7"/>
      <c r="D125" s="152"/>
      <c r="E125" s="252"/>
      <c r="F125" s="152"/>
      <c r="G125" s="152"/>
      <c r="H125" s="152"/>
      <c r="I125" s="152"/>
      <c r="J125" s="152"/>
      <c r="K125" s="152"/>
      <c r="L125" s="152"/>
      <c r="M125" s="152"/>
      <c r="N125" s="152"/>
      <c r="O125" s="152"/>
      <c r="P125" s="152"/>
      <c r="Q125" s="152"/>
      <c r="R125" s="152"/>
      <c r="S125" s="176"/>
      <c r="T125" s="214"/>
      <c r="W125" s="12"/>
      <c r="X125" s="152"/>
      <c r="Y125" s="152"/>
      <c r="AB125" s="152"/>
      <c r="AF125" s="214"/>
    </row>
    <row r="126" spans="1:32" ht="12">
      <c r="B126" s="244"/>
      <c r="C126" s="40"/>
      <c r="D126" s="41"/>
      <c r="E126" s="140"/>
      <c r="F126" s="41"/>
      <c r="G126" s="41"/>
      <c r="H126" s="41"/>
      <c r="I126" s="41"/>
      <c r="J126" s="41"/>
      <c r="K126" s="41"/>
      <c r="L126" s="41"/>
      <c r="M126" s="41"/>
      <c r="N126" s="41"/>
      <c r="O126" s="41"/>
      <c r="P126" s="41"/>
      <c r="Q126" s="41"/>
      <c r="R126" s="41"/>
      <c r="S126" s="178"/>
      <c r="T126" s="222"/>
      <c r="W126" s="12"/>
      <c r="X126" s="41"/>
      <c r="Y126" s="152"/>
      <c r="AB126" s="41"/>
      <c r="AF126" s="222"/>
    </row>
    <row r="127" spans="1:32" ht="12">
      <c r="B127" s="247"/>
      <c r="C127" s="20" t="s">
        <v>233</v>
      </c>
      <c r="D127" s="37"/>
      <c r="E127" s="139"/>
      <c r="F127" s="37"/>
      <c r="G127" s="37"/>
      <c r="H127" s="37"/>
      <c r="I127" s="37"/>
      <c r="J127" s="37"/>
      <c r="K127" s="37"/>
      <c r="L127" s="37"/>
      <c r="M127" s="37"/>
      <c r="N127" s="37"/>
      <c r="O127" s="37"/>
      <c r="P127" s="37"/>
      <c r="Q127" s="37"/>
      <c r="R127" s="37"/>
      <c r="S127" s="177"/>
      <c r="T127" s="218"/>
      <c r="W127" s="12"/>
      <c r="X127" s="37"/>
      <c r="Y127" s="219"/>
      <c r="AB127" s="37"/>
      <c r="AF127" s="218"/>
    </row>
    <row r="128" spans="1:32" ht="12" customHeight="1">
      <c r="A128" s="38" t="s">
        <v>234</v>
      </c>
      <c r="B128" s="240" t="s">
        <v>234</v>
      </c>
      <c r="C128" s="22" t="s">
        <v>235</v>
      </c>
      <c r="D128" s="557">
        <f>IF(D73&gt;0,D73,0)</f>
        <v>0</v>
      </c>
      <c r="E128" s="557">
        <f>IF(E73&gt;0,E73,0)</f>
        <v>0</v>
      </c>
      <c r="F128" s="153"/>
      <c r="G128" s="153">
        <f>IF(G73&gt;0,G73,0)</f>
        <v>0</v>
      </c>
      <c r="H128" s="153">
        <f>H73</f>
        <v>0</v>
      </c>
      <c r="I128" s="153"/>
      <c r="J128" s="23">
        <f>IF(J73&gt;0,J73,0)</f>
        <v>0</v>
      </c>
      <c r="K128" s="23"/>
      <c r="L128" s="23"/>
      <c r="M128" s="23"/>
      <c r="N128" s="23"/>
      <c r="O128" s="23">
        <f>IF(O73&gt;0,O73,0)</f>
        <v>0</v>
      </c>
      <c r="P128" s="23">
        <f>IF(P73&gt;0,P73,0)</f>
        <v>0</v>
      </c>
      <c r="Q128" s="25" t="str">
        <f>IFERROR((P128/G128),"")</f>
        <v/>
      </c>
      <c r="R128" s="25" t="str">
        <f>IFERROR(+P128/H28,"")</f>
        <v/>
      </c>
      <c r="S128" s="23">
        <f>G128-P128</f>
        <v>0</v>
      </c>
      <c r="T128" s="223"/>
      <c r="W128" s="12"/>
      <c r="X128" s="23">
        <f>X73</f>
        <v>0</v>
      </c>
      <c r="Y128" s="207"/>
      <c r="AB128" s="23">
        <f>P128+X128</f>
        <v>0</v>
      </c>
      <c r="AF128" s="223"/>
    </row>
    <row r="129" spans="1:32" ht="12" customHeight="1">
      <c r="A129" s="38" t="s">
        <v>236</v>
      </c>
      <c r="B129" s="240" t="s">
        <v>236</v>
      </c>
      <c r="C129" s="22" t="s">
        <v>237</v>
      </c>
      <c r="D129" s="557">
        <f>IF(D73&lt;0,D73,0)</f>
        <v>0</v>
      </c>
      <c r="E129" s="557">
        <f>IF(E73&lt;0,E73,0)</f>
        <v>0</v>
      </c>
      <c r="F129" s="153"/>
      <c r="G129" s="153">
        <f>IF(G73&lt;0,G73,0)</f>
        <v>0</v>
      </c>
      <c r="H129" s="23"/>
      <c r="I129" s="153"/>
      <c r="J129" s="23">
        <f>IF(J73&lt;0,J73,0)</f>
        <v>0</v>
      </c>
      <c r="K129" s="23"/>
      <c r="L129" s="23"/>
      <c r="M129" s="23"/>
      <c r="N129" s="23"/>
      <c r="O129" s="23">
        <f>IF(O73&lt;0,O73,0)</f>
        <v>0</v>
      </c>
      <c r="P129" s="23">
        <f>IF(P73&lt;0,P73,0)</f>
        <v>0</v>
      </c>
      <c r="Q129" s="25" t="str">
        <f t="shared" ref="Q129:Q132" si="66">IFERROR((P129/G129),"")</f>
        <v/>
      </c>
      <c r="R129" s="25" t="str">
        <f>IFERROR(P129/H28,"")</f>
        <v/>
      </c>
      <c r="S129" s="23">
        <f t="shared" ref="S129:S132" si="67">G129-P129</f>
        <v>0</v>
      </c>
      <c r="T129" s="223"/>
      <c r="W129" s="12"/>
      <c r="X129" s="23"/>
      <c r="Y129" s="207"/>
      <c r="AB129" s="23">
        <f t="shared" ref="AB129:AB131" si="68">P129+X129</f>
        <v>0</v>
      </c>
      <c r="AF129" s="223"/>
    </row>
    <row r="130" spans="1:32" ht="12" customHeight="1">
      <c r="A130" s="38" t="s">
        <v>238</v>
      </c>
      <c r="B130" s="240" t="s">
        <v>238</v>
      </c>
      <c r="C130" s="22" t="s">
        <v>239</v>
      </c>
      <c r="D130" s="557">
        <f>D100</f>
        <v>0</v>
      </c>
      <c r="E130" s="24"/>
      <c r="F130" s="153"/>
      <c r="G130" s="24"/>
      <c r="H130" s="23">
        <f>H100</f>
        <v>0</v>
      </c>
      <c r="I130" s="153"/>
      <c r="J130" s="23"/>
      <c r="K130" s="23"/>
      <c r="L130" s="23"/>
      <c r="M130" s="23"/>
      <c r="N130" s="23"/>
      <c r="O130" s="23"/>
      <c r="P130" s="794">
        <f>_xlfn.IFNA(VLOOKUP($C$3,'Final CFR'!$C:$CZ,91,FALSE),0)</f>
        <v>0</v>
      </c>
      <c r="Q130" s="25" t="str">
        <f t="shared" si="66"/>
        <v/>
      </c>
      <c r="R130" s="25" t="str">
        <f>IFERROR(+P130/P84,"")</f>
        <v/>
      </c>
      <c r="S130" s="23">
        <f t="shared" si="67"/>
        <v>0</v>
      </c>
      <c r="T130" s="793"/>
      <c r="W130" s="12"/>
      <c r="X130" s="23">
        <f>X100</f>
        <v>0</v>
      </c>
      <c r="Y130" s="207"/>
      <c r="AB130" s="23">
        <f>P130+X130</f>
        <v>0</v>
      </c>
      <c r="AF130" s="223"/>
    </row>
    <row r="131" spans="1:32" ht="12" customHeight="1">
      <c r="A131" s="38" t="s">
        <v>240</v>
      </c>
      <c r="B131" s="240" t="s">
        <v>240</v>
      </c>
      <c r="C131" s="22" t="s">
        <v>241</v>
      </c>
      <c r="D131" s="557"/>
      <c r="E131" s="557">
        <f>E100-E130</f>
        <v>0</v>
      </c>
      <c r="F131" s="153"/>
      <c r="G131" s="557">
        <f>G100-G130</f>
        <v>0</v>
      </c>
      <c r="H131" s="23"/>
      <c r="I131" s="153"/>
      <c r="J131" s="23">
        <f>J100</f>
        <v>0</v>
      </c>
      <c r="K131" s="23"/>
      <c r="L131" s="23"/>
      <c r="M131" s="23"/>
      <c r="N131" s="23"/>
      <c r="O131" s="23">
        <f>O100</f>
        <v>0</v>
      </c>
      <c r="P131" s="23">
        <f>P100-P130</f>
        <v>0</v>
      </c>
      <c r="Q131" s="25" t="str">
        <f t="shared" si="66"/>
        <v/>
      </c>
      <c r="R131" s="25" t="str">
        <f>IFERROR(+P131/P84,"")</f>
        <v/>
      </c>
      <c r="S131" s="23">
        <f t="shared" si="67"/>
        <v>0</v>
      </c>
      <c r="T131" s="717" t="str">
        <f>IF(P131&gt;0,"SCHOOL MUST PROVIDE DFC VALUE IN CELL P130","")</f>
        <v/>
      </c>
      <c r="W131" s="12"/>
      <c r="X131" s="23"/>
      <c r="Y131" s="207"/>
      <c r="AB131" s="23">
        <f t="shared" si="68"/>
        <v>0</v>
      </c>
      <c r="AF131" s="223"/>
    </row>
    <row r="132" spans="1:32" ht="12" customHeight="1">
      <c r="A132" s="38" t="s">
        <v>242</v>
      </c>
      <c r="B132" s="240" t="s">
        <v>242</v>
      </c>
      <c r="C132" s="22" t="s">
        <v>243</v>
      </c>
      <c r="D132" s="557"/>
      <c r="E132" s="557">
        <f>E120</f>
        <v>0</v>
      </c>
      <c r="F132" s="153"/>
      <c r="G132" s="557">
        <f>G120</f>
        <v>0</v>
      </c>
      <c r="H132" s="23"/>
      <c r="I132" s="153"/>
      <c r="J132" s="23">
        <f>J120</f>
        <v>0</v>
      </c>
      <c r="K132" s="23"/>
      <c r="L132" s="23"/>
      <c r="M132" s="23"/>
      <c r="N132" s="42"/>
      <c r="O132" s="42"/>
      <c r="P132" s="23">
        <f>P120</f>
        <v>0</v>
      </c>
      <c r="Q132" s="25" t="str">
        <f t="shared" si="66"/>
        <v/>
      </c>
      <c r="R132" s="25" t="str">
        <f>IFERROR(+P132/P110,"")</f>
        <v/>
      </c>
      <c r="S132" s="23">
        <f t="shared" si="67"/>
        <v>0</v>
      </c>
      <c r="T132" s="223"/>
      <c r="W132" s="12"/>
      <c r="X132" s="23">
        <f>X120</f>
        <v>0</v>
      </c>
      <c r="Y132" s="207"/>
      <c r="AB132" s="23">
        <f>AB120</f>
        <v>0</v>
      </c>
      <c r="AF132" s="223"/>
    </row>
    <row r="133" spans="1:32" ht="12">
      <c r="B133" s="818" t="s">
        <v>244</v>
      </c>
      <c r="C133" s="819"/>
      <c r="D133" s="16">
        <f>SUM(D128:D132)</f>
        <v>0</v>
      </c>
      <c r="E133" s="136">
        <f>SUM(E128:E132)</f>
        <v>0</v>
      </c>
      <c r="F133" s="16"/>
      <c r="G133" s="16">
        <f t="shared" ref="G133:P133" si="69">SUM(G128:G132)</f>
        <v>0</v>
      </c>
      <c r="H133" s="16">
        <f t="shared" si="69"/>
        <v>0</v>
      </c>
      <c r="I133" s="16">
        <f t="shared" si="69"/>
        <v>0</v>
      </c>
      <c r="J133" s="16">
        <f t="shared" si="69"/>
        <v>0</v>
      </c>
      <c r="K133" s="16">
        <f t="shared" si="69"/>
        <v>0</v>
      </c>
      <c r="L133" s="16">
        <f t="shared" si="69"/>
        <v>0</v>
      </c>
      <c r="M133" s="16">
        <f t="shared" si="69"/>
        <v>0</v>
      </c>
      <c r="N133" s="16">
        <f t="shared" si="69"/>
        <v>0</v>
      </c>
      <c r="O133" s="16">
        <f t="shared" si="69"/>
        <v>0</v>
      </c>
      <c r="P133" s="16">
        <f t="shared" si="69"/>
        <v>0</v>
      </c>
      <c r="Q133" s="148"/>
      <c r="R133" s="148"/>
      <c r="S133" s="563"/>
      <c r="T133" s="213"/>
      <c r="W133" s="12"/>
      <c r="X133" s="16">
        <f>SUM(X128:X132)</f>
        <v>0</v>
      </c>
      <c r="Y133" s="204"/>
      <c r="AB133" s="16">
        <f>SUM(AB128:AB132)</f>
        <v>0</v>
      </c>
      <c r="AC133" s="204"/>
      <c r="AD133" s="204"/>
      <c r="AF133" s="213"/>
    </row>
    <row r="134" spans="1:32">
      <c r="B134" s="254"/>
      <c r="C134" s="30"/>
      <c r="D134" s="43"/>
      <c r="E134" s="43"/>
      <c r="F134" s="43"/>
      <c r="G134" s="43"/>
      <c r="H134" s="43"/>
      <c r="I134" s="43"/>
      <c r="J134" s="43"/>
      <c r="K134" s="43"/>
      <c r="L134" s="43"/>
      <c r="M134" s="43"/>
      <c r="N134" s="43"/>
      <c r="O134" s="43"/>
      <c r="P134" s="43"/>
      <c r="Q134" s="43"/>
      <c r="R134" s="43"/>
      <c r="S134" s="179"/>
      <c r="T134" s="224"/>
      <c r="W134" s="12"/>
      <c r="X134" s="43"/>
      <c r="Y134" s="216"/>
      <c r="AB134" s="43">
        <f>+AB73+AB100+AB120-AB133</f>
        <v>0</v>
      </c>
      <c r="AC134" s="216"/>
      <c r="AD134" s="216"/>
      <c r="AF134" s="224"/>
    </row>
    <row r="135" spans="1:32" s="18" customFormat="1" ht="12">
      <c r="B135" s="248"/>
      <c r="C135" s="44"/>
      <c r="D135" s="45"/>
      <c r="E135" s="46"/>
      <c r="F135" s="46"/>
      <c r="G135" s="46"/>
      <c r="H135" s="204"/>
      <c r="I135" s="204"/>
      <c r="J135" s="204"/>
      <c r="K135" s="204"/>
      <c r="L135" s="204"/>
      <c r="M135" s="204"/>
      <c r="N135" s="204"/>
      <c r="O135" s="204"/>
      <c r="P135" s="204"/>
      <c r="Q135" s="45"/>
      <c r="R135" s="45"/>
      <c r="S135" s="176"/>
      <c r="T135" s="225"/>
      <c r="V135" s="462"/>
      <c r="W135" s="12"/>
      <c r="X135" s="204"/>
      <c r="Y135" s="204"/>
      <c r="Z135" s="9"/>
      <c r="AA135" s="9"/>
      <c r="AB135" s="204"/>
      <c r="AC135" s="204"/>
      <c r="AD135" s="204"/>
      <c r="AF135" s="225"/>
    </row>
    <row r="136" spans="1:32" s="18" customFormat="1" ht="12">
      <c r="B136" s="248"/>
      <c r="C136" s="44"/>
      <c r="D136" s="45"/>
      <c r="E136" s="46"/>
      <c r="F136" s="46"/>
      <c r="G136" s="46"/>
      <c r="H136" s="204"/>
      <c r="I136" s="204"/>
      <c r="J136" s="204"/>
      <c r="K136" s="204"/>
      <c r="L136" s="204"/>
      <c r="M136" s="204"/>
      <c r="N136" s="204"/>
      <c r="O136" s="204"/>
      <c r="P136" s="204"/>
      <c r="Q136" s="45"/>
      <c r="R136" s="45"/>
      <c r="S136" s="176"/>
      <c r="T136" s="225"/>
      <c r="V136" s="462"/>
      <c r="W136" s="12"/>
      <c r="X136" s="204"/>
      <c r="Y136" s="204"/>
      <c r="Z136" s="9"/>
      <c r="AA136" s="9"/>
      <c r="AB136" s="204"/>
      <c r="AC136" s="204"/>
      <c r="AD136" s="204"/>
      <c r="AF136" s="225"/>
    </row>
    <row r="137" spans="1:32" s="18" customFormat="1" ht="24" customHeight="1">
      <c r="B137" s="248"/>
      <c r="C137" s="47" t="s">
        <v>245</v>
      </c>
      <c r="D137" s="45"/>
      <c r="E137" s="46"/>
      <c r="F137" s="46"/>
      <c r="G137" s="46"/>
      <c r="H137" s="215" t="s">
        <v>246</v>
      </c>
      <c r="J137" s="215"/>
      <c r="K137" s="215"/>
      <c r="L137" s="215"/>
      <c r="M137" s="215"/>
      <c r="N137" s="215"/>
      <c r="O137" s="215"/>
      <c r="P137" s="227" t="s">
        <v>247</v>
      </c>
      <c r="Q137" s="45"/>
      <c r="R137" s="227" t="s">
        <v>248</v>
      </c>
      <c r="S137" s="255"/>
      <c r="T137" s="225"/>
      <c r="V137" s="462"/>
      <c r="W137" s="12"/>
      <c r="X137" s="226" t="s">
        <v>249</v>
      </c>
      <c r="Z137" s="226" t="s">
        <v>250</v>
      </c>
      <c r="AA137" s="226"/>
      <c r="AB137" s="226" t="s">
        <v>251</v>
      </c>
      <c r="AC137" s="226"/>
      <c r="AD137" s="226" t="s">
        <v>252</v>
      </c>
      <c r="AF137" s="225"/>
    </row>
    <row r="138" spans="1:32" s="18" customFormat="1" ht="12">
      <c r="B138" s="248"/>
      <c r="C138" s="44"/>
      <c r="D138" s="45"/>
      <c r="E138" s="46"/>
      <c r="F138" s="46"/>
      <c r="G138" s="46"/>
      <c r="H138" s="215"/>
      <c r="J138" s="215"/>
      <c r="K138" s="215"/>
      <c r="L138" s="215"/>
      <c r="M138" s="215"/>
      <c r="N138" s="215"/>
      <c r="O138" s="215"/>
      <c r="P138" s="227"/>
      <c r="Q138" s="45"/>
      <c r="R138" s="45"/>
      <c r="S138" s="255"/>
      <c r="T138" s="225"/>
      <c r="V138" s="462"/>
      <c r="W138" s="12"/>
      <c r="X138" s="227"/>
      <c r="Y138" s="226"/>
      <c r="Z138" s="227"/>
      <c r="AA138" s="227"/>
      <c r="AB138" s="227"/>
      <c r="AC138" s="227"/>
      <c r="AD138" s="227"/>
      <c r="AF138" s="225"/>
    </row>
    <row r="139" spans="1:32" s="18" customFormat="1" ht="12">
      <c r="B139" s="248"/>
      <c r="C139" s="48" t="s">
        <v>253</v>
      </c>
      <c r="D139" s="45"/>
      <c r="G139" s="45"/>
      <c r="H139" s="795">
        <f>_xlfn.IFNA(VLOOKUP($C$3,'Final CFR'!$C:$CZ,95,FALSE),0)</f>
        <v>0</v>
      </c>
      <c r="J139" s="207"/>
      <c r="K139" s="207"/>
      <c r="L139" s="207"/>
      <c r="M139" s="207"/>
      <c r="N139" s="207"/>
      <c r="O139" s="207"/>
      <c r="P139" s="795">
        <f>_xlfn.IFNA(VLOOKUP($C$3,'Final CFR'!$C:$DZ,105,FALSE),0)</f>
        <v>0</v>
      </c>
      <c r="Q139" s="45"/>
      <c r="R139" s="826"/>
      <c r="S139" s="826"/>
      <c r="T139" s="827"/>
      <c r="V139" s="464"/>
      <c r="W139" s="12"/>
      <c r="X139" s="49"/>
      <c r="Y139" s="50"/>
      <c r="Z139" s="49"/>
      <c r="AA139" s="50"/>
      <c r="AB139" s="49">
        <f>X139+H139</f>
        <v>0</v>
      </c>
      <c r="AC139" s="50"/>
      <c r="AD139" s="49">
        <f>P139+Z139</f>
        <v>0</v>
      </c>
      <c r="AF139" s="220"/>
    </row>
    <row r="140" spans="1:32" s="18" customFormat="1" ht="7.5" customHeight="1">
      <c r="B140" s="248"/>
      <c r="C140" s="465"/>
      <c r="D140" s="45"/>
      <c r="G140" s="45"/>
      <c r="H140" s="45"/>
      <c r="J140" s="45"/>
      <c r="K140" s="45"/>
      <c r="L140" s="45"/>
      <c r="M140" s="45"/>
      <c r="N140" s="45"/>
      <c r="O140" s="45"/>
      <c r="P140" s="45"/>
      <c r="Q140" s="45"/>
      <c r="R140" s="45"/>
      <c r="S140" s="256"/>
      <c r="T140" s="225"/>
      <c r="V140" s="462"/>
      <c r="W140" s="12"/>
      <c r="X140" s="45"/>
      <c r="Y140" s="45"/>
      <c r="Z140" s="45"/>
      <c r="AA140" s="45"/>
      <c r="AB140" s="45"/>
      <c r="AC140" s="45"/>
      <c r="AD140" s="45"/>
      <c r="AF140" s="225"/>
    </row>
    <row r="141" spans="1:32" s="18" customFormat="1" ht="12">
      <c r="B141" s="248"/>
      <c r="C141" s="47" t="s">
        <v>254</v>
      </c>
      <c r="D141" s="45"/>
      <c r="G141" s="45"/>
      <c r="H141" s="45"/>
      <c r="J141" s="45"/>
      <c r="K141" s="45"/>
      <c r="L141" s="45"/>
      <c r="M141" s="45"/>
      <c r="N141" s="45"/>
      <c r="O141" s="45"/>
      <c r="P141" s="45"/>
      <c r="Q141" s="45"/>
      <c r="R141" s="45"/>
      <c r="S141" s="256"/>
      <c r="T141" s="225"/>
      <c r="V141" s="462"/>
      <c r="W141" s="12"/>
      <c r="X141" s="45"/>
      <c r="Y141" s="45"/>
      <c r="Z141" s="45"/>
      <c r="AA141" s="45"/>
      <c r="AB141" s="45"/>
      <c r="AC141" s="45"/>
      <c r="AD141" s="45"/>
      <c r="AF141" s="225"/>
    </row>
    <row r="142" spans="1:32" s="18" customFormat="1" ht="12">
      <c r="B142" s="248"/>
      <c r="C142" s="52" t="s">
        <v>255</v>
      </c>
      <c r="D142" s="45"/>
      <c r="G142" s="45"/>
      <c r="H142" s="795">
        <f>_xlfn.IFNA(VLOOKUP($C$3,'Final CFR'!$C:$CZ,96,FALSE),0)</f>
        <v>0</v>
      </c>
      <c r="J142" s="207"/>
      <c r="K142" s="207"/>
      <c r="L142" s="207"/>
      <c r="M142" s="207"/>
      <c r="N142" s="207"/>
      <c r="O142" s="207"/>
      <c r="P142" s="795">
        <f>_xlfn.IFNA(VLOOKUP($C$3,'Final CFR'!$C:$DZ,106,FALSE),0)</f>
        <v>0</v>
      </c>
      <c r="Q142" s="45"/>
      <c r="R142" s="826"/>
      <c r="S142" s="826"/>
      <c r="T142" s="827"/>
      <c r="V142" s="462"/>
      <c r="W142" s="12"/>
      <c r="X142" s="49"/>
      <c r="Y142" s="50"/>
      <c r="Z142" s="49"/>
      <c r="AA142" s="50"/>
      <c r="AB142" s="49">
        <f>+H142+X142</f>
        <v>0</v>
      </c>
      <c r="AC142" s="50"/>
      <c r="AD142" s="49">
        <f>P142+Z142</f>
        <v>0</v>
      </c>
      <c r="AF142" s="220"/>
    </row>
    <row r="143" spans="1:32" s="18" customFormat="1" ht="12">
      <c r="B143" s="248"/>
      <c r="C143" s="52" t="s">
        <v>256</v>
      </c>
      <c r="D143" s="45"/>
      <c r="G143" s="46"/>
      <c r="H143" s="795">
        <f>_xlfn.IFNA(VLOOKUP($C$3,'Final CFR'!$C:$CZ,97,FALSE),0)</f>
        <v>0</v>
      </c>
      <c r="J143" s="207"/>
      <c r="K143" s="207"/>
      <c r="L143" s="207"/>
      <c r="M143" s="207"/>
      <c r="N143" s="207"/>
      <c r="O143" s="207"/>
      <c r="P143" s="795">
        <f>_xlfn.IFNA(VLOOKUP($C$3,'Final CFR'!$C:$DZ,107,FALSE),0)</f>
        <v>0</v>
      </c>
      <c r="Q143" s="45"/>
      <c r="R143" s="826"/>
      <c r="S143" s="826"/>
      <c r="T143" s="827"/>
      <c r="V143" s="462"/>
      <c r="W143" s="12"/>
      <c r="X143" s="49"/>
      <c r="Y143" s="50"/>
      <c r="Z143" s="49"/>
      <c r="AA143" s="50"/>
      <c r="AB143" s="49">
        <f>+H143+X143</f>
        <v>0</v>
      </c>
      <c r="AC143" s="50"/>
      <c r="AD143" s="49">
        <f>P143+Z143</f>
        <v>0</v>
      </c>
      <c r="AF143" s="220"/>
    </row>
    <row r="144" spans="1:32" s="18" customFormat="1" ht="11.1" customHeight="1">
      <c r="B144" s="248"/>
      <c r="C144" s="465"/>
      <c r="D144" s="45"/>
      <c r="G144" s="46"/>
      <c r="H144" s="46"/>
      <c r="J144" s="46"/>
      <c r="K144" s="46"/>
      <c r="L144" s="46"/>
      <c r="M144" s="46"/>
      <c r="N144" s="46"/>
      <c r="O144" s="46"/>
      <c r="P144" s="46"/>
      <c r="Q144" s="45"/>
      <c r="R144" s="45"/>
      <c r="S144" s="257"/>
      <c r="T144" s="225"/>
      <c r="V144" s="462"/>
      <c r="W144" s="12"/>
      <c r="X144" s="46"/>
      <c r="Y144" s="46"/>
      <c r="Z144" s="46"/>
      <c r="AA144" s="46"/>
      <c r="AB144" s="46"/>
      <c r="AC144" s="46"/>
      <c r="AD144" s="46"/>
      <c r="AF144" s="225"/>
    </row>
    <row r="145" spans="2:32" s="18" customFormat="1" ht="12">
      <c r="B145" s="248"/>
      <c r="C145" s="48" t="s">
        <v>257</v>
      </c>
      <c r="D145" s="45"/>
      <c r="G145" s="46"/>
      <c r="H145" s="16">
        <f>H139-H142+H143</f>
        <v>0</v>
      </c>
      <c r="J145" s="204"/>
      <c r="K145" s="204"/>
      <c r="L145" s="204"/>
      <c r="M145" s="204"/>
      <c r="N145" s="204"/>
      <c r="O145" s="204"/>
      <c r="P145" s="16">
        <f>P139-P142+P143</f>
        <v>0</v>
      </c>
      <c r="Q145" s="45"/>
      <c r="R145" s="45"/>
      <c r="S145" s="256"/>
      <c r="T145" s="225"/>
      <c r="V145" s="462"/>
      <c r="W145" s="12"/>
      <c r="X145" s="16">
        <f>X139-X142+X143</f>
        <v>0</v>
      </c>
      <c r="Y145" s="53"/>
      <c r="Z145" s="16">
        <f>Z139-Z142+Z143</f>
        <v>0</v>
      </c>
      <c r="AA145" s="53"/>
      <c r="AB145" s="16">
        <f>AB139-AB142+AB143</f>
        <v>0</v>
      </c>
      <c r="AC145" s="53"/>
      <c r="AD145" s="16">
        <f>AD139-AD142+AD143</f>
        <v>0</v>
      </c>
      <c r="AF145" s="225"/>
    </row>
    <row r="146" spans="2:32" s="18" customFormat="1" ht="9.9" customHeight="1">
      <c r="B146" s="248"/>
      <c r="C146" s="465"/>
      <c r="D146" s="45"/>
      <c r="G146" s="45"/>
      <c r="H146" s="45"/>
      <c r="J146" s="45"/>
      <c r="K146" s="45"/>
      <c r="L146" s="45"/>
      <c r="M146" s="45"/>
      <c r="N146" s="45"/>
      <c r="O146" s="45"/>
      <c r="P146" s="45"/>
      <c r="Q146" s="45"/>
      <c r="R146" s="45"/>
      <c r="S146" s="256"/>
      <c r="T146" s="225"/>
      <c r="V146" s="462"/>
      <c r="W146" s="12"/>
      <c r="X146" s="45"/>
      <c r="Y146" s="45"/>
      <c r="Z146" s="45"/>
      <c r="AA146" s="45"/>
      <c r="AB146" s="45"/>
      <c r="AC146" s="45"/>
      <c r="AD146" s="45"/>
      <c r="AF146" s="225"/>
    </row>
    <row r="147" spans="2:32" s="18" customFormat="1" ht="12">
      <c r="B147" s="248"/>
      <c r="C147" s="52" t="s">
        <v>258</v>
      </c>
      <c r="D147" s="45"/>
      <c r="G147" s="46"/>
      <c r="H147" s="795">
        <f>_xlfn.IFNA(VLOOKUP($C$3,'Final CFR'!$C:$CZ,99,FALSE),0)</f>
        <v>0</v>
      </c>
      <c r="J147" s="207"/>
      <c r="K147" s="207"/>
      <c r="L147" s="207"/>
      <c r="M147" s="207"/>
      <c r="N147" s="207"/>
      <c r="O147" s="207"/>
      <c r="P147" s="54"/>
      <c r="Q147" s="45"/>
      <c r="R147" s="826"/>
      <c r="S147" s="826"/>
      <c r="T147" s="827"/>
      <c r="V147" s="462"/>
      <c r="W147" s="12"/>
      <c r="X147" s="49"/>
      <c r="Y147" s="23"/>
      <c r="Z147" s="54"/>
      <c r="AA147" s="23"/>
      <c r="AB147" s="49">
        <f>X147+H147</f>
        <v>0</v>
      </c>
      <c r="AC147" s="23"/>
      <c r="AD147" s="54"/>
      <c r="AF147" s="220"/>
    </row>
    <row r="148" spans="2:32" s="18" customFormat="1" ht="12">
      <c r="B148" s="258"/>
      <c r="C148" s="52" t="s">
        <v>259</v>
      </c>
      <c r="D148" s="45"/>
      <c r="G148" s="46"/>
      <c r="H148" s="795">
        <f>_xlfn.IFNA(VLOOKUP($C$3,'Final CFR'!$C:$CZ,100,FALSE),0)</f>
        <v>0</v>
      </c>
      <c r="J148" s="207"/>
      <c r="K148" s="207"/>
      <c r="L148" s="207"/>
      <c r="M148" s="207"/>
      <c r="N148" s="207"/>
      <c r="O148" s="207"/>
      <c r="P148" s="54"/>
      <c r="Q148" s="45"/>
      <c r="R148" s="826"/>
      <c r="S148" s="826"/>
      <c r="T148" s="827"/>
      <c r="V148" s="462"/>
      <c r="W148" s="12"/>
      <c r="X148" s="49"/>
      <c r="Y148" s="23"/>
      <c r="Z148" s="54"/>
      <c r="AA148" s="23"/>
      <c r="AB148" s="49">
        <f>X148+H148</f>
        <v>0</v>
      </c>
      <c r="AC148" s="23"/>
      <c r="AD148" s="54"/>
      <c r="AF148" s="220"/>
    </row>
    <row r="149" spans="2:32" s="18" customFormat="1" ht="12">
      <c r="B149" s="258"/>
      <c r="C149" s="52" t="s">
        <v>260</v>
      </c>
      <c r="D149" s="45"/>
      <c r="G149" s="46"/>
      <c r="H149" s="795">
        <f>_xlfn.IFNA(VLOOKUP($C$3,'Final CFR'!$C:$CZ,101,FALSE),0)</f>
        <v>0</v>
      </c>
      <c r="J149" s="207"/>
      <c r="K149" s="207"/>
      <c r="L149" s="207"/>
      <c r="M149" s="207"/>
      <c r="N149" s="207"/>
      <c r="O149" s="207"/>
      <c r="P149" s="54"/>
      <c r="Q149" s="45"/>
      <c r="R149" s="826"/>
      <c r="S149" s="826"/>
      <c r="T149" s="827"/>
      <c r="V149" s="462"/>
      <c r="W149" s="12"/>
      <c r="X149" s="49"/>
      <c r="Y149" s="23"/>
      <c r="Z149" s="54"/>
      <c r="AA149" s="23"/>
      <c r="AB149" s="49">
        <f>X149+H149</f>
        <v>0</v>
      </c>
      <c r="AC149" s="23"/>
      <c r="AD149" s="54"/>
      <c r="AF149" s="220"/>
    </row>
    <row r="150" spans="2:32" s="18" customFormat="1" ht="12">
      <c r="B150" s="258"/>
      <c r="C150" s="52" t="s">
        <v>261</v>
      </c>
      <c r="D150" s="45"/>
      <c r="G150" s="46"/>
      <c r="H150" s="795">
        <f>_xlfn.IFNA(VLOOKUP($C$3,'Final CFR'!$C:$CZ,102,FALSE),0)</f>
        <v>0</v>
      </c>
      <c r="J150" s="207"/>
      <c r="K150" s="207"/>
      <c r="L150" s="207"/>
      <c r="M150" s="207"/>
      <c r="N150" s="207"/>
      <c r="O150" s="207"/>
      <c r="P150" s="54"/>
      <c r="Q150" s="45"/>
      <c r="R150" s="826"/>
      <c r="S150" s="826"/>
      <c r="T150" s="827"/>
      <c r="V150" s="462"/>
      <c r="W150" s="12"/>
      <c r="X150" s="49"/>
      <c r="Y150" s="23"/>
      <c r="Z150" s="54"/>
      <c r="AA150" s="23"/>
      <c r="AB150" s="49">
        <f>X150+H150</f>
        <v>0</v>
      </c>
      <c r="AC150" s="23"/>
      <c r="AD150" s="54"/>
      <c r="AF150" s="220"/>
    </row>
    <row r="151" spans="2:32" s="18" customFormat="1" ht="12">
      <c r="B151" s="258"/>
      <c r="C151" s="52" t="s">
        <v>262</v>
      </c>
      <c r="D151" s="45"/>
      <c r="G151" s="46"/>
      <c r="H151" s="795">
        <f>_xlfn.IFNA(VLOOKUP($C$3,'Final CFR'!$C:$DZ,103,FALSE),0)</f>
        <v>0</v>
      </c>
      <c r="J151" s="207"/>
      <c r="K151" s="207"/>
      <c r="L151" s="207"/>
      <c r="M151" s="207"/>
      <c r="N151" s="207"/>
      <c r="O151" s="207"/>
      <c r="P151" s="774">
        <f>-_xlfn.IFNA(VLOOKUP(C3,'Cash Advances'!A:AA,27,FALSE),0)</f>
        <v>0</v>
      </c>
      <c r="Q151" s="45"/>
      <c r="R151" s="826"/>
      <c r="S151" s="826"/>
      <c r="T151" s="827"/>
      <c r="V151" s="462"/>
      <c r="W151" s="12"/>
      <c r="X151" s="49"/>
      <c r="Y151" s="50"/>
      <c r="Z151" s="49">
        <v>0</v>
      </c>
      <c r="AA151" s="50"/>
      <c r="AB151" s="49">
        <f>X151+H151</f>
        <v>0</v>
      </c>
      <c r="AC151" s="50"/>
      <c r="AD151" s="49">
        <f>P151+Z151</f>
        <v>0</v>
      </c>
      <c r="AF151" s="220"/>
    </row>
    <row r="152" spans="2:32" s="18" customFormat="1" ht="9.9" customHeight="1">
      <c r="B152" s="258"/>
      <c r="C152" s="465"/>
      <c r="D152" s="45"/>
      <c r="G152" s="45"/>
      <c r="H152" s="45"/>
      <c r="J152" s="45"/>
      <c r="K152" s="45"/>
      <c r="L152" s="45"/>
      <c r="M152" s="45"/>
      <c r="N152" s="45"/>
      <c r="O152" s="45"/>
      <c r="P152" s="45"/>
      <c r="Q152" s="45"/>
      <c r="R152" s="45"/>
      <c r="S152" s="256"/>
      <c r="T152" s="225"/>
      <c r="V152" s="462"/>
      <c r="W152" s="12"/>
      <c r="X152" s="45"/>
      <c r="Y152" s="45"/>
      <c r="Z152" s="45"/>
      <c r="AA152" s="45"/>
      <c r="AB152" s="45"/>
      <c r="AC152" s="45"/>
      <c r="AD152" s="45"/>
      <c r="AF152" s="225"/>
    </row>
    <row r="153" spans="2:32" s="18" customFormat="1" ht="12">
      <c r="B153" s="258"/>
      <c r="C153" s="48" t="s">
        <v>263</v>
      </c>
      <c r="D153" s="45"/>
      <c r="G153" s="45"/>
      <c r="H153" s="16">
        <f>SUM(H145:H151)</f>
        <v>0</v>
      </c>
      <c r="J153" s="204"/>
      <c r="K153" s="204"/>
      <c r="L153" s="204"/>
      <c r="M153" s="204"/>
      <c r="N153" s="204"/>
      <c r="O153" s="204"/>
      <c r="P153" s="16">
        <f>SUM(P145:P151)</f>
        <v>0</v>
      </c>
      <c r="Q153" s="45"/>
      <c r="R153" s="45"/>
      <c r="S153" s="256"/>
      <c r="T153" s="225"/>
      <c r="V153" s="462"/>
      <c r="W153" s="12"/>
      <c r="X153" s="16">
        <f>SUM(X145:X151)</f>
        <v>0</v>
      </c>
      <c r="Y153" s="53"/>
      <c r="Z153" s="16">
        <f>SUM(Z145:Z151)</f>
        <v>0</v>
      </c>
      <c r="AA153" s="53"/>
      <c r="AB153" s="16">
        <f>SUM(AB145:AB151)</f>
        <v>0</v>
      </c>
      <c r="AC153" s="53"/>
      <c r="AD153" s="16">
        <f>SUM(AD145:AD151)</f>
        <v>0</v>
      </c>
      <c r="AF153" s="225"/>
    </row>
    <row r="154" spans="2:32" s="18" customFormat="1" ht="12">
      <c r="B154" s="258"/>
      <c r="C154" s="55"/>
      <c r="D154" s="45"/>
      <c r="G154" s="45"/>
      <c r="H154" s="46"/>
      <c r="I154" s="204"/>
      <c r="J154" s="204"/>
      <c r="K154" s="204"/>
      <c r="L154" s="204"/>
      <c r="M154" s="204"/>
      <c r="N154" s="204"/>
      <c r="O154" s="204"/>
      <c r="P154" s="45"/>
      <c r="Q154" s="45"/>
      <c r="R154" s="45"/>
      <c r="S154" s="256"/>
      <c r="T154" s="225"/>
      <c r="V154" s="462"/>
      <c r="W154" s="12"/>
      <c r="X154" s="45"/>
      <c r="Y154" s="45"/>
      <c r="Z154" s="9"/>
      <c r="AA154" s="9"/>
      <c r="AB154" s="45"/>
      <c r="AC154" s="45"/>
      <c r="AD154" s="45"/>
      <c r="AF154" s="225"/>
    </row>
    <row r="155" spans="2:32" s="18" customFormat="1" ht="12">
      <c r="B155" s="258"/>
      <c r="C155" s="44"/>
      <c r="D155" s="45"/>
      <c r="G155" s="45"/>
      <c r="H155" s="46"/>
      <c r="I155" s="204"/>
      <c r="J155" s="204"/>
      <c r="K155" s="204"/>
      <c r="L155" s="204"/>
      <c r="M155" s="204"/>
      <c r="N155" s="204"/>
      <c r="O155" s="204"/>
      <c r="P155" s="45"/>
      <c r="Q155" s="45"/>
      <c r="R155" s="45"/>
      <c r="S155" s="256"/>
      <c r="T155" s="225"/>
      <c r="V155" s="462"/>
      <c r="W155" s="12"/>
      <c r="X155" s="45"/>
      <c r="Y155" s="45"/>
      <c r="Z155" s="9"/>
      <c r="AA155" s="9"/>
      <c r="AB155" s="45"/>
      <c r="AC155" s="45"/>
      <c r="AD155" s="45"/>
      <c r="AF155" s="225"/>
    </row>
    <row r="156" spans="2:32" s="18" customFormat="1" ht="14.1" customHeight="1">
      <c r="B156" s="258"/>
      <c r="C156" s="56" t="s">
        <v>264</v>
      </c>
      <c r="D156" s="45"/>
      <c r="G156" s="45"/>
      <c r="H156" s="46"/>
      <c r="I156" s="204"/>
      <c r="J156" s="204"/>
      <c r="K156" s="204"/>
      <c r="L156" s="204"/>
      <c r="M156" s="204"/>
      <c r="N156" s="204"/>
      <c r="O156" s="204"/>
      <c r="P156" s="228"/>
      <c r="Q156" s="45"/>
      <c r="R156" s="45"/>
      <c r="S156" s="259"/>
      <c r="T156" s="225"/>
      <c r="V156" s="462"/>
      <c r="W156" s="12"/>
      <c r="X156" s="228"/>
      <c r="Y156" s="204"/>
      <c r="Z156" s="9"/>
      <c r="AA156" s="9"/>
      <c r="AB156" s="228"/>
      <c r="AC156" s="204"/>
      <c r="AD156" s="228"/>
      <c r="AF156" s="225"/>
    </row>
    <row r="157" spans="2:32" s="18" customFormat="1" ht="12">
      <c r="B157" s="258"/>
      <c r="C157" s="52" t="s">
        <v>265</v>
      </c>
      <c r="D157" s="45"/>
      <c r="G157" s="45"/>
      <c r="H157" s="46"/>
      <c r="I157" s="204"/>
      <c r="J157" s="45" t="s">
        <v>266</v>
      </c>
      <c r="K157" s="204"/>
      <c r="L157" s="45"/>
      <c r="M157" s="204"/>
      <c r="N157" s="45" t="s">
        <v>266</v>
      </c>
      <c r="O157" s="204"/>
      <c r="P157" s="568">
        <f>_xlfn.IFNA(VLOOKUP($C$3,'Final CFR'!$C:$DZ,114,FALSE),0)</f>
        <v>0</v>
      </c>
      <c r="R157" s="826"/>
      <c r="S157" s="826"/>
      <c r="T157" s="827"/>
      <c r="V157" s="462"/>
      <c r="W157" s="12"/>
      <c r="X157" s="49"/>
      <c r="Y157" s="229"/>
      <c r="Z157" s="9"/>
      <c r="AA157" s="9"/>
      <c r="AB157" s="49">
        <f>+X157+P157</f>
        <v>0</v>
      </c>
      <c r="AC157" s="229"/>
      <c r="AD157" s="229"/>
      <c r="AF157" s="220"/>
    </row>
    <row r="158" spans="2:32" s="18" customFormat="1" ht="12">
      <c r="B158" s="258"/>
      <c r="C158" s="52" t="s">
        <v>267</v>
      </c>
      <c r="D158" s="45"/>
      <c r="G158" s="45"/>
      <c r="H158" s="46"/>
      <c r="I158" s="204"/>
      <c r="J158" s="45" t="s">
        <v>266</v>
      </c>
      <c r="K158" s="204"/>
      <c r="L158" s="45"/>
      <c r="M158" s="204"/>
      <c r="N158" s="45" t="s">
        <v>266</v>
      </c>
      <c r="O158" s="204"/>
      <c r="P158" s="568">
        <f>_xlfn.IFNA(VLOOKUP($C$3,'Final CFR'!$C:$DZ,115,FALSE),0)</f>
        <v>0</v>
      </c>
      <c r="R158" s="826"/>
      <c r="S158" s="826"/>
      <c r="T158" s="827"/>
      <c r="V158" s="462"/>
      <c r="W158" s="12"/>
      <c r="X158" s="49"/>
      <c r="Y158" s="229"/>
      <c r="Z158" s="9"/>
      <c r="AA158" s="9"/>
      <c r="AB158" s="49">
        <f t="shared" ref="AB158:AB164" si="70">+X158+P158</f>
        <v>0</v>
      </c>
      <c r="AC158" s="229"/>
      <c r="AD158" s="229"/>
      <c r="AF158" s="220"/>
    </row>
    <row r="159" spans="2:32" s="18" customFormat="1" ht="12">
      <c r="B159" s="258"/>
      <c r="C159" s="52" t="s">
        <v>268</v>
      </c>
      <c r="D159" s="45"/>
      <c r="G159" s="45"/>
      <c r="H159" s="46"/>
      <c r="I159" s="204"/>
      <c r="J159" s="45" t="s">
        <v>266</v>
      </c>
      <c r="K159" s="204"/>
      <c r="L159" s="45"/>
      <c r="M159" s="204"/>
      <c r="N159" s="45" t="s">
        <v>266</v>
      </c>
      <c r="O159" s="204"/>
      <c r="P159" s="568">
        <f>_xlfn.IFNA(VLOOKUP($C$3,'Final CFR'!$C:$DZ,116,FALSE),0)</f>
        <v>0</v>
      </c>
      <c r="R159" s="826"/>
      <c r="S159" s="826"/>
      <c r="T159" s="827"/>
      <c r="V159" s="462"/>
      <c r="W159" s="12"/>
      <c r="X159" s="49"/>
      <c r="Y159" s="229"/>
      <c r="Z159" s="9"/>
      <c r="AA159" s="9"/>
      <c r="AB159" s="49">
        <f t="shared" si="70"/>
        <v>0</v>
      </c>
      <c r="AC159" s="229"/>
      <c r="AD159" s="229"/>
      <c r="AF159" s="220"/>
    </row>
    <row r="160" spans="2:32" s="18" customFormat="1" ht="12">
      <c r="B160" s="258"/>
      <c r="C160" s="52" t="s">
        <v>269</v>
      </c>
      <c r="D160" s="45"/>
      <c r="G160" s="45"/>
      <c r="H160" s="46"/>
      <c r="I160" s="204"/>
      <c r="J160" s="45" t="s">
        <v>266</v>
      </c>
      <c r="K160" s="204"/>
      <c r="L160" s="45"/>
      <c r="M160" s="204"/>
      <c r="N160" s="45" t="s">
        <v>266</v>
      </c>
      <c r="O160" s="204"/>
      <c r="P160" s="568">
        <f>_xlfn.IFNA(VLOOKUP($C$3,'Final CFR'!$C:$DZ,117,FALSE),0)</f>
        <v>0</v>
      </c>
      <c r="R160" s="826"/>
      <c r="S160" s="826"/>
      <c r="T160" s="827"/>
      <c r="V160" s="462"/>
      <c r="W160" s="12"/>
      <c r="X160" s="49"/>
      <c r="Y160" s="229"/>
      <c r="Z160" s="9"/>
      <c r="AA160" s="9"/>
      <c r="AB160" s="49">
        <f t="shared" si="70"/>
        <v>0</v>
      </c>
      <c r="AC160" s="229"/>
      <c r="AD160" s="229"/>
      <c r="AF160" s="220"/>
    </row>
    <row r="161" spans="2:32" s="18" customFormat="1" ht="12">
      <c r="B161" s="258"/>
      <c r="C161" s="52" t="s">
        <v>270</v>
      </c>
      <c r="D161" s="45"/>
      <c r="G161" s="45"/>
      <c r="H161" s="46"/>
      <c r="I161" s="204"/>
      <c r="J161" s="45" t="s">
        <v>271</v>
      </c>
      <c r="K161" s="204"/>
      <c r="L161" s="45"/>
      <c r="M161" s="204"/>
      <c r="N161" s="45" t="s">
        <v>271</v>
      </c>
      <c r="O161" s="204"/>
      <c r="P161" s="568">
        <f>_xlfn.IFNA(VLOOKUP($C$3,'Final CFR'!$C:$DZ,118,FALSE),0)</f>
        <v>0</v>
      </c>
      <c r="R161" s="826"/>
      <c r="S161" s="826"/>
      <c r="T161" s="827"/>
      <c r="V161" s="462"/>
      <c r="W161" s="12"/>
      <c r="X161" s="49"/>
      <c r="Y161" s="229"/>
      <c r="Z161" s="9"/>
      <c r="AA161" s="9"/>
      <c r="AB161" s="49">
        <f t="shared" si="70"/>
        <v>0</v>
      </c>
      <c r="AC161" s="229"/>
      <c r="AD161" s="229"/>
      <c r="AF161" s="220"/>
    </row>
    <row r="162" spans="2:32" s="18" customFormat="1" ht="12">
      <c r="B162" s="258"/>
      <c r="C162" s="52" t="s">
        <v>272</v>
      </c>
      <c r="D162" s="45"/>
      <c r="G162" s="45"/>
      <c r="H162" s="46"/>
      <c r="I162" s="204"/>
      <c r="J162" s="45" t="s">
        <v>271</v>
      </c>
      <c r="K162" s="204"/>
      <c r="L162" s="45"/>
      <c r="M162" s="204"/>
      <c r="N162" s="45" t="s">
        <v>271</v>
      </c>
      <c r="O162" s="204"/>
      <c r="P162" s="568">
        <f>_xlfn.IFNA(VLOOKUP($C$3,'Final CFR'!$C:$DZ,119,FALSE),0)</f>
        <v>0</v>
      </c>
      <c r="R162" s="826"/>
      <c r="S162" s="826"/>
      <c r="T162" s="827"/>
      <c r="V162" s="462"/>
      <c r="W162" s="12"/>
      <c r="X162" s="49"/>
      <c r="Y162" s="229"/>
      <c r="Z162" s="9"/>
      <c r="AA162" s="9"/>
      <c r="AB162" s="49">
        <f t="shared" si="70"/>
        <v>0</v>
      </c>
      <c r="AC162" s="229"/>
      <c r="AD162" s="229"/>
      <c r="AF162" s="220"/>
    </row>
    <row r="163" spans="2:32" s="18" customFormat="1" ht="12">
      <c r="B163" s="258"/>
      <c r="C163" s="52" t="s">
        <v>273</v>
      </c>
      <c r="D163" s="45"/>
      <c r="G163" s="45"/>
      <c r="H163" s="46"/>
      <c r="I163" s="204"/>
      <c r="J163" s="45" t="s">
        <v>271</v>
      </c>
      <c r="K163" s="204"/>
      <c r="L163" s="45"/>
      <c r="M163" s="204"/>
      <c r="N163" s="45" t="s">
        <v>271</v>
      </c>
      <c r="O163" s="204"/>
      <c r="P163" s="568">
        <f>_xlfn.IFNA(VLOOKUP($C$3,'Final CFR'!$C:$DZ,120,FALSE),0)</f>
        <v>0</v>
      </c>
      <c r="R163" s="826"/>
      <c r="S163" s="826"/>
      <c r="T163" s="827"/>
      <c r="V163" s="462"/>
      <c r="W163" s="12"/>
      <c r="X163" s="49"/>
      <c r="Y163" s="229"/>
      <c r="Z163" s="9"/>
      <c r="AA163" s="9"/>
      <c r="AB163" s="49">
        <f t="shared" si="70"/>
        <v>0</v>
      </c>
      <c r="AC163" s="229"/>
      <c r="AD163" s="229"/>
      <c r="AF163" s="220"/>
    </row>
    <row r="164" spans="2:32" s="18" customFormat="1" ht="12">
      <c r="B164" s="258"/>
      <c r="C164" s="52" t="s">
        <v>274</v>
      </c>
      <c r="D164" s="45"/>
      <c r="G164" s="45"/>
      <c r="H164" s="46"/>
      <c r="I164" s="204"/>
      <c r="J164" s="45" t="s">
        <v>271</v>
      </c>
      <c r="K164" s="204"/>
      <c r="L164" s="45"/>
      <c r="M164" s="204"/>
      <c r="N164" s="45" t="s">
        <v>271</v>
      </c>
      <c r="O164" s="204"/>
      <c r="P164" s="568">
        <f>_xlfn.IFNA(VLOOKUP($C$3,'Final CFR'!$C:$DZ,121,FALSE),0)</f>
        <v>0</v>
      </c>
      <c r="R164" s="826"/>
      <c r="S164" s="826"/>
      <c r="T164" s="827"/>
      <c r="V164" s="462"/>
      <c r="W164" s="12"/>
      <c r="X164" s="49"/>
      <c r="Y164" s="229"/>
      <c r="Z164" s="9"/>
      <c r="AA164" s="9"/>
      <c r="AB164" s="49">
        <f t="shared" si="70"/>
        <v>0</v>
      </c>
      <c r="AF164" s="220"/>
    </row>
    <row r="165" spans="2:32" s="18" customFormat="1" ht="12">
      <c r="B165" s="258"/>
      <c r="C165" s="260"/>
      <c r="D165" s="45"/>
      <c r="G165" s="45"/>
      <c r="H165" s="46"/>
      <c r="I165" s="204"/>
      <c r="J165" s="45"/>
      <c r="K165" s="204"/>
      <c r="L165" s="45"/>
      <c r="M165" s="204"/>
      <c r="N165" s="45"/>
      <c r="O165" s="204"/>
      <c r="P165" s="229"/>
      <c r="R165" s="45"/>
      <c r="S165" s="257"/>
      <c r="T165" s="225"/>
      <c r="V165" s="462"/>
      <c r="W165" s="12"/>
      <c r="X165" s="229"/>
      <c r="Y165" s="229"/>
      <c r="Z165" s="9"/>
      <c r="AA165" s="9"/>
      <c r="AB165" s="229"/>
      <c r="AF165" s="225"/>
    </row>
    <row r="166" spans="2:32" s="18" customFormat="1" ht="12">
      <c r="B166" s="258"/>
      <c r="C166" s="48" t="s">
        <v>275</v>
      </c>
      <c r="D166" s="45"/>
      <c r="G166" s="45"/>
      <c r="H166" s="46"/>
      <c r="I166" s="204"/>
      <c r="J166" s="45"/>
      <c r="K166" s="204"/>
      <c r="L166" s="45"/>
      <c r="M166" s="204"/>
      <c r="N166" s="45"/>
      <c r="O166" s="204"/>
      <c r="P166" s="16">
        <f>SUM(P157:P164)</f>
        <v>0</v>
      </c>
      <c r="S166" s="180"/>
      <c r="T166" s="225"/>
      <c r="V166" s="462"/>
      <c r="W166" s="12"/>
      <c r="X166" s="57">
        <f>SUM(X157:X164)</f>
        <v>0</v>
      </c>
      <c r="Y166" s="230"/>
      <c r="Z166" s="9"/>
      <c r="AA166" s="9"/>
      <c r="AB166" s="57">
        <f>SUM(AB157:AB164)</f>
        <v>0</v>
      </c>
      <c r="AF166" s="225"/>
    </row>
    <row r="167" spans="2:32" s="18" customFormat="1" ht="12">
      <c r="B167" s="258"/>
      <c r="C167" s="260"/>
      <c r="D167" s="45"/>
      <c r="G167" s="45"/>
      <c r="H167" s="46"/>
      <c r="I167" s="204"/>
      <c r="J167" s="45"/>
      <c r="K167" s="204"/>
      <c r="L167" s="45"/>
      <c r="M167" s="204"/>
      <c r="N167" s="45"/>
      <c r="O167" s="204"/>
      <c r="P167" s="229"/>
      <c r="S167" s="257"/>
      <c r="T167" s="225"/>
      <c r="V167" s="462"/>
      <c r="W167" s="12"/>
      <c r="X167" s="229"/>
      <c r="Y167" s="229"/>
      <c r="Z167" s="9"/>
      <c r="AA167" s="9"/>
      <c r="AB167" s="229"/>
      <c r="AF167" s="225"/>
    </row>
    <row r="168" spans="2:32" s="18" customFormat="1" ht="12">
      <c r="B168" s="258"/>
      <c r="C168" s="260"/>
      <c r="D168" s="45"/>
      <c r="G168" s="45"/>
      <c r="H168" s="46"/>
      <c r="I168" s="204"/>
      <c r="J168" s="45"/>
      <c r="K168" s="204"/>
      <c r="L168" s="45"/>
      <c r="M168" s="204"/>
      <c r="N168" s="45"/>
      <c r="O168" s="204"/>
      <c r="P168" s="229"/>
      <c r="S168" s="257"/>
      <c r="T168" s="225"/>
      <c r="V168" s="462"/>
      <c r="W168" s="12"/>
      <c r="X168" s="229"/>
      <c r="Y168" s="229"/>
      <c r="Z168" s="9"/>
      <c r="AA168" s="9"/>
      <c r="AB168" s="229"/>
      <c r="AF168" s="225"/>
    </row>
    <row r="169" spans="2:32" s="18" customFormat="1" ht="12">
      <c r="B169" s="258"/>
      <c r="C169" s="56" t="s">
        <v>276</v>
      </c>
      <c r="D169" s="45"/>
      <c r="G169" s="45"/>
      <c r="H169" s="46"/>
      <c r="I169" s="204"/>
      <c r="J169" s="45"/>
      <c r="K169" s="204"/>
      <c r="L169" s="45"/>
      <c r="M169" s="204"/>
      <c r="N169" s="45"/>
      <c r="O169" s="204"/>
      <c r="P169" s="229"/>
      <c r="S169" s="257"/>
      <c r="T169" s="225"/>
      <c r="V169" s="462"/>
      <c r="W169" s="12"/>
      <c r="X169" s="229"/>
      <c r="Y169" s="229"/>
      <c r="Z169" s="9"/>
      <c r="AA169" s="9"/>
      <c r="AB169" s="229"/>
      <c r="AF169" s="225"/>
    </row>
    <row r="170" spans="2:32" s="18" customFormat="1" ht="12">
      <c r="B170" s="258"/>
      <c r="C170" s="52" t="s">
        <v>265</v>
      </c>
      <c r="D170" s="45" t="s">
        <v>277</v>
      </c>
      <c r="G170" s="45"/>
      <c r="H170" s="46"/>
      <c r="I170" s="204"/>
      <c r="J170" s="45" t="s">
        <v>278</v>
      </c>
      <c r="K170" s="204"/>
      <c r="L170" s="45"/>
      <c r="M170" s="204"/>
      <c r="N170" s="45" t="s">
        <v>278</v>
      </c>
      <c r="O170" s="204"/>
      <c r="P170" s="795">
        <f>_xlfn.IFNA(VLOOKUP($C$3,'Final CFR'!$C:$DZ,123,FALSE),0)</f>
        <v>0</v>
      </c>
      <c r="Q170" s="481"/>
      <c r="R170" s="828" t="s">
        <v>279</v>
      </c>
      <c r="S170" s="828"/>
      <c r="T170" s="829"/>
      <c r="V170" s="462"/>
      <c r="W170" s="12"/>
      <c r="X170" s="49"/>
      <c r="Y170" s="231"/>
      <c r="Z170" s="9"/>
      <c r="AA170" s="9"/>
      <c r="AB170" s="49">
        <f>+X170+P170</f>
        <v>0</v>
      </c>
      <c r="AF170" s="220"/>
    </row>
    <row r="171" spans="2:32" s="18" customFormat="1" ht="12">
      <c r="B171" s="258"/>
      <c r="C171" s="52" t="s">
        <v>267</v>
      </c>
      <c r="D171" s="45" t="s">
        <v>277</v>
      </c>
      <c r="G171" s="45"/>
      <c r="H171" s="46"/>
      <c r="I171" s="204"/>
      <c r="J171" s="45" t="s">
        <v>278</v>
      </c>
      <c r="K171" s="204"/>
      <c r="L171" s="45"/>
      <c r="M171" s="204"/>
      <c r="N171" s="45" t="s">
        <v>278</v>
      </c>
      <c r="O171" s="204"/>
      <c r="P171" s="795">
        <f>_xlfn.IFNA(VLOOKUP($C$3,'Final CFR'!$C:$DZ,124,FALSE),0)</f>
        <v>0</v>
      </c>
      <c r="Q171" s="481"/>
      <c r="R171" s="828" t="s">
        <v>279</v>
      </c>
      <c r="S171" s="828"/>
      <c r="T171" s="829"/>
      <c r="V171" s="462"/>
      <c r="W171" s="12"/>
      <c r="X171" s="49"/>
      <c r="Y171" s="231"/>
      <c r="Z171" s="9"/>
      <c r="AA171" s="9"/>
      <c r="AB171" s="49">
        <f t="shared" ref="AB171" si="71">+X171+P171</f>
        <v>0</v>
      </c>
      <c r="AF171" s="220"/>
    </row>
    <row r="172" spans="2:32" s="18" customFormat="1" ht="12">
      <c r="B172" s="258"/>
      <c r="C172" s="260"/>
      <c r="D172" s="45"/>
      <c r="G172" s="45"/>
      <c r="H172" s="46"/>
      <c r="I172" s="204"/>
      <c r="J172" s="45"/>
      <c r="K172" s="204"/>
      <c r="L172" s="45"/>
      <c r="M172" s="204"/>
      <c r="N172" s="45"/>
      <c r="O172" s="204"/>
      <c r="P172" s="229"/>
      <c r="R172" s="777"/>
      <c r="S172" s="778"/>
      <c r="T172" s="779"/>
      <c r="V172" s="462"/>
      <c r="W172" s="12"/>
      <c r="X172" s="229"/>
      <c r="Y172" s="229"/>
      <c r="Z172" s="9"/>
      <c r="AA172" s="9"/>
      <c r="AB172" s="229"/>
      <c r="AF172" s="225"/>
    </row>
    <row r="173" spans="2:32" s="18" customFormat="1" ht="12">
      <c r="B173" s="258"/>
      <c r="C173" s="56" t="s">
        <v>280</v>
      </c>
      <c r="D173" s="45"/>
      <c r="G173" s="45"/>
      <c r="H173" s="46"/>
      <c r="I173" s="204"/>
      <c r="J173" s="45"/>
      <c r="K173" s="204"/>
      <c r="L173" s="45"/>
      <c r="M173" s="204"/>
      <c r="N173" s="45"/>
      <c r="O173" s="204"/>
      <c r="P173" s="229"/>
      <c r="R173" s="777"/>
      <c r="S173" s="778"/>
      <c r="T173" s="779"/>
      <c r="V173" s="462"/>
      <c r="W173" s="12"/>
      <c r="X173" s="229"/>
      <c r="Y173" s="229"/>
      <c r="Z173" s="9"/>
      <c r="AA173" s="9"/>
      <c r="AB173" s="229"/>
      <c r="AF173" s="225"/>
    </row>
    <row r="174" spans="2:32" s="18" customFormat="1" ht="12">
      <c r="B174" s="258"/>
      <c r="C174" s="52" t="s">
        <v>270</v>
      </c>
      <c r="D174" s="45" t="s">
        <v>277</v>
      </c>
      <c r="G174" s="45"/>
      <c r="H174" s="46"/>
      <c r="I174" s="204"/>
      <c r="J174" s="45" t="s">
        <v>281</v>
      </c>
      <c r="K174" s="204"/>
      <c r="L174" s="45"/>
      <c r="M174" s="204"/>
      <c r="N174" s="45" t="s">
        <v>281</v>
      </c>
      <c r="O174" s="204"/>
      <c r="P174" s="795">
        <f>_xlfn.IFNA(VLOOKUP($C$3,'Final CFR'!$C:$DZ,125,FALSE),0)</f>
        <v>0</v>
      </c>
      <c r="Q174" s="481"/>
      <c r="R174" s="828" t="s">
        <v>282</v>
      </c>
      <c r="S174" s="828"/>
      <c r="T174" s="829"/>
      <c r="V174" s="462"/>
      <c r="W174" s="12"/>
      <c r="X174" s="49"/>
      <c r="Y174" s="231"/>
      <c r="Z174" s="9"/>
      <c r="AA174" s="9"/>
      <c r="AB174" s="49">
        <f>+X174+P174</f>
        <v>0</v>
      </c>
      <c r="AF174" s="220"/>
    </row>
    <row r="175" spans="2:32" s="18" customFormat="1" ht="12">
      <c r="B175" s="258"/>
      <c r="C175" s="52" t="s">
        <v>272</v>
      </c>
      <c r="D175" s="45" t="s">
        <v>277</v>
      </c>
      <c r="G175" s="45"/>
      <c r="H175" s="46"/>
      <c r="I175" s="204"/>
      <c r="J175" s="45" t="s">
        <v>281</v>
      </c>
      <c r="K175" s="204"/>
      <c r="L175" s="45"/>
      <c r="M175" s="204"/>
      <c r="N175" s="45" t="s">
        <v>281</v>
      </c>
      <c r="O175" s="204"/>
      <c r="P175" s="795">
        <f>_xlfn.IFNA(VLOOKUP($C$3,'Final CFR'!$C:$DZ,126,FALSE),0)</f>
        <v>0</v>
      </c>
      <c r="Q175" s="481"/>
      <c r="R175" s="828" t="s">
        <v>282</v>
      </c>
      <c r="S175" s="828"/>
      <c r="T175" s="829"/>
      <c r="V175" s="462"/>
      <c r="W175" s="12"/>
      <c r="X175" s="49"/>
      <c r="Y175" s="231"/>
      <c r="Z175" s="9"/>
      <c r="AA175" s="9"/>
      <c r="AB175" s="49">
        <f>+X175+P175</f>
        <v>0</v>
      </c>
      <c r="AF175" s="220"/>
    </row>
    <row r="176" spans="2:32" s="18" customFormat="1" ht="12">
      <c r="B176" s="258"/>
      <c r="C176" s="260"/>
      <c r="D176" s="45"/>
      <c r="G176" s="45"/>
      <c r="H176" s="46"/>
      <c r="I176" s="204"/>
      <c r="K176" s="204"/>
      <c r="L176" s="45"/>
      <c r="M176" s="204"/>
      <c r="N176" s="45"/>
      <c r="O176" s="204"/>
      <c r="P176" s="58"/>
      <c r="R176" s="777"/>
      <c r="S176" s="780"/>
      <c r="T176" s="779"/>
      <c r="V176" s="462"/>
      <c r="W176" s="12"/>
      <c r="X176" s="58"/>
      <c r="Y176" s="231"/>
      <c r="Z176" s="9"/>
      <c r="AA176" s="9"/>
      <c r="AB176" s="58"/>
      <c r="AF176" s="225"/>
    </row>
    <row r="177" spans="2:32" s="18" customFormat="1" ht="12">
      <c r="B177" s="258"/>
      <c r="C177" s="52" t="s">
        <v>283</v>
      </c>
      <c r="D177" s="45" t="s">
        <v>277</v>
      </c>
      <c r="G177" s="45"/>
      <c r="H177" s="46"/>
      <c r="I177" s="204"/>
      <c r="J177" s="45" t="s">
        <v>278</v>
      </c>
      <c r="K177" s="204"/>
      <c r="L177" s="45"/>
      <c r="M177" s="204"/>
      <c r="N177" s="45" t="s">
        <v>281</v>
      </c>
      <c r="O177" s="204"/>
      <c r="P177" s="795">
        <f>_xlfn.IFNA(VLOOKUP($C$3,'Final CFR'!$C:$DZ,127,FALSE),0)</f>
        <v>0</v>
      </c>
      <c r="R177" s="828" t="s">
        <v>279</v>
      </c>
      <c r="S177" s="828"/>
      <c r="T177" s="828"/>
      <c r="V177" s="462"/>
      <c r="W177" s="12"/>
      <c r="X177" s="49"/>
      <c r="Y177" s="231"/>
      <c r="Z177" s="9"/>
      <c r="AA177" s="9"/>
      <c r="AB177" s="49">
        <f>+X177+P177</f>
        <v>0</v>
      </c>
      <c r="AF177" s="220"/>
    </row>
    <row r="178" spans="2:32" s="18" customFormat="1" ht="12">
      <c r="B178" s="258"/>
      <c r="C178" s="52" t="s">
        <v>284</v>
      </c>
      <c r="D178" s="45" t="s">
        <v>277</v>
      </c>
      <c r="G178" s="45"/>
      <c r="H178" s="46"/>
      <c r="I178" s="204"/>
      <c r="J178" s="45" t="s">
        <v>281</v>
      </c>
      <c r="K178" s="204"/>
      <c r="L178" s="45"/>
      <c r="M178" s="204"/>
      <c r="N178" s="45"/>
      <c r="O178" s="204"/>
      <c r="P178" s="795">
        <f>_xlfn.IFNA(VLOOKUP($C$3,'Final CFR'!$C:$DZ,128,FALSE),0)</f>
        <v>0</v>
      </c>
      <c r="R178" s="828" t="s">
        <v>282</v>
      </c>
      <c r="S178" s="828"/>
      <c r="T178" s="829"/>
      <c r="V178" s="462"/>
      <c r="W178" s="12"/>
      <c r="X178" s="49"/>
      <c r="Y178" s="231"/>
      <c r="Z178" s="9"/>
      <c r="AA178" s="9"/>
      <c r="AB178" s="49">
        <f>+X178+P178</f>
        <v>0</v>
      </c>
      <c r="AF178" s="220"/>
    </row>
    <row r="179" spans="2:32" s="18" customFormat="1" ht="12">
      <c r="B179" s="258"/>
      <c r="C179" s="260"/>
      <c r="D179" s="45"/>
      <c r="G179" s="45"/>
      <c r="H179" s="46"/>
      <c r="I179" s="204"/>
      <c r="J179" s="45"/>
      <c r="K179" s="204"/>
      <c r="L179" s="204"/>
      <c r="M179" s="204"/>
      <c r="N179" s="204"/>
      <c r="O179" s="204"/>
      <c r="P179" s="229"/>
      <c r="Q179" s="45"/>
      <c r="R179" s="45"/>
      <c r="S179" s="257"/>
      <c r="T179" s="225"/>
      <c r="V179" s="462"/>
      <c r="W179" s="12"/>
      <c r="X179" s="229"/>
      <c r="Y179" s="229"/>
      <c r="Z179" s="9"/>
      <c r="AA179" s="9"/>
      <c r="AB179" s="229"/>
      <c r="AF179" s="225"/>
    </row>
    <row r="180" spans="2:32" s="18" customFormat="1" ht="12">
      <c r="B180" s="258"/>
      <c r="C180" s="44" t="s">
        <v>285</v>
      </c>
      <c r="D180" s="45"/>
      <c r="G180" s="45"/>
      <c r="H180" s="46"/>
      <c r="I180" s="204"/>
      <c r="J180" s="204"/>
      <c r="K180" s="204"/>
      <c r="L180" s="204"/>
      <c r="M180" s="204"/>
      <c r="N180" s="204"/>
      <c r="O180" s="204"/>
      <c r="P180" s="16">
        <f>+H153+P153+P166+P170+P171+P174+P175+P177+P178</f>
        <v>0</v>
      </c>
      <c r="Q180" s="45"/>
      <c r="R180" s="45"/>
      <c r="S180" s="256"/>
      <c r="T180" s="225"/>
      <c r="V180" s="462"/>
      <c r="W180" s="12"/>
      <c r="X180" s="16">
        <f>+X153+X166+X170+X171+X174+X177+Z153+X178</f>
        <v>0</v>
      </c>
      <c r="Y180" s="204"/>
      <c r="Z180" s="9"/>
      <c r="AA180" s="9"/>
      <c r="AB180" s="17">
        <f>AB166+AB170+AB171+AB174+AB175+AB177+AB153+AD153+AB178</f>
        <v>0</v>
      </c>
      <c r="AF180" s="225"/>
    </row>
    <row r="181" spans="2:32" ht="12">
      <c r="B181" s="248"/>
      <c r="D181" s="216"/>
      <c r="E181" s="216"/>
      <c r="F181" s="216"/>
      <c r="G181" s="216"/>
      <c r="S181" s="256"/>
      <c r="T181" s="220"/>
      <c r="W181" s="12"/>
      <c r="AF181" s="220"/>
    </row>
    <row r="182" spans="2:32" s="59" customFormat="1" ht="17.399999999999999" customHeight="1" thickBot="1">
      <c r="B182" s="482"/>
      <c r="C182" s="483" t="s">
        <v>286</v>
      </c>
      <c r="D182" s="267"/>
      <c r="E182" s="483"/>
      <c r="F182" s="483"/>
      <c r="G182" s="267"/>
      <c r="H182" s="267"/>
      <c r="I182" s="484"/>
      <c r="J182" s="484"/>
      <c r="K182" s="484"/>
      <c r="L182" s="484"/>
      <c r="M182" s="484"/>
      <c r="N182" s="484"/>
      <c r="O182" s="484"/>
      <c r="P182" s="485">
        <f>+P133-P180</f>
        <v>0</v>
      </c>
      <c r="Q182" s="486"/>
      <c r="R182" s="486" t="s">
        <v>287</v>
      </c>
      <c r="S182" s="269"/>
      <c r="T182" s="487"/>
      <c r="V182" s="466"/>
      <c r="W182" s="8"/>
      <c r="X182" s="16">
        <f>+X133-X180</f>
        <v>0</v>
      </c>
      <c r="Y182" s="204"/>
      <c r="Z182" s="7"/>
      <c r="AA182" s="7"/>
      <c r="AB182" s="16">
        <f>+AB133-AB180</f>
        <v>0</v>
      </c>
      <c r="AF182" s="225"/>
    </row>
    <row r="183" spans="2:32" s="18" customFormat="1" ht="12" hidden="1">
      <c r="B183" s="248"/>
      <c r="D183" s="45"/>
      <c r="G183" s="45"/>
      <c r="H183" s="46"/>
      <c r="I183" s="204"/>
      <c r="J183" s="204"/>
      <c r="K183" s="204"/>
      <c r="L183" s="204"/>
      <c r="M183" s="204"/>
      <c r="N183" s="204"/>
      <c r="O183" s="204"/>
      <c r="P183" s="204"/>
      <c r="Q183" s="45"/>
      <c r="R183" s="45"/>
      <c r="S183" s="256"/>
      <c r="T183" s="225"/>
      <c r="V183" s="462"/>
      <c r="W183" s="12"/>
      <c r="X183" s="9"/>
      <c r="Y183" s="9"/>
      <c r="Z183" s="9"/>
      <c r="AA183" s="9"/>
      <c r="AB183" s="9"/>
      <c r="AF183" s="225"/>
    </row>
    <row r="184" spans="2:32" s="18" customFormat="1" ht="12" hidden="1">
      <c r="B184" s="248"/>
      <c r="C184" s="18" t="s">
        <v>288</v>
      </c>
      <c r="D184" s="45"/>
      <c r="G184" s="45"/>
      <c r="H184" s="46"/>
      <c r="I184" s="204"/>
      <c r="J184" s="204"/>
      <c r="K184" s="204"/>
      <c r="L184" s="204"/>
      <c r="M184" s="204"/>
      <c r="N184" s="204"/>
      <c r="O184" s="204"/>
      <c r="P184" s="204"/>
      <c r="Q184" s="45"/>
      <c r="R184" s="45"/>
      <c r="S184" s="176"/>
      <c r="T184" s="225"/>
      <c r="V184" s="462"/>
      <c r="W184" s="12"/>
      <c r="X184" s="9"/>
      <c r="Y184" s="9"/>
      <c r="Z184" s="9"/>
      <c r="AA184" s="9"/>
      <c r="AB184" s="9"/>
      <c r="AF184" s="225"/>
    </row>
    <row r="185" spans="2:32" s="18" customFormat="1" ht="12" hidden="1">
      <c r="B185" s="248"/>
      <c r="C185" s="44"/>
      <c r="D185" s="45"/>
      <c r="E185" s="46"/>
      <c r="F185" s="46"/>
      <c r="G185" s="46"/>
      <c r="H185" s="204"/>
      <c r="I185" s="204"/>
      <c r="J185" s="204"/>
      <c r="K185" s="204"/>
      <c r="L185" s="204"/>
      <c r="M185" s="204"/>
      <c r="N185" s="204"/>
      <c r="O185" s="204"/>
      <c r="P185" s="204"/>
      <c r="Q185" s="45"/>
      <c r="R185" s="45"/>
      <c r="S185" s="176"/>
      <c r="T185" s="225"/>
      <c r="V185" s="462"/>
      <c r="W185" s="12"/>
      <c r="X185" s="9"/>
      <c r="Y185" s="9"/>
      <c r="Z185" s="9"/>
      <c r="AA185" s="9"/>
      <c r="AB185" s="9"/>
      <c r="AF185" s="225"/>
    </row>
    <row r="186" spans="2:32" s="18" customFormat="1" ht="12" hidden="1">
      <c r="B186" s="248"/>
      <c r="C186" s="60" t="s">
        <v>289</v>
      </c>
      <c r="D186" s="45"/>
      <c r="E186" s="46"/>
      <c r="F186" s="46"/>
      <c r="G186" s="46"/>
      <c r="H186" s="207"/>
      <c r="I186" s="204"/>
      <c r="J186" s="204"/>
      <c r="K186" s="204"/>
      <c r="L186" s="204"/>
      <c r="M186" s="204"/>
      <c r="N186" s="204"/>
      <c r="O186" s="204"/>
      <c r="P186" s="204"/>
      <c r="Q186" s="45"/>
      <c r="R186" s="45"/>
      <c r="S186" s="176"/>
      <c r="T186" s="225"/>
      <c r="V186" s="462"/>
      <c r="W186" s="12"/>
      <c r="X186" s="9"/>
      <c r="Y186" s="9"/>
      <c r="Z186" s="9"/>
      <c r="AA186" s="9"/>
      <c r="AB186" s="9"/>
      <c r="AF186" s="225"/>
    </row>
    <row r="187" spans="2:32" s="18" customFormat="1" ht="12" hidden="1">
      <c r="B187" s="248"/>
      <c r="C187" s="60"/>
      <c r="D187" s="45"/>
      <c r="E187" s="46"/>
      <c r="F187" s="46"/>
      <c r="G187" s="46"/>
      <c r="H187" s="204"/>
      <c r="I187" s="204"/>
      <c r="J187" s="204"/>
      <c r="K187" s="204"/>
      <c r="L187" s="204"/>
      <c r="M187" s="204"/>
      <c r="N187" s="204"/>
      <c r="O187" s="204"/>
      <c r="P187" s="204"/>
      <c r="Q187" s="45"/>
      <c r="R187" s="45"/>
      <c r="S187" s="176"/>
      <c r="T187" s="225"/>
      <c r="V187" s="462"/>
      <c r="W187" s="12"/>
      <c r="X187" s="9"/>
      <c r="Y187" s="9"/>
      <c r="Z187" s="9"/>
      <c r="AA187" s="9"/>
      <c r="AB187" s="9"/>
      <c r="AF187" s="225"/>
    </row>
    <row r="188" spans="2:32" s="18" customFormat="1" ht="39" hidden="1" customHeight="1">
      <c r="B188" s="248"/>
      <c r="C188" s="61" t="s">
        <v>290</v>
      </c>
      <c r="D188" s="45"/>
      <c r="E188" s="46"/>
      <c r="F188" s="46"/>
      <c r="G188" s="60">
        <f>SUM(P31:P38,P113)</f>
        <v>0</v>
      </c>
      <c r="H188" s="16">
        <f>SUM(I31:I38)</f>
        <v>0</v>
      </c>
      <c r="I188" s="204"/>
      <c r="J188" s="204"/>
      <c r="K188" s="204"/>
      <c r="L188" s="204"/>
      <c r="M188" s="204"/>
      <c r="N188" s="204"/>
      <c r="O188" s="204"/>
      <c r="P188" s="204"/>
      <c r="Q188" s="45"/>
      <c r="R188" s="45"/>
      <c r="S188" s="176"/>
      <c r="T188" s="225"/>
      <c r="V188" s="462"/>
      <c r="W188" s="12"/>
      <c r="X188" s="9"/>
      <c r="Y188" s="9"/>
      <c r="Z188" s="9"/>
      <c r="AA188" s="9"/>
      <c r="AB188" s="9"/>
      <c r="AF188" s="225"/>
    </row>
    <row r="189" spans="2:32" s="18" customFormat="1" ht="12" hidden="1">
      <c r="B189" s="248"/>
      <c r="C189" s="62" t="s">
        <v>291</v>
      </c>
      <c r="D189" s="45"/>
      <c r="E189" s="46"/>
      <c r="F189" s="46"/>
      <c r="G189" s="60"/>
      <c r="H189" s="16">
        <v>0</v>
      </c>
      <c r="I189" s="204"/>
      <c r="J189" s="204"/>
      <c r="K189" s="204"/>
      <c r="L189" s="204"/>
      <c r="M189" s="204"/>
      <c r="N189" s="204"/>
      <c r="O189" s="204"/>
      <c r="P189" s="204"/>
      <c r="Q189" s="45"/>
      <c r="R189" s="45"/>
      <c r="S189" s="176"/>
      <c r="T189" s="225"/>
      <c r="V189" s="462"/>
      <c r="W189" s="12"/>
      <c r="X189" s="9"/>
      <c r="Y189" s="9"/>
      <c r="Z189" s="9"/>
      <c r="AA189" s="9"/>
      <c r="AB189" s="9"/>
      <c r="AF189" s="225"/>
    </row>
    <row r="190" spans="2:32" s="18" customFormat="1" ht="13.8" hidden="1">
      <c r="B190" s="248"/>
      <c r="C190" s="62" t="s">
        <v>292</v>
      </c>
      <c r="D190" s="45"/>
      <c r="E190" s="46"/>
      <c r="F190" s="46"/>
      <c r="G190" s="60"/>
      <c r="H190" s="16">
        <f>H188-H189</f>
        <v>0</v>
      </c>
      <c r="I190" s="356"/>
      <c r="J190" s="356"/>
      <c r="K190" s="204"/>
      <c r="L190" s="204"/>
      <c r="M190" s="204"/>
      <c r="N190" s="204"/>
      <c r="P190" s="204"/>
      <c r="Q190" s="45"/>
      <c r="R190" s="45"/>
      <c r="S190" s="176"/>
      <c r="T190" s="225"/>
      <c r="V190" s="462"/>
      <c r="W190" s="12"/>
      <c r="X190" s="9"/>
      <c r="Y190" s="9"/>
      <c r="Z190" s="9"/>
      <c r="AA190" s="9"/>
      <c r="AB190" s="9"/>
      <c r="AF190" s="225"/>
    </row>
    <row r="191" spans="2:32" s="18" customFormat="1" ht="13.5" hidden="1" customHeight="1">
      <c r="B191" s="248"/>
      <c r="D191" s="45"/>
      <c r="E191" s="46"/>
      <c r="F191" s="46"/>
      <c r="G191" s="204"/>
      <c r="H191" s="284"/>
      <c r="I191" s="207" t="s">
        <v>293</v>
      </c>
      <c r="K191" s="204"/>
      <c r="L191" s="204"/>
      <c r="M191" s="204"/>
      <c r="N191" s="204"/>
      <c r="O191" s="204"/>
      <c r="P191" s="204"/>
      <c r="Q191" s="45"/>
      <c r="R191" s="45"/>
      <c r="S191" s="176"/>
      <c r="T191" s="225"/>
      <c r="V191" s="462"/>
      <c r="W191" s="12"/>
      <c r="X191" s="9"/>
      <c r="Y191" s="9"/>
      <c r="Z191" s="9"/>
      <c r="AA191" s="9"/>
      <c r="AB191" s="9"/>
      <c r="AF191" s="225"/>
    </row>
    <row r="192" spans="2:32" s="18" customFormat="1" ht="12" hidden="1">
      <c r="B192" s="248"/>
      <c r="I192" s="204"/>
      <c r="J192" s="204"/>
      <c r="K192" s="204"/>
      <c r="L192" s="204"/>
      <c r="M192" s="204"/>
      <c r="N192" s="204"/>
      <c r="O192" s="204"/>
      <c r="P192" s="204"/>
      <c r="Q192" s="45"/>
      <c r="R192" s="45"/>
      <c r="S192" s="176"/>
      <c r="T192" s="225"/>
      <c r="V192" s="462"/>
      <c r="W192" s="12"/>
      <c r="X192" s="9"/>
      <c r="Y192" s="9"/>
      <c r="Z192" s="9"/>
      <c r="AA192" s="9"/>
      <c r="AB192" s="9"/>
      <c r="AF192" s="225"/>
    </row>
    <row r="193" spans="2:32" s="18" customFormat="1" ht="12" hidden="1">
      <c r="B193" s="248"/>
      <c r="C193" s="44"/>
      <c r="D193" s="45"/>
      <c r="E193" s="46"/>
      <c r="F193" s="46"/>
      <c r="G193" s="204"/>
      <c r="I193" s="204"/>
      <c r="J193" s="204"/>
      <c r="K193" s="204"/>
      <c r="L193" s="204"/>
      <c r="M193" s="204"/>
      <c r="N193" s="204"/>
      <c r="O193" s="204"/>
      <c r="P193" s="204"/>
      <c r="Q193" s="45"/>
      <c r="R193" s="45"/>
      <c r="S193" s="176"/>
      <c r="T193" s="225"/>
      <c r="V193" s="462"/>
      <c r="W193" s="12"/>
      <c r="X193" s="9"/>
      <c r="Y193" s="9"/>
      <c r="Z193" s="9"/>
      <c r="AA193" s="9"/>
      <c r="AB193" s="9"/>
      <c r="AF193" s="225"/>
    </row>
    <row r="194" spans="2:32" s="18" customFormat="1" ht="12" hidden="1">
      <c r="B194" s="248">
        <v>2</v>
      </c>
      <c r="C194" s="60" t="s">
        <v>294</v>
      </c>
      <c r="D194" s="45"/>
      <c r="E194" s="46"/>
      <c r="F194" s="46"/>
      <c r="J194" s="204"/>
      <c r="K194" s="204"/>
      <c r="L194" s="204"/>
      <c r="M194" s="204"/>
      <c r="N194" s="204"/>
      <c r="O194" s="204"/>
      <c r="P194" s="204"/>
      <c r="Q194" s="45"/>
      <c r="R194" s="45"/>
      <c r="S194" s="176"/>
      <c r="T194" s="225"/>
      <c r="V194" s="462"/>
      <c r="W194" s="12"/>
      <c r="X194" s="9"/>
      <c r="Y194" s="9"/>
      <c r="Z194" s="9"/>
      <c r="AA194" s="9"/>
      <c r="AB194" s="9"/>
      <c r="AF194" s="225"/>
    </row>
    <row r="195" spans="2:32" s="18" customFormat="1" ht="12" hidden="1">
      <c r="B195" s="248"/>
      <c r="C195" s="60"/>
      <c r="D195" s="45"/>
      <c r="E195" s="46"/>
      <c r="F195" s="46"/>
      <c r="J195" s="204"/>
      <c r="K195" s="204"/>
      <c r="L195" s="204"/>
      <c r="M195" s="204"/>
      <c r="N195" s="204"/>
      <c r="O195" s="204"/>
      <c r="P195" s="204"/>
      <c r="Q195" s="45"/>
      <c r="R195" s="45"/>
      <c r="S195" s="176"/>
      <c r="T195" s="225"/>
      <c r="V195" s="462"/>
      <c r="W195" s="12"/>
      <c r="X195" s="9"/>
      <c r="Y195" s="9"/>
      <c r="Z195" s="9"/>
      <c r="AA195" s="9"/>
      <c r="AB195" s="9"/>
      <c r="AF195" s="225"/>
    </row>
    <row r="196" spans="2:32" s="18" customFormat="1" ht="12" hidden="1">
      <c r="B196" s="248"/>
      <c r="C196" s="62" t="s">
        <v>295</v>
      </c>
      <c r="D196" s="45"/>
      <c r="E196" s="46"/>
      <c r="F196" s="46"/>
      <c r="G196" s="60">
        <f>+P166</f>
        <v>0</v>
      </c>
      <c r="H196" s="16">
        <f>SUM(P157:P164)</f>
        <v>0</v>
      </c>
      <c r="J196" s="204"/>
      <c r="K196" s="204"/>
      <c r="L196" s="204"/>
      <c r="M196" s="204"/>
      <c r="N196" s="204"/>
      <c r="O196" s="204"/>
      <c r="P196" s="204"/>
      <c r="Q196" s="45"/>
      <c r="R196" s="45"/>
      <c r="S196" s="176"/>
      <c r="T196" s="225"/>
      <c r="V196" s="462"/>
      <c r="W196" s="12"/>
      <c r="X196" s="9"/>
      <c r="Y196" s="9"/>
      <c r="Z196" s="9"/>
      <c r="AA196" s="9"/>
      <c r="AB196" s="9"/>
      <c r="AF196" s="225"/>
    </row>
    <row r="197" spans="2:32" s="18" customFormat="1" ht="12.6" hidden="1" thickBot="1">
      <c r="B197" s="248"/>
      <c r="C197" s="62" t="s">
        <v>296</v>
      </c>
      <c r="D197" s="45"/>
      <c r="E197" s="46"/>
      <c r="F197" s="46"/>
      <c r="G197" s="60">
        <f>O73+O120+O100</f>
        <v>0</v>
      </c>
      <c r="H197" s="16">
        <f>O73+O120+O100</f>
        <v>0</v>
      </c>
      <c r="S197" s="180"/>
      <c r="T197" s="220"/>
      <c r="W197" s="232"/>
      <c r="X197" s="233"/>
      <c r="Y197" s="233"/>
      <c r="Z197" s="233"/>
      <c r="AA197" s="233"/>
      <c r="AB197" s="233"/>
      <c r="AC197" s="233"/>
      <c r="AD197" s="233"/>
      <c r="AE197" s="233"/>
      <c r="AF197" s="234"/>
    </row>
    <row r="198" spans="2:32" s="18" customFormat="1" ht="12" hidden="1">
      <c r="B198" s="248"/>
      <c r="C198" s="62" t="s">
        <v>292</v>
      </c>
      <c r="D198" s="45"/>
      <c r="E198" s="46"/>
      <c r="F198" s="46"/>
      <c r="G198" s="60">
        <f>+G196-G197</f>
        <v>0</v>
      </c>
      <c r="H198" s="16">
        <f>H196-H197</f>
        <v>0</v>
      </c>
      <c r="S198" s="180"/>
      <c r="T198" s="220"/>
    </row>
    <row r="199" spans="2:32" s="18" customFormat="1" ht="12" hidden="1">
      <c r="B199" s="248"/>
      <c r="C199" s="44"/>
      <c r="D199" s="45"/>
      <c r="E199" s="46"/>
      <c r="F199" s="46"/>
      <c r="G199" s="204"/>
      <c r="S199" s="180"/>
      <c r="T199" s="220"/>
    </row>
    <row r="200" spans="2:32" s="18" customFormat="1" ht="12" hidden="1">
      <c r="B200" s="248">
        <v>3</v>
      </c>
      <c r="C200" s="44" t="s">
        <v>297</v>
      </c>
      <c r="D200" s="45"/>
      <c r="E200" s="46"/>
      <c r="F200" s="46"/>
      <c r="G200" s="60">
        <f>SUMIFS('2. Accruals'!$G$10:$G$71,'2. Accruals'!$A$10:$A$71,"Debtors",'2. Accruals'!$K$10:$K$71,"Yes")</f>
        <v>0</v>
      </c>
      <c r="S200" s="180"/>
      <c r="T200" s="220"/>
    </row>
    <row r="201" spans="2:32" s="18" customFormat="1" ht="12" hidden="1">
      <c r="B201" s="248"/>
      <c r="C201" s="261" t="s">
        <v>298</v>
      </c>
      <c r="D201" s="45"/>
      <c r="E201" s="46"/>
      <c r="F201" s="46"/>
      <c r="G201" s="204"/>
      <c r="S201" s="180"/>
      <c r="T201" s="220"/>
    </row>
    <row r="202" spans="2:32" s="18" customFormat="1" ht="12" hidden="1">
      <c r="B202" s="248"/>
      <c r="C202" s="262"/>
      <c r="D202" s="45"/>
      <c r="E202" s="46"/>
      <c r="F202" s="46"/>
      <c r="G202" s="204"/>
      <c r="S202" s="180"/>
      <c r="T202" s="220"/>
    </row>
    <row r="203" spans="2:32" s="18" customFormat="1" ht="12" hidden="1">
      <c r="B203" s="248">
        <v>4</v>
      </c>
      <c r="C203" s="44" t="s">
        <v>299</v>
      </c>
      <c r="D203" s="45"/>
      <c r="E203" s="46"/>
      <c r="F203" s="46"/>
      <c r="G203" s="60">
        <f>SUMIFS('2. Accruals'!$G$10:$G$71,'2. Accruals'!$A$10:$A$71,"Creditors",'2. Accruals'!$M$10:$M$71,"Yes")</f>
        <v>0</v>
      </c>
      <c r="S203" s="180"/>
      <c r="T203" s="220"/>
    </row>
    <row r="204" spans="2:32" s="18" customFormat="1" ht="12" hidden="1">
      <c r="B204" s="248"/>
      <c r="C204" s="261" t="s">
        <v>298</v>
      </c>
      <c r="D204" s="45"/>
      <c r="E204" s="46"/>
      <c r="F204" s="46"/>
      <c r="G204" s="204"/>
      <c r="S204" s="180"/>
      <c r="T204" s="220"/>
    </row>
    <row r="205" spans="2:32" s="18" customFormat="1" ht="12" hidden="1">
      <c r="B205" s="248"/>
      <c r="C205" s="44"/>
      <c r="D205" s="45"/>
      <c r="E205" s="46"/>
      <c r="F205" s="46"/>
      <c r="G205" s="204"/>
      <c r="S205" s="180"/>
      <c r="T205" s="220"/>
    </row>
    <row r="206" spans="2:32" s="18" customFormat="1" ht="12" hidden="1">
      <c r="B206" s="248"/>
      <c r="C206" s="44" t="s">
        <v>300</v>
      </c>
      <c r="D206" s="45"/>
      <c r="E206" s="46"/>
      <c r="F206" s="46"/>
      <c r="G206" s="63">
        <f>+'Bank clearing'!D11</f>
        <v>45747</v>
      </c>
      <c r="H206" s="284"/>
      <c r="S206" s="180"/>
      <c r="T206" s="220"/>
    </row>
    <row r="207" spans="2:32" s="18" customFormat="1" ht="12" hidden="1">
      <c r="B207" s="248"/>
      <c r="C207" s="263" t="s">
        <v>301</v>
      </c>
      <c r="D207" s="45"/>
      <c r="E207" s="46"/>
      <c r="F207" s="46"/>
      <c r="G207" s="46"/>
      <c r="S207" s="180"/>
      <c r="T207" s="220"/>
    </row>
    <row r="208" spans="2:32" s="18" customFormat="1" ht="6" hidden="1" customHeight="1">
      <c r="B208" s="248"/>
      <c r="C208" s="264"/>
      <c r="D208" s="45"/>
      <c r="E208" s="46"/>
      <c r="F208" s="46"/>
      <c r="G208" s="46"/>
      <c r="S208" s="180"/>
      <c r="T208" s="220"/>
    </row>
    <row r="209" spans="2:20" s="18" customFormat="1" ht="12" hidden="1">
      <c r="B209" s="248"/>
      <c r="C209" s="44"/>
      <c r="D209" s="45"/>
      <c r="E209" s="46"/>
      <c r="F209" s="46"/>
      <c r="G209" s="46"/>
      <c r="S209" s="180"/>
      <c r="T209" s="220"/>
    </row>
    <row r="210" spans="2:20" s="18" customFormat="1" ht="12" hidden="1">
      <c r="B210" s="248">
        <v>7</v>
      </c>
      <c r="C210" s="44" t="s">
        <v>302</v>
      </c>
      <c r="D210" s="45"/>
      <c r="E210" s="46"/>
      <c r="F210" s="46"/>
      <c r="G210" s="64">
        <f>+'Bank clearing'!H17+'Bank clearing'!J17</f>
        <v>0</v>
      </c>
      <c r="S210" s="180"/>
      <c r="T210" s="220"/>
    </row>
    <row r="211" spans="2:20" s="18" customFormat="1" ht="12" hidden="1">
      <c r="B211" s="248"/>
      <c r="C211" s="261" t="s">
        <v>298</v>
      </c>
      <c r="D211" s="45"/>
      <c r="E211" s="46"/>
      <c r="F211" s="46"/>
      <c r="G211" s="46"/>
      <c r="S211" s="180"/>
      <c r="T211" s="220"/>
    </row>
    <row r="212" spans="2:20" s="18" customFormat="1" ht="12" hidden="1">
      <c r="B212" s="248"/>
      <c r="C212" s="261"/>
      <c r="D212" s="45"/>
      <c r="E212" s="46"/>
      <c r="F212" s="46"/>
      <c r="G212" s="46"/>
      <c r="S212" s="180"/>
      <c r="T212" s="220"/>
    </row>
    <row r="213" spans="2:20" ht="12" hidden="1" thickBot="1">
      <c r="B213" s="265"/>
      <c r="C213" s="274"/>
      <c r="D213" s="275"/>
      <c r="E213" s="275"/>
      <c r="F213" s="275"/>
      <c r="G213" s="275"/>
      <c r="H213" s="274"/>
      <c r="I213" s="274"/>
      <c r="J213" s="274"/>
      <c r="K213" s="274"/>
      <c r="L213" s="274"/>
      <c r="M213" s="274"/>
      <c r="N213" s="274"/>
      <c r="O213" s="274"/>
      <c r="P213" s="274"/>
      <c r="Q213" s="274"/>
      <c r="R213" s="274"/>
      <c r="S213" s="276"/>
      <c r="T213" s="234"/>
    </row>
    <row r="214" spans="2:20" s="18" customFormat="1" ht="12" hidden="1">
      <c r="B214" s="248">
        <v>6</v>
      </c>
      <c r="C214" s="44" t="s">
        <v>303</v>
      </c>
      <c r="D214" s="45"/>
      <c r="E214" s="46"/>
      <c r="F214" s="46"/>
      <c r="G214" s="273">
        <f>+'Bank clearing'!H18+'Bank clearing'!J18</f>
        <v>0</v>
      </c>
      <c r="H214" s="204"/>
      <c r="I214" s="204"/>
      <c r="J214" s="204"/>
      <c r="K214" s="204"/>
      <c r="L214" s="204"/>
      <c r="M214" s="204"/>
      <c r="N214" s="204"/>
      <c r="O214" s="204"/>
      <c r="P214" s="204"/>
      <c r="Q214" s="45"/>
      <c r="R214" s="45"/>
      <c r="S214" s="176"/>
      <c r="T214" s="220"/>
    </row>
    <row r="215" spans="2:20" s="18" customFormat="1" ht="12.6" hidden="1" thickBot="1">
      <c r="B215" s="265"/>
      <c r="C215" s="266" t="s">
        <v>298</v>
      </c>
      <c r="D215" s="267"/>
      <c r="E215" s="268"/>
      <c r="F215" s="268"/>
      <c r="G215" s="268"/>
      <c r="H215" s="267"/>
      <c r="I215" s="267"/>
      <c r="J215" s="267"/>
      <c r="K215" s="267"/>
      <c r="L215" s="267"/>
      <c r="M215" s="267"/>
      <c r="N215" s="267"/>
      <c r="O215" s="267"/>
      <c r="P215" s="267"/>
      <c r="Q215" s="267"/>
      <c r="R215" s="267"/>
      <c r="S215" s="269"/>
      <c r="T215" s="234"/>
    </row>
    <row r="216" spans="2:20">
      <c r="B216" s="68"/>
      <c r="C216" s="65"/>
      <c r="D216" s="235"/>
      <c r="E216" s="236"/>
      <c r="F216" s="236"/>
      <c r="G216" s="236"/>
      <c r="H216" s="67"/>
      <c r="I216" s="67"/>
      <c r="J216" s="67"/>
      <c r="K216" s="67"/>
      <c r="L216" s="67"/>
      <c r="M216" s="67"/>
      <c r="N216" s="67"/>
      <c r="O216" s="67"/>
      <c r="P216" s="67"/>
      <c r="Q216" s="65"/>
      <c r="R216" s="65"/>
      <c r="S216" s="183"/>
    </row>
    <row r="217" spans="2:20" ht="17.399999999999999" hidden="1">
      <c r="B217" s="334" t="s">
        <v>39</v>
      </c>
      <c r="C217" s="335"/>
      <c r="D217" s="470"/>
      <c r="E217" s="471"/>
      <c r="F217" s="471"/>
      <c r="G217" s="471"/>
      <c r="H217" s="472"/>
      <c r="I217" s="472"/>
      <c r="J217" s="472"/>
      <c r="K217" s="472"/>
      <c r="L217" s="472"/>
      <c r="M217" s="472"/>
      <c r="N217" s="472"/>
      <c r="O217" s="472"/>
      <c r="P217" s="472"/>
      <c r="Q217" s="335"/>
      <c r="R217" s="335"/>
      <c r="S217" s="473"/>
      <c r="T217" s="474"/>
    </row>
    <row r="218" spans="2:20" ht="17.399999999999999" hidden="1">
      <c r="B218" s="338"/>
      <c r="C218" s="65"/>
      <c r="D218" s="235"/>
      <c r="E218" s="236"/>
      <c r="F218" s="236"/>
      <c r="G218" s="236"/>
      <c r="H218" s="67"/>
      <c r="I218" s="67"/>
      <c r="J218" s="67"/>
      <c r="K218" s="67"/>
      <c r="L218" s="67"/>
      <c r="M218" s="67"/>
      <c r="N218" s="67"/>
      <c r="O218" s="67"/>
      <c r="P218" s="67"/>
      <c r="Q218" s="65"/>
      <c r="R218" s="65"/>
      <c r="S218" s="183"/>
      <c r="T218" s="220"/>
    </row>
    <row r="219" spans="2:20" s="18" customFormat="1" ht="15" hidden="1" customHeight="1">
      <c r="B219" s="340"/>
      <c r="C219" s="832" t="s">
        <v>304</v>
      </c>
      <c r="D219" s="832"/>
      <c r="E219" s="69"/>
      <c r="F219" s="69"/>
      <c r="G219" s="69"/>
      <c r="H219" s="65"/>
      <c r="I219" s="65"/>
      <c r="J219" s="65"/>
      <c r="K219" s="65"/>
      <c r="L219" s="65"/>
      <c r="M219" s="65"/>
      <c r="N219" s="65"/>
      <c r="O219" s="65"/>
      <c r="P219" s="65"/>
      <c r="Q219" s="65"/>
      <c r="R219" s="65"/>
      <c r="S219" s="475"/>
      <c r="T219" s="220"/>
    </row>
    <row r="220" spans="2:20" hidden="1">
      <c r="B220" s="340"/>
      <c r="C220" s="65"/>
      <c r="D220" s="235"/>
      <c r="E220" s="235"/>
      <c r="F220" s="235"/>
      <c r="G220" s="235"/>
      <c r="H220" s="65"/>
      <c r="I220" s="65"/>
      <c r="J220" s="65"/>
      <c r="K220" s="65"/>
      <c r="L220" s="65"/>
      <c r="M220" s="65"/>
      <c r="N220" s="65"/>
      <c r="O220" s="65"/>
      <c r="P220" s="65"/>
      <c r="Q220" s="65"/>
      <c r="R220" s="65"/>
      <c r="S220" s="475"/>
      <c r="T220" s="220"/>
    </row>
    <row r="221" spans="2:20" hidden="1">
      <c r="B221" s="340"/>
      <c r="C221" s="65"/>
      <c r="D221" s="235"/>
      <c r="E221" s="235"/>
      <c r="F221" s="235"/>
      <c r="G221" s="235"/>
      <c r="H221" s="65"/>
      <c r="I221" s="65"/>
      <c r="J221" s="65"/>
      <c r="K221" s="65"/>
      <c r="L221" s="65"/>
      <c r="M221" s="65"/>
      <c r="N221" s="65"/>
      <c r="O221" s="65"/>
      <c r="P221" s="65"/>
      <c r="Q221" s="65"/>
      <c r="R221" s="65"/>
      <c r="S221" s="475"/>
      <c r="T221" s="220"/>
    </row>
    <row r="222" spans="2:20" hidden="1">
      <c r="B222" s="340"/>
      <c r="C222" s="65"/>
      <c r="D222" s="235"/>
      <c r="E222" s="235"/>
      <c r="F222" s="235"/>
      <c r="G222" s="235"/>
      <c r="H222" s="65"/>
      <c r="I222" s="65"/>
      <c r="J222" s="65"/>
      <c r="K222" s="65"/>
      <c r="L222" s="65"/>
      <c r="M222" s="65"/>
      <c r="N222" s="65"/>
      <c r="O222" s="65"/>
      <c r="P222" s="65"/>
      <c r="Q222" s="65"/>
      <c r="R222" s="65"/>
      <c r="S222" s="475"/>
      <c r="T222" s="220"/>
    </row>
    <row r="223" spans="2:20" s="18" customFormat="1" ht="15" hidden="1" customHeight="1">
      <c r="B223" s="476" t="s">
        <v>41</v>
      </c>
      <c r="C223" s="478"/>
      <c r="D223" s="833" t="s">
        <v>42</v>
      </c>
      <c r="E223" s="833"/>
      <c r="F223" s="833"/>
      <c r="G223" s="833"/>
      <c r="H223" s="833"/>
      <c r="I223" s="833"/>
      <c r="J223" s="833"/>
      <c r="K223" s="833"/>
      <c r="L223" s="833"/>
      <c r="M223" s="833"/>
      <c r="N223" s="833"/>
      <c r="O223" s="833"/>
      <c r="P223" s="833"/>
      <c r="Q223" s="833"/>
      <c r="R223" s="833"/>
      <c r="S223" s="180"/>
      <c r="T223" s="220"/>
    </row>
    <row r="224" spans="2:20" s="18" customFormat="1" ht="12" hidden="1">
      <c r="B224" s="476"/>
      <c r="C224" s="70"/>
      <c r="D224" s="70"/>
      <c r="E224" s="70"/>
      <c r="F224" s="70"/>
      <c r="G224" s="70"/>
      <c r="H224" s="65"/>
      <c r="I224" s="65"/>
      <c r="J224" s="65"/>
      <c r="K224" s="65"/>
      <c r="L224" s="65"/>
      <c r="M224" s="65"/>
      <c r="N224" s="65"/>
      <c r="O224" s="65"/>
      <c r="P224" s="65"/>
      <c r="Q224" s="65"/>
      <c r="R224" s="65"/>
      <c r="S224" s="475"/>
      <c r="T224" s="220"/>
    </row>
    <row r="225" spans="2:20" s="18" customFormat="1" ht="12" hidden="1">
      <c r="B225" s="476"/>
      <c r="C225" s="70"/>
      <c r="D225" s="70"/>
      <c r="E225" s="70"/>
      <c r="F225" s="70"/>
      <c r="G225" s="70"/>
      <c r="H225" s="65"/>
      <c r="I225" s="65"/>
      <c r="J225" s="65"/>
      <c r="K225" s="65"/>
      <c r="L225" s="65"/>
      <c r="M225" s="65"/>
      <c r="N225" s="65"/>
      <c r="O225" s="65"/>
      <c r="P225" s="65"/>
      <c r="Q225" s="65"/>
      <c r="R225" s="65"/>
      <c r="S225" s="475"/>
      <c r="T225" s="220"/>
    </row>
    <row r="226" spans="2:20" s="18" customFormat="1" ht="15" hidden="1" customHeight="1">
      <c r="B226" s="476" t="s">
        <v>43</v>
      </c>
      <c r="C226" s="478"/>
      <c r="D226" s="830"/>
      <c r="E226" s="830"/>
      <c r="F226" s="830"/>
      <c r="G226" s="830"/>
      <c r="H226" s="830"/>
      <c r="I226" s="830"/>
      <c r="J226" s="830"/>
      <c r="K226" s="830"/>
      <c r="L226" s="830"/>
      <c r="M226" s="830"/>
      <c r="N226" s="830"/>
      <c r="O226" s="830"/>
      <c r="P226" s="830"/>
      <c r="Q226" s="830"/>
      <c r="R226" s="830"/>
      <c r="S226" s="180"/>
      <c r="T226" s="220"/>
    </row>
    <row r="227" spans="2:20" s="18" customFormat="1" hidden="1">
      <c r="B227" s="477"/>
      <c r="C227" s="65"/>
      <c r="D227" s="65"/>
      <c r="E227" s="65"/>
      <c r="F227" s="65"/>
      <c r="G227" s="65"/>
      <c r="H227" s="65"/>
      <c r="I227" s="65"/>
      <c r="J227" s="65"/>
      <c r="K227" s="65"/>
      <c r="L227" s="65"/>
      <c r="M227" s="65"/>
      <c r="N227" s="65"/>
      <c r="O227" s="65"/>
      <c r="P227" s="65"/>
      <c r="Q227" s="65"/>
      <c r="R227" s="65"/>
      <c r="S227" s="475"/>
      <c r="T227" s="220"/>
    </row>
    <row r="228" spans="2:20" s="18" customFormat="1" hidden="1">
      <c r="B228" s="477"/>
      <c r="C228" s="65"/>
      <c r="D228" s="65"/>
      <c r="E228" s="65"/>
      <c r="F228" s="65"/>
      <c r="G228" s="65"/>
      <c r="H228" s="65"/>
      <c r="I228" s="65"/>
      <c r="J228" s="65"/>
      <c r="K228" s="65"/>
      <c r="L228" s="65"/>
      <c r="M228" s="65"/>
      <c r="N228" s="65"/>
      <c r="O228" s="65"/>
      <c r="P228" s="65"/>
      <c r="Q228" s="65"/>
      <c r="R228" s="65"/>
      <c r="S228" s="475"/>
      <c r="T228" s="220"/>
    </row>
    <row r="229" spans="2:20" s="18" customFormat="1" ht="15" hidden="1" customHeight="1">
      <c r="B229" s="477" t="s">
        <v>44</v>
      </c>
      <c r="C229" s="478"/>
      <c r="D229" s="831"/>
      <c r="E229" s="830"/>
      <c r="F229" s="830"/>
      <c r="G229" s="830"/>
      <c r="H229" s="830"/>
      <c r="I229" s="830"/>
      <c r="J229" s="830"/>
      <c r="K229" s="830"/>
      <c r="L229" s="830"/>
      <c r="M229" s="830"/>
      <c r="N229" s="830"/>
      <c r="O229" s="830"/>
      <c r="P229" s="830"/>
      <c r="Q229" s="830"/>
      <c r="R229" s="830"/>
      <c r="S229" s="180"/>
      <c r="T229" s="220"/>
    </row>
    <row r="230" spans="2:20" ht="12" hidden="1" thickBot="1">
      <c r="B230" s="265"/>
      <c r="C230" s="274"/>
      <c r="D230" s="275"/>
      <c r="E230" s="275"/>
      <c r="F230" s="275"/>
      <c r="G230" s="275"/>
      <c r="H230" s="274"/>
      <c r="I230" s="274"/>
      <c r="J230" s="274"/>
      <c r="K230" s="274"/>
      <c r="L230" s="274"/>
      <c r="M230" s="274"/>
      <c r="N230" s="274"/>
      <c r="O230" s="274"/>
      <c r="P230" s="274"/>
      <c r="Q230" s="274"/>
      <c r="R230" s="274"/>
      <c r="S230" s="276"/>
      <c r="T230" s="234"/>
    </row>
  </sheetData>
  <sheetProtection algorithmName="SHA-512" hashValue="n1eKKn/Ddj/FP7uxZgnCeAjUxNthO8kdDXdGRTzf9BbeG4fiNQazKtDrjFABVAZLryeh7mIQFztym0Wy8plhLw==" saltValue="wEopy1ATHiXzNY8r8yM8DA==" spinCount="100000" sheet="1" selectLockedCells="1" autoFilter="0"/>
  <dataConsolidate/>
  <mergeCells count="44">
    <mergeCell ref="D226:R226"/>
    <mergeCell ref="D229:R229"/>
    <mergeCell ref="R171:T171"/>
    <mergeCell ref="R174:T174"/>
    <mergeCell ref="R175:T175"/>
    <mergeCell ref="R177:T177"/>
    <mergeCell ref="C219:D219"/>
    <mergeCell ref="D223:R223"/>
    <mergeCell ref="R178:T178"/>
    <mergeCell ref="R170:T170"/>
    <mergeCell ref="R149:T149"/>
    <mergeCell ref="R150:T150"/>
    <mergeCell ref="R151:T151"/>
    <mergeCell ref="R157:T157"/>
    <mergeCell ref="R158:T158"/>
    <mergeCell ref="R159:T159"/>
    <mergeCell ref="R160:T160"/>
    <mergeCell ref="R161:T161"/>
    <mergeCell ref="R162:T162"/>
    <mergeCell ref="R163:T163"/>
    <mergeCell ref="R164:T164"/>
    <mergeCell ref="R148:T148"/>
    <mergeCell ref="B100:C100"/>
    <mergeCell ref="B104:C104"/>
    <mergeCell ref="B110:C110"/>
    <mergeCell ref="B116:C116"/>
    <mergeCell ref="B118:C118"/>
    <mergeCell ref="B120:C120"/>
    <mergeCell ref="B133:C133"/>
    <mergeCell ref="R139:T139"/>
    <mergeCell ref="R142:T142"/>
    <mergeCell ref="R143:T143"/>
    <mergeCell ref="R147:T147"/>
    <mergeCell ref="B98:C98"/>
    <mergeCell ref="B1:C1"/>
    <mergeCell ref="B6:R6"/>
    <mergeCell ref="B10:C10"/>
    <mergeCell ref="B28:C28"/>
    <mergeCell ref="B69:C69"/>
    <mergeCell ref="B71:C71"/>
    <mergeCell ref="B73:C73"/>
    <mergeCell ref="B77:C77"/>
    <mergeCell ref="B84:C84"/>
    <mergeCell ref="B96:C96"/>
  </mergeCells>
  <conditionalFormatting sqref="B6:C6">
    <cfRule type="containsText" dxfId="79" priority="409" operator="containsText" text="&quot;THE FOLLOWING STATEMENT DOES NOT RECONCILE&quot;">
      <formula>NOT(ISERROR(SEARCH("""THE FOLLOWING STATEMENT DOES NOT RECONCILE""",B6)))</formula>
    </cfRule>
    <cfRule type="containsText" dxfId="78" priority="408" operator="containsText" text="THE FOLLOWING STATEMENT RECONCILES">
      <formula>NOT(ISERROR(SEARCH("THE FOLLOWING STATEMENT RECONCILES",B6)))</formula>
    </cfRule>
  </conditionalFormatting>
  <conditionalFormatting sqref="B6:S6">
    <cfRule type="containsText" dxfId="77" priority="407" operator="containsText" text="THE FOLLOWING STATEMENT DOES NOT RECONCILE">
      <formula>NOT(ISERROR(SEARCH("THE FOLLOWING STATEMENT DOES NOT RECONCILE",B6)))</formula>
    </cfRule>
  </conditionalFormatting>
  <conditionalFormatting sqref="D13:F28 X13:Y28 AB13:AD28 X31:Y73 AB31:AD73 D128:D132 X128:Y133 AB128:AD133 D133:S133 H139 J139:P139 H142:H143 J142:P143 H145 J145:P145 H147:H151 J147:P151 H153 J153:O153 I154:O156 J157:J175 I157:I176 K157:O176 I177:O184 I191 K191:P191 I192:P193">
    <cfRule type="cellIs" dxfId="76" priority="140" operator="lessThan">
      <formula>-1</formula>
    </cfRule>
  </conditionalFormatting>
  <conditionalFormatting sqref="D10:S10">
    <cfRule type="cellIs" dxfId="75" priority="67" operator="lessThan">
      <formula>-1</formula>
    </cfRule>
  </conditionalFormatting>
  <conditionalFormatting sqref="D31:S73">
    <cfRule type="cellIs" dxfId="74" priority="6" operator="lessThan">
      <formula>-1</formula>
    </cfRule>
  </conditionalFormatting>
  <conditionalFormatting sqref="D68:S68 D70:S70 D72:S72">
    <cfRule type="cellIs" dxfId="73" priority="69" operator="lessThan">
      <formula>0</formula>
    </cfRule>
  </conditionalFormatting>
  <conditionalFormatting sqref="D77:S100">
    <cfRule type="cellIs" dxfId="72" priority="4" operator="lessThan">
      <formula>-1</formula>
    </cfRule>
  </conditionalFormatting>
  <conditionalFormatting sqref="D104:S120">
    <cfRule type="cellIs" dxfId="71" priority="2" operator="lessThan">
      <formula>-1</formula>
    </cfRule>
  </conditionalFormatting>
  <conditionalFormatting sqref="E127:E132">
    <cfRule type="cellIs" dxfId="70" priority="18" operator="lessThan">
      <formula>-1</formula>
    </cfRule>
  </conditionalFormatting>
  <conditionalFormatting sqref="F128:S132">
    <cfRule type="cellIs" dxfId="69" priority="1" operator="lessThan">
      <formula>-1</formula>
    </cfRule>
  </conditionalFormatting>
  <conditionalFormatting sqref="G188:G191">
    <cfRule type="cellIs" dxfId="68" priority="276" operator="lessThan">
      <formula>-1</formula>
    </cfRule>
  </conditionalFormatting>
  <conditionalFormatting sqref="G196:G206">
    <cfRule type="cellIs" dxfId="67" priority="75" operator="lessThan">
      <formula>-1</formula>
    </cfRule>
  </conditionalFormatting>
  <conditionalFormatting sqref="G210">
    <cfRule type="cellIs" dxfId="66" priority="268" operator="lessThan">
      <formula>-1</formula>
    </cfRule>
  </conditionalFormatting>
  <conditionalFormatting sqref="G214">
    <cfRule type="cellIs" dxfId="65" priority="76" operator="lessThan">
      <formula>-1</formula>
    </cfRule>
  </conditionalFormatting>
  <conditionalFormatting sqref="G28:S28 G193 J194:P197 C194:C198 H207:P214">
    <cfRule type="cellIs" dxfId="64" priority="383" operator="lessThan">
      <formula>-1</formula>
    </cfRule>
  </conditionalFormatting>
  <conditionalFormatting sqref="H186:H190">
    <cfRule type="cellIs" dxfId="63" priority="33" operator="lessThan">
      <formula>-1</formula>
    </cfRule>
  </conditionalFormatting>
  <conditionalFormatting sqref="H135:P136 H185:P185 I186:P189 K190:N190 P190">
    <cfRule type="cellIs" dxfId="62" priority="378" operator="lessThan">
      <formula>-1</formula>
    </cfRule>
  </conditionalFormatting>
  <conditionalFormatting sqref="I198:P206">
    <cfRule type="cellIs" dxfId="61" priority="260" operator="lessThan">
      <formula>-1</formula>
    </cfRule>
  </conditionalFormatting>
  <conditionalFormatting sqref="P153:P164">
    <cfRule type="cellIs" dxfId="60" priority="28" operator="lessThan">
      <formula>-1</formula>
    </cfRule>
  </conditionalFormatting>
  <conditionalFormatting sqref="P166">
    <cfRule type="cellIs" dxfId="59" priority="27" operator="lessThan">
      <formula>-1</formula>
    </cfRule>
  </conditionalFormatting>
  <conditionalFormatting sqref="P170:P171">
    <cfRule type="cellIs" dxfId="58" priority="271" operator="lessThan">
      <formula>-1</formula>
    </cfRule>
  </conditionalFormatting>
  <conditionalFormatting sqref="P174:P178">
    <cfRule type="cellIs" dxfId="57" priority="198" operator="lessThan">
      <formula>-1</formula>
    </cfRule>
  </conditionalFormatting>
  <conditionalFormatting sqref="P180:P184">
    <cfRule type="cellIs" dxfId="56" priority="324" operator="lessThan">
      <formula>-1</formula>
    </cfRule>
  </conditionalFormatting>
  <conditionalFormatting sqref="Q77">
    <cfRule type="cellIs" dxfId="55" priority="395" operator="lessThan">
      <formula>0</formula>
    </cfRule>
  </conditionalFormatting>
  <conditionalFormatting sqref="Q104">
    <cfRule type="cellIs" dxfId="54" priority="391" operator="lessThan">
      <formula>0</formula>
    </cfRule>
  </conditionalFormatting>
  <conditionalFormatting sqref="R12:R27 G13:Q27 S13:S27 C186:C190">
    <cfRule type="cellIs" dxfId="53" priority="277" operator="lessThan">
      <formula>-1</formula>
    </cfRule>
  </conditionalFormatting>
  <conditionalFormatting sqref="S135:S136">
    <cfRule type="cellIs" dxfId="52" priority="44" operator="lessThan">
      <formula>-1</formula>
    </cfRule>
  </conditionalFormatting>
  <conditionalFormatting sqref="S139 S142:S143">
    <cfRule type="cellIs" dxfId="51" priority="41" operator="lessThan">
      <formula>-1</formula>
    </cfRule>
  </conditionalFormatting>
  <conditionalFormatting sqref="S147:S151">
    <cfRule type="cellIs" dxfId="50" priority="43" operator="lessThan">
      <formula>-1</formula>
    </cfRule>
  </conditionalFormatting>
  <conditionalFormatting sqref="S154:S156">
    <cfRule type="cellIs" dxfId="49" priority="40" operator="lessThan">
      <formula>-1</formula>
    </cfRule>
  </conditionalFormatting>
  <conditionalFormatting sqref="S170:S171">
    <cfRule type="cellIs" dxfId="48" priority="39" operator="lessThan">
      <formula>-1</formula>
    </cfRule>
  </conditionalFormatting>
  <conditionalFormatting sqref="S174:S178">
    <cfRule type="cellIs" dxfId="47" priority="37" operator="lessThan">
      <formula>-1</formula>
    </cfRule>
  </conditionalFormatting>
  <conditionalFormatting sqref="S184:S214">
    <cfRule type="cellIs" dxfId="46" priority="38" operator="lessThan">
      <formula>-1</formula>
    </cfRule>
  </conditionalFormatting>
  <conditionalFormatting sqref="T100">
    <cfRule type="colorScale" priority="24">
      <colorScale>
        <cfvo type="min"/>
        <cfvo type="max"/>
        <color rgb="FFFF7128"/>
        <color rgb="FFFFEF9C"/>
      </colorScale>
    </cfRule>
  </conditionalFormatting>
  <conditionalFormatting sqref="X157:X164">
    <cfRule type="cellIs" dxfId="45" priority="206" operator="lessThan">
      <formula>-1</formula>
    </cfRule>
  </conditionalFormatting>
  <conditionalFormatting sqref="X10:Y10">
    <cfRule type="cellIs" dxfId="44" priority="256" operator="lessThan">
      <formula>-1</formula>
    </cfRule>
  </conditionalFormatting>
  <conditionalFormatting sqref="X68:Y68 X70:Y70">
    <cfRule type="cellIs" dxfId="43" priority="258" operator="lessThan">
      <formula>0</formula>
    </cfRule>
  </conditionalFormatting>
  <conditionalFormatting sqref="X72:Y72">
    <cfRule type="cellIs" dxfId="42" priority="114" operator="lessThan">
      <formula>0</formula>
    </cfRule>
  </conditionalFormatting>
  <conditionalFormatting sqref="X77:Y100">
    <cfRule type="cellIs" dxfId="41" priority="111" operator="lessThan">
      <formula>-1</formula>
    </cfRule>
  </conditionalFormatting>
  <conditionalFormatting sqref="X104:Y120">
    <cfRule type="cellIs" dxfId="40" priority="106" operator="lessThan">
      <formula>-1</formula>
    </cfRule>
  </conditionalFormatting>
  <conditionalFormatting sqref="X135:Y136">
    <cfRule type="cellIs" dxfId="39" priority="254" operator="lessThan">
      <formula>-1</formula>
    </cfRule>
  </conditionalFormatting>
  <conditionalFormatting sqref="X153:Y156">
    <cfRule type="cellIs" dxfId="38" priority="100" operator="lessThan">
      <formula>-1</formula>
    </cfRule>
  </conditionalFormatting>
  <conditionalFormatting sqref="X170:Y171">
    <cfRule type="cellIs" dxfId="37" priority="239" operator="lessThan">
      <formula>-1</formula>
    </cfRule>
  </conditionalFormatting>
  <conditionalFormatting sqref="X174:Y178">
    <cfRule type="cellIs" dxfId="36" priority="237" operator="lessThan">
      <formula>-1</formula>
    </cfRule>
  </conditionalFormatting>
  <conditionalFormatting sqref="X180:Y182">
    <cfRule type="cellIs" dxfId="35" priority="93" operator="lessThan">
      <formula>-1</formula>
    </cfRule>
  </conditionalFormatting>
  <conditionalFormatting sqref="X139:AD139 X142:AD143">
    <cfRule type="cellIs" dxfId="34" priority="213" operator="lessThan">
      <formula>-1</formula>
    </cfRule>
  </conditionalFormatting>
  <conditionalFormatting sqref="X145:AD145">
    <cfRule type="cellIs" dxfId="33" priority="101" operator="lessThan">
      <formula>-1</formula>
    </cfRule>
  </conditionalFormatting>
  <conditionalFormatting sqref="X147:AD151">
    <cfRule type="cellIs" dxfId="32" priority="211" operator="lessThan">
      <formula>-1</formula>
    </cfRule>
  </conditionalFormatting>
  <conditionalFormatting sqref="Y162:Y164">
    <cfRule type="top10" dxfId="31" priority="241" percent="1" rank="10"/>
  </conditionalFormatting>
  <conditionalFormatting sqref="Z153:AD153">
    <cfRule type="cellIs" dxfId="30" priority="97" operator="lessThan">
      <formula>-1</formula>
    </cfRule>
  </conditionalFormatting>
  <conditionalFormatting sqref="AB157:AB164">
    <cfRule type="cellIs" dxfId="29" priority="205" operator="lessThan">
      <formula>-1</formula>
    </cfRule>
  </conditionalFormatting>
  <conditionalFormatting sqref="AB10:AD10">
    <cfRule type="cellIs" dxfId="28" priority="234" operator="lessThan">
      <formula>-1</formula>
    </cfRule>
  </conditionalFormatting>
  <conditionalFormatting sqref="AB70:AD70 AB72:AD72">
    <cfRule type="cellIs" dxfId="27" priority="119" operator="lessThan">
      <formula>0</formula>
    </cfRule>
  </conditionalFormatting>
  <conditionalFormatting sqref="AB77:AD100">
    <cfRule type="cellIs" dxfId="26" priority="73" operator="lessThan">
      <formula>-1</formula>
    </cfRule>
  </conditionalFormatting>
  <conditionalFormatting sqref="AB104:AD120">
    <cfRule type="cellIs" dxfId="25" priority="71" operator="lessThan">
      <formula>-1</formula>
    </cfRule>
  </conditionalFormatting>
  <conditionalFormatting sqref="AB135:AD136">
    <cfRule type="cellIs" dxfId="24" priority="232" operator="lessThan">
      <formula>-1</formula>
    </cfRule>
  </conditionalFormatting>
  <conditionalFormatting sqref="AB154:AD156">
    <cfRule type="cellIs" dxfId="23" priority="225" operator="lessThan">
      <formula>-1</formula>
    </cfRule>
  </conditionalFormatting>
  <conditionalFormatting sqref="AB170:AD171">
    <cfRule type="cellIs" dxfId="22" priority="204" operator="lessThan">
      <formula>-1</formula>
    </cfRule>
  </conditionalFormatting>
  <conditionalFormatting sqref="AB174:AD178">
    <cfRule type="cellIs" dxfId="21" priority="201" operator="lessThan">
      <formula>-1</formula>
    </cfRule>
  </conditionalFormatting>
  <conditionalFormatting sqref="AB180:AD182">
    <cfRule type="cellIs" dxfId="20" priority="226" operator="lessThan">
      <formula>-1</formula>
    </cfRule>
  </conditionalFormatting>
  <conditionalFormatting sqref="AC162:AD164">
    <cfRule type="top10" dxfId="19" priority="224" percent="1" rank="10"/>
  </conditionalFormatting>
  <pageMargins left="0.7" right="0.7" top="0.75" bottom="0.75" header="0.3" footer="0.3"/>
  <pageSetup paperSize="9" scale="35" orientation="portrait" r:id="rId1"/>
  <headerFooter>
    <oddFooter>&amp;C_x000D_&amp;1#&amp;"Calibri"&amp;10&amp;K000000 OFFICIAL</oddFooter>
  </headerFooter>
  <rowBreaks count="1" manualBreakCount="1">
    <brk id="73" max="16383" man="1"/>
  </rowBreaks>
  <ignoredErrors>
    <ignoredError sqref="E128:E129 E131:E132"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F65451C-53D5-49D5-A168-1A2FF8493D9D}">
          <x14:formula1>
            <xm:f>Lookup!$A$2:$A$211</xm:f>
          </x14:formula1>
          <xm:sqref>C2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AEDFB"/>
  </sheetPr>
  <dimension ref="A1:AI30"/>
  <sheetViews>
    <sheetView zoomScaleNormal="100" workbookViewId="0">
      <selection activeCell="Y14" sqref="Y14"/>
    </sheetView>
  </sheetViews>
  <sheetFormatPr defaultColWidth="8.88671875" defaultRowHeight="14.4"/>
  <cols>
    <col min="1" max="1" width="21.109375" customWidth="1"/>
    <col min="2" max="2" width="74.6640625" customWidth="1"/>
    <col min="3" max="3" width="1.109375" customWidth="1"/>
    <col min="4" max="4" width="12.33203125" customWidth="1"/>
    <col min="5" max="5" width="13" customWidth="1"/>
    <col min="24" max="24" width="1.109375" customWidth="1"/>
    <col min="25" max="29" width="12.44140625" customWidth="1"/>
    <col min="30" max="30" width="1.109375" customWidth="1"/>
    <col min="31" max="35" width="12.44140625" customWidth="1"/>
  </cols>
  <sheetData>
    <row r="1" spans="1:35">
      <c r="A1" s="311" t="s">
        <v>1490</v>
      </c>
      <c r="B1" s="312"/>
    </row>
    <row r="2" spans="1:35" s="76" customFormat="1">
      <c r="A2" s="314"/>
      <c r="B2" s="315"/>
      <c r="D2" s="892" t="s">
        <v>3</v>
      </c>
      <c r="E2" s="892"/>
      <c r="F2" s="318"/>
      <c r="G2" s="318"/>
      <c r="H2" s="318"/>
    </row>
    <row r="3" spans="1:35" s="76" customFormat="1">
      <c r="A3" s="316" t="s">
        <v>2</v>
      </c>
      <c r="B3" s="317" t="str">
        <f>'CFR Return'!C3</f>
        <v>0000</v>
      </c>
      <c r="D3" s="892" t="str">
        <f>'CFR Return'!C4</f>
        <v>Final Accounts</v>
      </c>
      <c r="E3" s="892"/>
      <c r="F3" s="321" t="s">
        <v>6</v>
      </c>
      <c r="G3" s="322"/>
      <c r="H3" s="322"/>
    </row>
    <row r="4" spans="1:35" s="76" customFormat="1">
      <c r="A4" s="316" t="s">
        <v>4</v>
      </c>
      <c r="B4" s="316" t="str">
        <f>'CFR Return'!C2</f>
        <v>Select School</v>
      </c>
    </row>
    <row r="5" spans="1:35" s="76" customFormat="1">
      <c r="A5" s="318"/>
      <c r="B5" s="318"/>
      <c r="C5" s="288"/>
      <c r="D5" s="288"/>
      <c r="E5" s="288"/>
      <c r="F5" s="288"/>
    </row>
    <row r="6" spans="1:35" s="76" customFormat="1">
      <c r="A6" s="896" t="s">
        <v>1491</v>
      </c>
      <c r="B6" s="897"/>
      <c r="C6" s="288"/>
      <c r="D6" s="288"/>
      <c r="E6" s="288"/>
      <c r="F6" s="288"/>
    </row>
    <row r="7" spans="1:35" ht="15" thickBot="1">
      <c r="A7" s="313"/>
      <c r="B7" s="313"/>
    </row>
    <row r="8" spans="1:35" s="318" customFormat="1" ht="13.8" thickBot="1">
      <c r="A8" s="893" t="s">
        <v>1492</v>
      </c>
      <c r="B8" s="894"/>
      <c r="C8" s="426"/>
      <c r="D8" s="893" t="s">
        <v>1493</v>
      </c>
      <c r="E8" s="895"/>
      <c r="F8" s="895"/>
      <c r="G8" s="895"/>
      <c r="H8" s="895"/>
      <c r="I8" s="895"/>
      <c r="J8" s="895"/>
      <c r="K8" s="895"/>
      <c r="L8" s="895"/>
      <c r="M8" s="895"/>
      <c r="N8" s="895"/>
      <c r="O8" s="895"/>
      <c r="P8" s="895"/>
      <c r="Q8" s="895"/>
      <c r="R8" s="895"/>
      <c r="S8" s="895"/>
      <c r="T8" s="895"/>
      <c r="U8" s="895"/>
      <c r="V8" s="895"/>
      <c r="W8" s="895"/>
      <c r="X8" s="426"/>
      <c r="Y8" s="874" t="s">
        <v>1494</v>
      </c>
      <c r="Z8" s="874"/>
      <c r="AA8" s="874"/>
      <c r="AB8" s="874"/>
      <c r="AC8" s="875"/>
      <c r="AD8" s="426"/>
      <c r="AE8" s="874" t="s">
        <v>1495</v>
      </c>
      <c r="AF8" s="874"/>
      <c r="AG8" s="874"/>
      <c r="AH8" s="874"/>
      <c r="AI8" s="875"/>
    </row>
    <row r="9" spans="1:35" s="313" customFormat="1" ht="13.8" thickBot="1">
      <c r="C9" s="427"/>
      <c r="X9" s="427"/>
      <c r="Y9" s="428"/>
      <c r="Z9" s="428"/>
      <c r="AA9" s="428"/>
      <c r="AB9" s="428"/>
      <c r="AC9" s="428"/>
      <c r="AD9" s="427"/>
      <c r="AE9" s="428"/>
      <c r="AF9" s="428"/>
      <c r="AG9" s="428"/>
      <c r="AH9" s="428"/>
      <c r="AI9" s="428"/>
    </row>
    <row r="10" spans="1:35" s="429" customFormat="1" ht="15" customHeight="1">
      <c r="A10" s="876" t="s">
        <v>470</v>
      </c>
      <c r="B10" s="878" t="s">
        <v>4</v>
      </c>
      <c r="C10" s="415"/>
      <c r="D10" s="880" t="s">
        <v>1496</v>
      </c>
      <c r="E10" s="881"/>
      <c r="F10" s="881"/>
      <c r="G10" s="881"/>
      <c r="H10" s="881"/>
      <c r="I10" s="881"/>
      <c r="J10" s="881"/>
      <c r="K10" s="881"/>
      <c r="L10" s="881"/>
      <c r="M10" s="882"/>
      <c r="N10" s="880" t="s">
        <v>1497</v>
      </c>
      <c r="O10" s="881"/>
      <c r="P10" s="881"/>
      <c r="Q10" s="881"/>
      <c r="R10" s="881"/>
      <c r="S10" s="881"/>
      <c r="T10" s="881"/>
      <c r="U10" s="881"/>
      <c r="V10" s="881"/>
      <c r="W10" s="881"/>
      <c r="X10" s="415"/>
      <c r="Y10" s="886" t="s">
        <v>1498</v>
      </c>
      <c r="Z10" s="889" t="s">
        <v>1499</v>
      </c>
      <c r="AA10" s="889" t="s">
        <v>1500</v>
      </c>
      <c r="AB10" s="889" t="s">
        <v>1501</v>
      </c>
      <c r="AC10" s="889" t="s">
        <v>1502</v>
      </c>
      <c r="AD10" s="415"/>
      <c r="AE10" s="886" t="s">
        <v>1498</v>
      </c>
      <c r="AF10" s="889" t="s">
        <v>1499</v>
      </c>
      <c r="AG10" s="889" t="s">
        <v>1500</v>
      </c>
      <c r="AH10" s="889" t="s">
        <v>1501</v>
      </c>
      <c r="AI10" s="889" t="s">
        <v>1502</v>
      </c>
    </row>
    <row r="11" spans="1:35" s="429" customFormat="1" ht="13.8" thickBot="1">
      <c r="A11" s="877"/>
      <c r="B11" s="879"/>
      <c r="C11" s="415"/>
      <c r="D11" s="883"/>
      <c r="E11" s="884"/>
      <c r="F11" s="884"/>
      <c r="G11" s="884"/>
      <c r="H11" s="884"/>
      <c r="I11" s="884"/>
      <c r="J11" s="884"/>
      <c r="K11" s="884"/>
      <c r="L11" s="884"/>
      <c r="M11" s="885"/>
      <c r="N11" s="883"/>
      <c r="O11" s="884"/>
      <c r="P11" s="884"/>
      <c r="Q11" s="884"/>
      <c r="R11" s="884"/>
      <c r="S11" s="884"/>
      <c r="T11" s="884"/>
      <c r="U11" s="884"/>
      <c r="V11" s="884"/>
      <c r="W11" s="884"/>
      <c r="X11" s="415"/>
      <c r="Y11" s="887"/>
      <c r="Z11" s="890"/>
      <c r="AA11" s="890"/>
      <c r="AB11" s="890"/>
      <c r="AC11" s="890"/>
      <c r="AD11" s="415"/>
      <c r="AE11" s="887"/>
      <c r="AF11" s="890"/>
      <c r="AG11" s="890"/>
      <c r="AH11" s="890"/>
      <c r="AI11" s="890"/>
    </row>
    <row r="12" spans="1:35" s="429" customFormat="1" ht="40.200000000000003" thickBot="1">
      <c r="A12" s="416"/>
      <c r="B12" s="417"/>
      <c r="C12" s="415"/>
      <c r="D12" s="419" t="s">
        <v>1503</v>
      </c>
      <c r="E12" s="419" t="s">
        <v>1504</v>
      </c>
      <c r="F12" s="420" t="s">
        <v>1505</v>
      </c>
      <c r="G12" s="420" t="s">
        <v>1506</v>
      </c>
      <c r="H12" s="420" t="s">
        <v>1507</v>
      </c>
      <c r="I12" s="420" t="s">
        <v>1508</v>
      </c>
      <c r="J12" s="420" t="s">
        <v>1509</v>
      </c>
      <c r="K12" s="420" t="s">
        <v>1510</v>
      </c>
      <c r="L12" s="420" t="s">
        <v>1511</v>
      </c>
      <c r="M12" s="420" t="s">
        <v>1512</v>
      </c>
      <c r="N12" s="419" t="s">
        <v>1503</v>
      </c>
      <c r="O12" s="419" t="s">
        <v>1504</v>
      </c>
      <c r="P12" s="420" t="s">
        <v>1505</v>
      </c>
      <c r="Q12" s="420" t="s">
        <v>1506</v>
      </c>
      <c r="R12" s="420" t="s">
        <v>1507</v>
      </c>
      <c r="S12" s="420" t="s">
        <v>1508</v>
      </c>
      <c r="T12" s="420" t="s">
        <v>1509</v>
      </c>
      <c r="U12" s="420" t="s">
        <v>1510</v>
      </c>
      <c r="V12" s="420" t="s">
        <v>1511</v>
      </c>
      <c r="W12" s="420" t="s">
        <v>1512</v>
      </c>
      <c r="X12" s="415"/>
      <c r="Y12" s="888"/>
      <c r="Z12" s="891"/>
      <c r="AA12" s="891"/>
      <c r="AB12" s="891"/>
      <c r="AC12" s="891"/>
      <c r="AD12" s="415"/>
      <c r="AE12" s="888"/>
      <c r="AF12" s="891"/>
      <c r="AG12" s="891"/>
      <c r="AH12" s="891"/>
      <c r="AI12" s="891"/>
    </row>
    <row r="13" spans="1:35" s="429" customFormat="1" ht="13.8" thickBot="1">
      <c r="A13" s="421"/>
      <c r="B13" s="422"/>
      <c r="C13" s="415"/>
      <c r="D13" s="413"/>
      <c r="E13" s="423"/>
      <c r="F13" s="423"/>
      <c r="G13" s="423"/>
      <c r="H13" s="423"/>
      <c r="I13" s="423"/>
      <c r="J13" s="423"/>
      <c r="K13" s="423"/>
      <c r="L13" s="423"/>
      <c r="M13" s="414"/>
      <c r="N13" s="413"/>
      <c r="O13" s="423"/>
      <c r="P13" s="423"/>
      <c r="Q13" s="423"/>
      <c r="R13" s="423"/>
      <c r="S13" s="423"/>
      <c r="T13" s="423"/>
      <c r="U13" s="423"/>
      <c r="V13" s="423"/>
      <c r="W13" s="424"/>
      <c r="X13" s="415"/>
      <c r="Y13" s="425" t="s">
        <v>1513</v>
      </c>
      <c r="Z13" s="425" t="s">
        <v>1513</v>
      </c>
      <c r="AA13" s="425" t="s">
        <v>1513</v>
      </c>
      <c r="AB13" s="425" t="s">
        <v>1513</v>
      </c>
      <c r="AC13" s="418" t="s">
        <v>1513</v>
      </c>
      <c r="AD13" s="415"/>
      <c r="AE13" s="425" t="s">
        <v>1513</v>
      </c>
      <c r="AF13" s="425" t="s">
        <v>1513</v>
      </c>
      <c r="AG13" s="425" t="s">
        <v>1513</v>
      </c>
      <c r="AH13" s="425" t="s">
        <v>1513</v>
      </c>
      <c r="AI13" s="418" t="s">
        <v>1513</v>
      </c>
    </row>
    <row r="14" spans="1:35" s="313" customFormat="1" ht="13.8" thickBot="1">
      <c r="A14" s="430" t="str">
        <f>'CFR Return'!C3</f>
        <v>0000</v>
      </c>
      <c r="B14" s="431" t="str">
        <f>'CFR Return'!C2</f>
        <v>Select School</v>
      </c>
      <c r="C14" s="432"/>
      <c r="D14" s="488"/>
      <c r="E14" s="489"/>
      <c r="F14" s="489"/>
      <c r="G14" s="489"/>
      <c r="H14" s="489"/>
      <c r="I14" s="489"/>
      <c r="J14" s="489"/>
      <c r="K14" s="489"/>
      <c r="L14" s="489"/>
      <c r="M14" s="490"/>
      <c r="N14" s="488"/>
      <c r="O14" s="489"/>
      <c r="P14" s="489"/>
      <c r="Q14" s="489"/>
      <c r="R14" s="489"/>
      <c r="S14" s="489"/>
      <c r="T14" s="489"/>
      <c r="U14" s="489"/>
      <c r="V14" s="489"/>
      <c r="W14" s="491"/>
      <c r="X14" s="492"/>
      <c r="Y14" s="493"/>
      <c r="Z14" s="494"/>
      <c r="AA14" s="494"/>
      <c r="AB14" s="494"/>
      <c r="AC14" s="495"/>
      <c r="AD14" s="492"/>
      <c r="AE14" s="493"/>
      <c r="AF14" s="494"/>
      <c r="AG14" s="494"/>
      <c r="AH14" s="494"/>
      <c r="AI14" s="495"/>
    </row>
    <row r="21" spans="1:5" hidden="1"/>
    <row r="22" spans="1:5" hidden="1"/>
    <row r="23" spans="1:5" hidden="1">
      <c r="A23" s="866" t="s">
        <v>470</v>
      </c>
      <c r="B23" s="868" t="s">
        <v>4</v>
      </c>
      <c r="C23" s="291"/>
      <c r="D23" s="870" t="s">
        <v>1514</v>
      </c>
      <c r="E23" s="871"/>
    </row>
    <row r="24" spans="1:5" ht="15" hidden="1" thickBot="1">
      <c r="A24" s="867"/>
      <c r="B24" s="869"/>
      <c r="C24" s="291"/>
      <c r="D24" s="872"/>
      <c r="E24" s="873"/>
    </row>
    <row r="25" spans="1:5" ht="15" hidden="1" thickBot="1">
      <c r="A25" s="292"/>
      <c r="B25" s="293"/>
      <c r="C25" s="291"/>
      <c r="D25" s="294"/>
      <c r="E25" s="295"/>
    </row>
    <row r="26" spans="1:5" hidden="1">
      <c r="A26" s="296"/>
      <c r="B26" s="297"/>
      <c r="C26" s="291"/>
      <c r="D26" s="289" t="s">
        <v>1515</v>
      </c>
      <c r="E26" s="290" t="s">
        <v>1516</v>
      </c>
    </row>
    <row r="27" spans="1:5" ht="15" hidden="1" thickBot="1">
      <c r="A27" s="298" t="str">
        <f>A14</f>
        <v>0000</v>
      </c>
      <c r="B27" s="299" t="str">
        <f>B14</f>
        <v>Select School</v>
      </c>
      <c r="C27" s="300"/>
      <c r="D27" s="405"/>
      <c r="E27" s="406"/>
    </row>
    <row r="28" spans="1:5" hidden="1"/>
    <row r="29" spans="1:5" hidden="1"/>
    <row r="30" spans="1:5" hidden="1"/>
  </sheetData>
  <sheetProtection algorithmName="SHA-512" hashValue="gzjxfiNPTMJbUxGWYJXi7xEaNxsDbPUMZjCF1AKbw8e+ZiXeUSK5vmiA3XVuNVnTGdAs8LMlOXULEQSyAKKgIg==" saltValue="MrX7EjE2kZaqePQx2C7kIg==" spinCount="100000" sheet="1" selectLockedCells="1"/>
  <protectedRanges>
    <protectedRange sqref="C8:C9 C13:C14 C18:C19 C26:C29" name="Range1_1_2"/>
    <protectedRange sqref="C34:C36" name="Range1_1"/>
  </protectedRanges>
  <mergeCells count="24">
    <mergeCell ref="D2:E2"/>
    <mergeCell ref="D3:E3"/>
    <mergeCell ref="A8:B8"/>
    <mergeCell ref="D8:W8"/>
    <mergeCell ref="AI10:AI12"/>
    <mergeCell ref="AC10:AC12"/>
    <mergeCell ref="AE10:AE12"/>
    <mergeCell ref="AH10:AH12"/>
    <mergeCell ref="A6:B6"/>
    <mergeCell ref="AF10:AF12"/>
    <mergeCell ref="AG10:AG12"/>
    <mergeCell ref="A23:A24"/>
    <mergeCell ref="B23:B24"/>
    <mergeCell ref="D23:E24"/>
    <mergeCell ref="AE8:AI8"/>
    <mergeCell ref="A10:A11"/>
    <mergeCell ref="B10:B11"/>
    <mergeCell ref="D10:M11"/>
    <mergeCell ref="N10:W11"/>
    <mergeCell ref="Y10:Y12"/>
    <mergeCell ref="Z10:Z12"/>
    <mergeCell ref="AA10:AA12"/>
    <mergeCell ref="AB10:AB12"/>
    <mergeCell ref="Y8:AC8"/>
  </mergeCells>
  <phoneticPr fontId="46" type="noConversion"/>
  <dataValidations count="1">
    <dataValidation type="textLength" operator="lessThanOrEqual" allowBlank="1" showInputMessage="1" showErrorMessage="1" sqref="E3" xr:uid="{00000000-0002-0000-0C00-000000000000}">
      <formula1>5</formula1>
    </dataValidation>
  </dataValidations>
  <pageMargins left="0.7" right="0.7" top="0.75" bottom="0.75" header="0.3" footer="0.3"/>
  <pageSetup paperSize="9" scale="61" orientation="portrait" r:id="rId1"/>
  <headerFooter>
    <oddFooter>&amp;C_x000D_&amp;1#&amp;"Calibri"&amp;10&amp;K000000 OFFICIAL</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J11"/>
  <sheetViews>
    <sheetView zoomScaleNormal="100" workbookViewId="0">
      <selection activeCell="P27" sqref="P27"/>
    </sheetView>
  </sheetViews>
  <sheetFormatPr defaultRowHeight="14.4"/>
  <cols>
    <col min="1" max="1" width="22.88671875" customWidth="1"/>
    <col min="2" max="2" width="28" customWidth="1"/>
    <col min="3" max="3" width="14.33203125" customWidth="1"/>
    <col min="4" max="4" width="1.33203125" customWidth="1"/>
    <col min="5" max="5" width="19" customWidth="1"/>
    <col min="6" max="6" width="1.33203125" customWidth="1"/>
    <col min="7" max="7" width="15.5546875" customWidth="1"/>
    <col min="8" max="8" width="1.33203125" customWidth="1"/>
    <col min="9" max="9" width="17.6640625" customWidth="1"/>
    <col min="10" max="10" width="13.6640625" customWidth="1"/>
  </cols>
  <sheetData>
    <row r="1" spans="1:10">
      <c r="A1" s="285" t="s">
        <v>1517</v>
      </c>
      <c r="B1" s="286"/>
      <c r="C1" s="286"/>
    </row>
    <row r="2" spans="1:10">
      <c r="A2" s="285" t="s">
        <v>2</v>
      </c>
      <c r="B2" s="287" t="str">
        <f>'CFR Return'!C3</f>
        <v>0000</v>
      </c>
      <c r="C2" s="285" t="s">
        <v>3</v>
      </c>
    </row>
    <row r="3" spans="1:10">
      <c r="A3" s="285" t="s">
        <v>4</v>
      </c>
      <c r="B3" s="285" t="str">
        <f>'CFR Return'!C2</f>
        <v>Select School</v>
      </c>
      <c r="C3" s="285" t="s">
        <v>5</v>
      </c>
    </row>
    <row r="5" spans="1:10">
      <c r="B5" s="3" t="s">
        <v>6</v>
      </c>
      <c r="C5" s="78"/>
    </row>
    <row r="6" spans="1:10" ht="15" thickBot="1">
      <c r="A6" s="79"/>
      <c r="B6" s="80"/>
      <c r="C6" s="81" t="s">
        <v>1518</v>
      </c>
    </row>
    <row r="7" spans="1:10" ht="15" thickBot="1">
      <c r="A7" s="82"/>
      <c r="B7" s="82"/>
      <c r="C7" s="83"/>
    </row>
    <row r="8" spans="1:10">
      <c r="A8" s="866" t="s">
        <v>470</v>
      </c>
      <c r="B8" s="906" t="s">
        <v>4</v>
      </c>
      <c r="C8" s="898" t="s">
        <v>1519</v>
      </c>
      <c r="D8" s="900"/>
      <c r="E8" s="898" t="s">
        <v>1520</v>
      </c>
      <c r="F8" s="900"/>
      <c r="G8" s="898" t="s">
        <v>1521</v>
      </c>
      <c r="H8" s="900"/>
      <c r="I8" s="902" t="s">
        <v>1522</v>
      </c>
      <c r="J8" s="904" t="s">
        <v>1080</v>
      </c>
    </row>
    <row r="9" spans="1:10">
      <c r="A9" s="905"/>
      <c r="B9" s="907"/>
      <c r="C9" s="899"/>
      <c r="D9" s="901"/>
      <c r="E9" s="899"/>
      <c r="F9" s="901"/>
      <c r="G9" s="899"/>
      <c r="H9" s="901"/>
      <c r="I9" s="903"/>
      <c r="J9" s="904"/>
    </row>
    <row r="10" spans="1:10">
      <c r="A10" s="304"/>
      <c r="B10" s="302"/>
      <c r="C10" s="305" t="s">
        <v>1513</v>
      </c>
      <c r="D10" s="303"/>
      <c r="E10" s="305" t="s">
        <v>1513</v>
      </c>
      <c r="F10" s="303"/>
      <c r="G10" s="305" t="s">
        <v>1513</v>
      </c>
      <c r="H10" s="303"/>
      <c r="I10" s="306" t="s">
        <v>1513</v>
      </c>
      <c r="J10" s="301"/>
    </row>
    <row r="11" spans="1:10">
      <c r="A11" s="133" t="str">
        <f>B2</f>
        <v>0000</v>
      </c>
      <c r="B11" s="133" t="str">
        <f>B3</f>
        <v>Select School</v>
      </c>
      <c r="C11" s="307"/>
      <c r="D11" s="308"/>
      <c r="E11" s="307"/>
      <c r="F11" s="308"/>
      <c r="G11" s="307"/>
      <c r="H11" s="308"/>
      <c r="I11" s="307"/>
      <c r="J11" s="308">
        <f>SUM(C11:I11)</f>
        <v>0</v>
      </c>
    </row>
  </sheetData>
  <sheetProtection selectLockedCells="1"/>
  <protectedRanges>
    <protectedRange sqref="C11 C15 C13" name="Range1"/>
  </protectedRanges>
  <mergeCells count="10">
    <mergeCell ref="G8:G9"/>
    <mergeCell ref="H8:H9"/>
    <mergeCell ref="I8:I9"/>
    <mergeCell ref="J8:J9"/>
    <mergeCell ref="A8:A9"/>
    <mergeCell ref="B8:B9"/>
    <mergeCell ref="C8:C9"/>
    <mergeCell ref="D8:D9"/>
    <mergeCell ref="E8:E9"/>
    <mergeCell ref="F8:F9"/>
  </mergeCells>
  <dataValidations count="1">
    <dataValidation type="textLength" operator="lessThanOrEqual" allowBlank="1" showInputMessage="1" showErrorMessage="1" sqref="C5" xr:uid="{00000000-0002-0000-0D00-000000000000}">
      <formula1>5</formula1>
    </dataValidation>
  </dataValidations>
  <pageMargins left="0.7" right="0.7" top="0.75" bottom="0.75" header="0.3" footer="0.3"/>
  <pageSetup paperSize="9" orientation="portrait" verticalDpi="0" r:id="rId1"/>
  <headerFooter>
    <oddFooter>&amp;C_x000D_&amp;1#&amp;"Calibri"&amp;10&amp;K000000 OFFICIAL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9C980-3483-4EC8-B053-DEFBF2E6347A}">
  <sheetPr>
    <tabColor rgb="FFCAEDFB"/>
  </sheetPr>
  <dimension ref="A1:N82"/>
  <sheetViews>
    <sheetView zoomScaleNormal="100" workbookViewId="0">
      <selection activeCell="B76" sqref="B76"/>
    </sheetView>
  </sheetViews>
  <sheetFormatPr defaultColWidth="9.109375" defaultRowHeight="13.2"/>
  <cols>
    <col min="1" max="1" width="23.5546875" style="313" customWidth="1"/>
    <col min="2" max="2" width="74.6640625" style="313" customWidth="1"/>
    <col min="3" max="3" width="15" style="313" customWidth="1"/>
    <col min="4" max="4" width="34.6640625" style="313" customWidth="1"/>
    <col min="5" max="5" width="29.6640625" style="313" customWidth="1"/>
    <col min="6" max="6" width="32.33203125" style="313" customWidth="1"/>
    <col min="7" max="10" width="9.109375" style="313"/>
    <col min="11" max="11" width="27.33203125" style="313" customWidth="1"/>
    <col min="12" max="12" width="15.44140625" style="313" customWidth="1"/>
    <col min="13" max="13" width="26.88671875" style="313" bestFit="1" customWidth="1"/>
    <col min="14" max="14" width="17.33203125" style="313" bestFit="1" customWidth="1"/>
    <col min="15" max="15" width="17.5546875" style="313" customWidth="1"/>
    <col min="16" max="16" width="12.109375" style="313" customWidth="1"/>
    <col min="17" max="16384" width="9.109375" style="313"/>
  </cols>
  <sheetData>
    <row r="1" spans="1:14" ht="15" customHeight="1">
      <c r="A1" s="311" t="s">
        <v>1523</v>
      </c>
      <c r="B1" s="312"/>
    </row>
    <row r="2" spans="1:14" ht="15" customHeight="1">
      <c r="A2" s="318"/>
    </row>
    <row r="3" spans="1:14" ht="15" customHeight="1">
      <c r="A3" s="316" t="s">
        <v>2</v>
      </c>
      <c r="B3" s="317" t="str">
        <f>'CFR Return'!C3</f>
        <v>0000</v>
      </c>
    </row>
    <row r="4" spans="1:14" ht="15" customHeight="1">
      <c r="A4" s="316" t="s">
        <v>4</v>
      </c>
      <c r="B4" s="316" t="str">
        <f>'CFR Return'!C2</f>
        <v>Select School</v>
      </c>
      <c r="D4" s="321" t="s">
        <v>975</v>
      </c>
      <c r="E4" s="321"/>
    </row>
    <row r="5" spans="1:14">
      <c r="D5" s="435" t="s">
        <v>977</v>
      </c>
      <c r="E5" s="435"/>
    </row>
    <row r="6" spans="1:14">
      <c r="D6" s="434"/>
      <c r="E6" s="434"/>
    </row>
    <row r="7" spans="1:14">
      <c r="A7" s="695"/>
      <c r="B7" s="691"/>
      <c r="C7" s="696"/>
      <c r="D7" s="697"/>
    </row>
    <row r="8" spans="1:14">
      <c r="A8" s="690"/>
      <c r="B8" s="698" t="s">
        <v>233</v>
      </c>
      <c r="C8" s="692"/>
      <c r="D8" s="693"/>
    </row>
    <row r="9" spans="1:14">
      <c r="A9" s="701" t="s">
        <v>234</v>
      </c>
      <c r="B9" s="699" t="s">
        <v>235</v>
      </c>
      <c r="C9" s="42">
        <f>'CFR Return'!P128</f>
        <v>0</v>
      </c>
      <c r="D9" s="706">
        <f>IFERROR(ROUND('CFR Return'!R128,2),0)</f>
        <v>0</v>
      </c>
      <c r="E9" s="694" t="str">
        <f>IF(OR(D9&gt;10%,D9=10%),"SCHOOL MUST COMPLETE REVENUE COMMITMENTS IF REVENUE BALANCE IS 10% OR HIGHER","")</f>
        <v/>
      </c>
    </row>
    <row r="10" spans="1:14">
      <c r="A10" s="701" t="s">
        <v>238</v>
      </c>
      <c r="B10" s="699" t="s">
        <v>239</v>
      </c>
      <c r="C10" s="42">
        <f>'CFR Return'!P130</f>
        <v>0</v>
      </c>
      <c r="D10" s="704"/>
      <c r="E10" s="694" t="str">
        <f>IF(C10&gt;0,"SCHOOL MUST COMPLETE DFC COMMITMENTS IF DFC BALANCE IS GREATER THAN 0","")</f>
        <v/>
      </c>
    </row>
    <row r="11" spans="1:14">
      <c r="A11" s="702" t="s">
        <v>240</v>
      </c>
      <c r="B11" s="700" t="s">
        <v>241</v>
      </c>
      <c r="C11" s="703">
        <f>'CFR Return'!P131</f>
        <v>0</v>
      </c>
      <c r="D11" s="705"/>
      <c r="E11" s="694" t="str">
        <f>IF(C11&gt;0,"SCHOOL MUST COMPLETE CAPITAL COMMITMENTS IF CAPITAL BALANCE IS GREATER THAN 0","")</f>
        <v/>
      </c>
    </row>
    <row r="13" spans="1:14" ht="13.8" thickBot="1"/>
    <row r="14" spans="1:14" ht="27" thickBot="1">
      <c r="A14" s="582" t="s">
        <v>1524</v>
      </c>
      <c r="B14" s="583" t="s">
        <v>1525</v>
      </c>
      <c r="C14" s="583" t="s">
        <v>1526</v>
      </c>
      <c r="D14" s="583" t="s">
        <v>1527</v>
      </c>
      <c r="E14" s="584" t="s">
        <v>1528</v>
      </c>
      <c r="L14" s="330" t="s">
        <v>1529</v>
      </c>
      <c r="M14" s="330" t="s">
        <v>1530</v>
      </c>
      <c r="N14" s="330" t="s">
        <v>1531</v>
      </c>
    </row>
    <row r="15" spans="1:14">
      <c r="A15" s="602"/>
      <c r="B15" s="489"/>
      <c r="C15" s="710"/>
      <c r="D15" s="489"/>
      <c r="E15" s="707"/>
      <c r="J15" s="330" t="str">
        <f>B3</f>
        <v>0000</v>
      </c>
      <c r="K15" s="330" t="str">
        <f>B4</f>
        <v>Select School</v>
      </c>
      <c r="L15" s="402">
        <f>C65</f>
        <v>0</v>
      </c>
      <c r="M15" s="402">
        <f>C66</f>
        <v>0</v>
      </c>
      <c r="N15" s="402">
        <f>C67</f>
        <v>0</v>
      </c>
    </row>
    <row r="16" spans="1:14">
      <c r="A16" s="603"/>
      <c r="B16" s="604"/>
      <c r="C16" s="711"/>
      <c r="D16" s="604"/>
      <c r="E16" s="708"/>
    </row>
    <row r="17" spans="1:5">
      <c r="A17" s="603"/>
      <c r="B17" s="604"/>
      <c r="C17" s="711"/>
      <c r="D17" s="604"/>
      <c r="E17" s="708"/>
    </row>
    <row r="18" spans="1:5">
      <c r="A18" s="603"/>
      <c r="B18" s="604"/>
      <c r="C18" s="711"/>
      <c r="D18" s="604"/>
      <c r="E18" s="708"/>
    </row>
    <row r="19" spans="1:5">
      <c r="A19" s="603"/>
      <c r="B19" s="604"/>
      <c r="C19" s="711"/>
      <c r="D19" s="604"/>
      <c r="E19" s="708"/>
    </row>
    <row r="20" spans="1:5">
      <c r="A20" s="603"/>
      <c r="B20" s="604"/>
      <c r="C20" s="711"/>
      <c r="D20" s="604"/>
      <c r="E20" s="708"/>
    </row>
    <row r="21" spans="1:5">
      <c r="A21" s="603"/>
      <c r="B21" s="604"/>
      <c r="C21" s="711"/>
      <c r="D21" s="604"/>
      <c r="E21" s="708"/>
    </row>
    <row r="22" spans="1:5">
      <c r="A22" s="603"/>
      <c r="B22" s="604"/>
      <c r="C22" s="711"/>
      <c r="D22" s="604"/>
      <c r="E22" s="708"/>
    </row>
    <row r="23" spans="1:5">
      <c r="A23" s="603"/>
      <c r="B23" s="604"/>
      <c r="C23" s="711"/>
      <c r="D23" s="604"/>
      <c r="E23" s="708"/>
    </row>
    <row r="24" spans="1:5">
      <c r="A24" s="603"/>
      <c r="B24" s="604"/>
      <c r="C24" s="711"/>
      <c r="D24" s="604"/>
      <c r="E24" s="708"/>
    </row>
    <row r="25" spans="1:5">
      <c r="A25" s="603"/>
      <c r="B25" s="604"/>
      <c r="C25" s="711"/>
      <c r="D25" s="604"/>
      <c r="E25" s="708"/>
    </row>
    <row r="26" spans="1:5">
      <c r="A26" s="603"/>
      <c r="B26" s="604"/>
      <c r="C26" s="711"/>
      <c r="D26" s="604"/>
      <c r="E26" s="708"/>
    </row>
    <row r="27" spans="1:5">
      <c r="A27" s="603"/>
      <c r="B27" s="604"/>
      <c r="C27" s="711"/>
      <c r="D27" s="604"/>
      <c r="E27" s="708"/>
    </row>
    <row r="28" spans="1:5">
      <c r="A28" s="603"/>
      <c r="B28" s="604"/>
      <c r="C28" s="711"/>
      <c r="D28" s="604"/>
      <c r="E28" s="708"/>
    </row>
    <row r="29" spans="1:5">
      <c r="A29" s="603"/>
      <c r="B29" s="604"/>
      <c r="C29" s="711"/>
      <c r="D29" s="604"/>
      <c r="E29" s="708"/>
    </row>
    <row r="30" spans="1:5">
      <c r="A30" s="603"/>
      <c r="B30" s="604"/>
      <c r="C30" s="711"/>
      <c r="D30" s="604"/>
      <c r="E30" s="708"/>
    </row>
    <row r="31" spans="1:5">
      <c r="A31" s="603"/>
      <c r="B31" s="604"/>
      <c r="C31" s="711"/>
      <c r="D31" s="604"/>
      <c r="E31" s="708"/>
    </row>
    <row r="32" spans="1:5">
      <c r="A32" s="603"/>
      <c r="B32" s="604"/>
      <c r="C32" s="711"/>
      <c r="D32" s="604"/>
      <c r="E32" s="708"/>
    </row>
    <row r="33" spans="1:5">
      <c r="A33" s="603"/>
      <c r="B33" s="604"/>
      <c r="C33" s="711"/>
      <c r="D33" s="604"/>
      <c r="E33" s="708"/>
    </row>
    <row r="34" spans="1:5">
      <c r="A34" s="603"/>
      <c r="B34" s="604"/>
      <c r="C34" s="711"/>
      <c r="D34" s="604"/>
      <c r="E34" s="708"/>
    </row>
    <row r="35" spans="1:5">
      <c r="A35" s="603"/>
      <c r="B35" s="604"/>
      <c r="C35" s="711"/>
      <c r="D35" s="604"/>
      <c r="E35" s="708"/>
    </row>
    <row r="36" spans="1:5">
      <c r="A36" s="603"/>
      <c r="B36" s="604"/>
      <c r="C36" s="711"/>
      <c r="D36" s="604"/>
      <c r="E36" s="708"/>
    </row>
    <row r="37" spans="1:5">
      <c r="A37" s="603"/>
      <c r="B37" s="604"/>
      <c r="C37" s="711"/>
      <c r="D37" s="604"/>
      <c r="E37" s="708"/>
    </row>
    <row r="38" spans="1:5">
      <c r="A38" s="603"/>
      <c r="B38" s="604"/>
      <c r="C38" s="711"/>
      <c r="D38" s="604"/>
      <c r="E38" s="708"/>
    </row>
    <row r="39" spans="1:5">
      <c r="A39" s="603"/>
      <c r="B39" s="604"/>
      <c r="C39" s="711"/>
      <c r="D39" s="604"/>
      <c r="E39" s="708"/>
    </row>
    <row r="40" spans="1:5">
      <c r="A40" s="603"/>
      <c r="B40" s="604"/>
      <c r="C40" s="711"/>
      <c r="D40" s="604"/>
      <c r="E40" s="708"/>
    </row>
    <row r="41" spans="1:5">
      <c r="A41" s="603"/>
      <c r="B41" s="604"/>
      <c r="C41" s="711"/>
      <c r="D41" s="604"/>
      <c r="E41" s="708"/>
    </row>
    <row r="42" spans="1:5">
      <c r="A42" s="603"/>
      <c r="B42" s="604"/>
      <c r="C42" s="711"/>
      <c r="D42" s="604"/>
      <c r="E42" s="708"/>
    </row>
    <row r="43" spans="1:5">
      <c r="A43" s="603"/>
      <c r="B43" s="604"/>
      <c r="C43" s="711"/>
      <c r="D43" s="604"/>
      <c r="E43" s="708"/>
    </row>
    <row r="44" spans="1:5">
      <c r="A44" s="603"/>
      <c r="B44" s="604"/>
      <c r="C44" s="711"/>
      <c r="D44" s="604"/>
      <c r="E44" s="708"/>
    </row>
    <row r="45" spans="1:5">
      <c r="A45" s="603"/>
      <c r="B45" s="604"/>
      <c r="C45" s="711"/>
      <c r="D45" s="604"/>
      <c r="E45" s="708"/>
    </row>
    <row r="46" spans="1:5">
      <c r="A46" s="603"/>
      <c r="B46" s="604"/>
      <c r="C46" s="711"/>
      <c r="D46" s="604"/>
      <c r="E46" s="708"/>
    </row>
    <row r="47" spans="1:5">
      <c r="A47" s="603"/>
      <c r="B47" s="604"/>
      <c r="C47" s="711"/>
      <c r="D47" s="604"/>
      <c r="E47" s="708"/>
    </row>
    <row r="48" spans="1:5">
      <c r="A48" s="603"/>
      <c r="B48" s="604"/>
      <c r="C48" s="711"/>
      <c r="D48" s="604"/>
      <c r="E48" s="708"/>
    </row>
    <row r="49" spans="1:5">
      <c r="A49" s="603"/>
      <c r="B49" s="604"/>
      <c r="C49" s="711"/>
      <c r="D49" s="604"/>
      <c r="E49" s="708"/>
    </row>
    <row r="50" spans="1:5">
      <c r="A50" s="603"/>
      <c r="B50" s="604"/>
      <c r="C50" s="711"/>
      <c r="D50" s="604"/>
      <c r="E50" s="708"/>
    </row>
    <row r="51" spans="1:5">
      <c r="A51" s="603"/>
      <c r="B51" s="604"/>
      <c r="C51" s="711"/>
      <c r="D51" s="604"/>
      <c r="E51" s="708"/>
    </row>
    <row r="52" spans="1:5">
      <c r="A52" s="603"/>
      <c r="B52" s="604"/>
      <c r="C52" s="711"/>
      <c r="D52" s="604"/>
      <c r="E52" s="708"/>
    </row>
    <row r="53" spans="1:5">
      <c r="A53" s="603"/>
      <c r="B53" s="604"/>
      <c r="C53" s="711"/>
      <c r="D53" s="604"/>
      <c r="E53" s="708"/>
    </row>
    <row r="54" spans="1:5">
      <c r="A54" s="603"/>
      <c r="B54" s="604"/>
      <c r="C54" s="711"/>
      <c r="D54" s="604"/>
      <c r="E54" s="708"/>
    </row>
    <row r="55" spans="1:5">
      <c r="A55" s="603"/>
      <c r="B55" s="604"/>
      <c r="C55" s="711"/>
      <c r="D55" s="604"/>
      <c r="E55" s="708"/>
    </row>
    <row r="56" spans="1:5">
      <c r="A56" s="603"/>
      <c r="B56" s="604"/>
      <c r="C56" s="711"/>
      <c r="D56" s="604"/>
      <c r="E56" s="708"/>
    </row>
    <row r="57" spans="1:5">
      <c r="A57" s="603"/>
      <c r="B57" s="604"/>
      <c r="C57" s="711"/>
      <c r="D57" s="604"/>
      <c r="E57" s="708"/>
    </row>
    <row r="58" spans="1:5">
      <c r="A58" s="603"/>
      <c r="B58" s="604"/>
      <c r="C58" s="711"/>
      <c r="D58" s="604"/>
      <c r="E58" s="708"/>
    </row>
    <row r="59" spans="1:5">
      <c r="A59" s="603"/>
      <c r="B59" s="604"/>
      <c r="C59" s="711"/>
      <c r="D59" s="604"/>
      <c r="E59" s="708"/>
    </row>
    <row r="60" spans="1:5">
      <c r="A60" s="603"/>
      <c r="B60" s="604"/>
      <c r="C60" s="711"/>
      <c r="D60" s="604"/>
      <c r="E60" s="708"/>
    </row>
    <row r="61" spans="1:5">
      <c r="A61" s="603"/>
      <c r="B61" s="604"/>
      <c r="C61" s="711"/>
      <c r="D61" s="604"/>
      <c r="E61" s="708"/>
    </row>
    <row r="62" spans="1:5">
      <c r="A62" s="603"/>
      <c r="B62" s="604"/>
      <c r="C62" s="711"/>
      <c r="D62" s="604"/>
      <c r="E62" s="708"/>
    </row>
    <row r="63" spans="1:5">
      <c r="A63" s="603"/>
      <c r="B63" s="604"/>
      <c r="C63" s="711"/>
      <c r="D63" s="604"/>
      <c r="E63" s="708"/>
    </row>
    <row r="64" spans="1:5" ht="13.8" thickBot="1">
      <c r="A64" s="605"/>
      <c r="B64" s="606"/>
      <c r="C64" s="712"/>
      <c r="D64" s="606"/>
      <c r="E64" s="709"/>
    </row>
    <row r="65" spans="1:5">
      <c r="B65" s="580" t="s">
        <v>1532</v>
      </c>
      <c r="C65" s="601">
        <f>SUMIF(A$15:A$64,"Revenue",$C$15:$C$64)</f>
        <v>0</v>
      </c>
    </row>
    <row r="66" spans="1:5">
      <c r="B66" s="580" t="s">
        <v>1533</v>
      </c>
      <c r="C66" s="601">
        <f>SUMIF(A$15:A$64,"Devolved Formula Capital",$C$15:$C$64)</f>
        <v>0</v>
      </c>
    </row>
    <row r="67" spans="1:5">
      <c r="B67" s="580" t="s">
        <v>1534</v>
      </c>
      <c r="C67" s="601">
        <f>SUMIF(A$15:A$64,"Other Capital",$C$15:$C$64)</f>
        <v>0</v>
      </c>
    </row>
    <row r="68" spans="1:5" ht="13.8" thickBot="1">
      <c r="A68" s="404"/>
      <c r="B68" s="581"/>
      <c r="C68" s="403"/>
    </row>
    <row r="69" spans="1:5">
      <c r="A69" s="588"/>
      <c r="B69" s="589"/>
      <c r="C69" s="590"/>
      <c r="D69" s="324"/>
      <c r="E69" s="591"/>
    </row>
    <row r="70" spans="1:5">
      <c r="A70" s="592" t="s">
        <v>39</v>
      </c>
      <c r="B70" s="581"/>
      <c r="C70" s="403"/>
      <c r="E70" s="593"/>
    </row>
    <row r="71" spans="1:5">
      <c r="A71" s="592"/>
      <c r="B71" s="581"/>
      <c r="C71" s="403"/>
      <c r="E71" s="593"/>
    </row>
    <row r="72" spans="1:5" ht="24.75" customHeight="1">
      <c r="A72" s="594"/>
      <c r="B72" s="607" t="s">
        <v>304</v>
      </c>
      <c r="C72" s="595"/>
      <c r="E72" s="593"/>
    </row>
    <row r="73" spans="1:5">
      <c r="A73" s="594"/>
      <c r="B73" s="581"/>
      <c r="C73" s="403"/>
      <c r="E73" s="593"/>
    </row>
    <row r="74" spans="1:5">
      <c r="A74" s="594"/>
      <c r="B74" s="581"/>
      <c r="C74" s="403"/>
      <c r="E74" s="593"/>
    </row>
    <row r="75" spans="1:5">
      <c r="A75" s="594"/>
      <c r="B75" s="581"/>
      <c r="C75" s="403"/>
      <c r="E75" s="593"/>
    </row>
    <row r="76" spans="1:5">
      <c r="A76" s="596" t="s">
        <v>41</v>
      </c>
      <c r="B76" s="713"/>
      <c r="C76" s="586"/>
      <c r="D76" s="587" t="s">
        <v>42</v>
      </c>
      <c r="E76" s="597"/>
    </row>
    <row r="77" spans="1:5">
      <c r="A77" s="598"/>
      <c r="B77" s="581"/>
      <c r="C77" s="581"/>
      <c r="E77" s="593"/>
    </row>
    <row r="78" spans="1:5">
      <c r="A78" s="598"/>
      <c r="B78" s="581"/>
      <c r="C78" s="581"/>
      <c r="E78" s="593"/>
    </row>
    <row r="79" spans="1:5">
      <c r="A79" s="596" t="s">
        <v>43</v>
      </c>
      <c r="B79" s="713"/>
      <c r="C79" s="585"/>
      <c r="D79" s="342"/>
      <c r="E79" s="593"/>
    </row>
    <row r="80" spans="1:5">
      <c r="A80" s="598"/>
      <c r="B80" s="581"/>
      <c r="C80" s="581"/>
      <c r="E80" s="593"/>
    </row>
    <row r="81" spans="1:5">
      <c r="A81" s="596" t="s">
        <v>44</v>
      </c>
      <c r="B81" s="713"/>
      <c r="C81" s="585"/>
      <c r="D81" s="342"/>
      <c r="E81" s="593"/>
    </row>
    <row r="82" spans="1:5" ht="13.8" thickBot="1">
      <c r="A82" s="599"/>
      <c r="B82" s="351"/>
      <c r="C82" s="351"/>
      <c r="D82" s="351"/>
      <c r="E82" s="600"/>
    </row>
  </sheetData>
  <sheetProtection algorithmName="SHA-512" hashValue="VInKxueql6BaS3La2KsO3SxtUIrE0FqlqLQBVB1W5HiK0wB6AP2JQr1nhoIH8gpgGsbHR+oknlnbsYBXjVbguA==" saltValue="YXfVeF7VRlvqH0xrwdPCjQ==" spinCount="100000" sheet="1" objects="1" scenarios="1" selectLockedCells="1"/>
  <dataConsolidate/>
  <conditionalFormatting sqref="C15:C64">
    <cfRule type="cellIs" dxfId="82" priority="1" operator="lessThan">
      <formula>-1</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8A58871-6F11-4F3A-A399-8FC9C039BD08}">
          <x14:formula1>
            <xm:f>Lookup!$T$6:$T$8</xm:f>
          </x14:formula1>
          <xm:sqref>A15:A64</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95733-F601-4393-95F0-9E909F313E86}">
  <sheetPr filterMode="1">
    <tabColor rgb="FFFFCCFF"/>
  </sheetPr>
  <dimension ref="A1:J1339"/>
  <sheetViews>
    <sheetView workbookViewId="0">
      <selection activeCell="D1223" sqref="D1223"/>
    </sheetView>
  </sheetViews>
  <sheetFormatPr defaultColWidth="9.109375" defaultRowHeight="13.95" customHeight="1"/>
  <cols>
    <col min="1" max="1" width="11.6640625" style="380" bestFit="1" customWidth="1"/>
    <col min="2" max="2" width="12.6640625" style="380" bestFit="1" customWidth="1"/>
    <col min="3" max="3" width="67.33203125" style="381" customWidth="1"/>
    <col min="4" max="4" width="12.88671875" style="380" customWidth="1"/>
    <col min="5" max="5" width="0" style="72" hidden="1" customWidth="1"/>
    <col min="6" max="6" width="92.6640625" style="282" bestFit="1" customWidth="1"/>
    <col min="7" max="7" width="47.44140625" style="282" bestFit="1" customWidth="1"/>
    <col min="8" max="8" width="14.6640625" style="282" customWidth="1"/>
    <col min="9" max="9" width="36.109375" style="282" customWidth="1"/>
    <col min="10" max="10" width="65.88671875" style="282" customWidth="1"/>
    <col min="11" max="16384" width="9.109375" style="282"/>
  </cols>
  <sheetData>
    <row r="1" spans="1:10" ht="15" thickBot="1">
      <c r="A1" s="376" t="s">
        <v>1535</v>
      </c>
      <c r="B1" s="376" t="s">
        <v>1536</v>
      </c>
      <c r="C1" s="376" t="s">
        <v>1537</v>
      </c>
      <c r="D1" s="376"/>
      <c r="E1" s="377" t="s">
        <v>1538</v>
      </c>
      <c r="F1" s="378" t="s">
        <v>1539</v>
      </c>
      <c r="G1" s="379" t="s">
        <v>1540</v>
      </c>
      <c r="H1" s="379" t="s">
        <v>1541</v>
      </c>
      <c r="I1" s="379" t="s">
        <v>1542</v>
      </c>
      <c r="J1" s="379" t="s">
        <v>1543</v>
      </c>
    </row>
    <row r="2" spans="1:10" ht="14.4" hidden="1">
      <c r="A2" s="380" t="s">
        <v>1174</v>
      </c>
      <c r="B2" s="380" t="s">
        <v>1172</v>
      </c>
      <c r="C2" s="381" t="s">
        <v>1544</v>
      </c>
      <c r="D2" s="380" t="s">
        <v>1545</v>
      </c>
      <c r="E2" s="382" t="s">
        <v>1546</v>
      </c>
      <c r="F2" s="282" t="s">
        <v>1547</v>
      </c>
      <c r="G2" s="282" t="s">
        <v>1547</v>
      </c>
      <c r="H2" s="282" t="s">
        <v>1548</v>
      </c>
      <c r="I2" s="383" t="s">
        <v>1549</v>
      </c>
      <c r="J2" s="282" t="s">
        <v>1550</v>
      </c>
    </row>
    <row r="3" spans="1:10" ht="14.4" hidden="1">
      <c r="A3" s="380" t="s">
        <v>1174</v>
      </c>
      <c r="B3" s="380" t="s">
        <v>1172</v>
      </c>
      <c r="C3" s="381" t="s">
        <v>1551</v>
      </c>
      <c r="D3" s="380" t="s">
        <v>1552</v>
      </c>
      <c r="E3" s="382" t="s">
        <v>1553</v>
      </c>
      <c r="F3" s="282" t="s">
        <v>1554</v>
      </c>
      <c r="G3" s="282" t="s">
        <v>1555</v>
      </c>
      <c r="J3" s="282" t="s">
        <v>1550</v>
      </c>
    </row>
    <row r="4" spans="1:10" ht="14.4" hidden="1">
      <c r="A4" s="380" t="s">
        <v>1174</v>
      </c>
      <c r="B4" s="380" t="s">
        <v>1172</v>
      </c>
      <c r="C4" s="381" t="s">
        <v>1556</v>
      </c>
      <c r="D4" s="380" t="s">
        <v>1552</v>
      </c>
      <c r="E4" s="382" t="s">
        <v>1553</v>
      </c>
      <c r="F4" s="282" t="s">
        <v>1557</v>
      </c>
      <c r="G4" s="282" t="s">
        <v>1555</v>
      </c>
      <c r="J4" s="282" t="s">
        <v>1550</v>
      </c>
    </row>
    <row r="5" spans="1:10" ht="14.4" hidden="1">
      <c r="A5" s="380" t="s">
        <v>1174</v>
      </c>
      <c r="B5" s="380" t="s">
        <v>1172</v>
      </c>
      <c r="C5" s="381" t="s">
        <v>1558</v>
      </c>
      <c r="D5" s="380" t="s">
        <v>1552</v>
      </c>
      <c r="E5" s="382" t="s">
        <v>1553</v>
      </c>
      <c r="F5" s="282" t="s">
        <v>1559</v>
      </c>
      <c r="G5" s="282" t="s">
        <v>1555</v>
      </c>
      <c r="J5" s="282" t="s">
        <v>1550</v>
      </c>
    </row>
    <row r="6" spans="1:10" ht="14.4" hidden="1">
      <c r="A6" s="380" t="s">
        <v>1174</v>
      </c>
      <c r="B6" s="380" t="s">
        <v>1172</v>
      </c>
      <c r="C6" s="381" t="s">
        <v>1560</v>
      </c>
      <c r="D6" s="380" t="s">
        <v>1552</v>
      </c>
      <c r="E6" s="382" t="s">
        <v>1553</v>
      </c>
      <c r="F6" s="282" t="s">
        <v>1561</v>
      </c>
      <c r="G6" s="282" t="s">
        <v>1555</v>
      </c>
      <c r="J6" s="282" t="s">
        <v>1550</v>
      </c>
    </row>
    <row r="7" spans="1:10" ht="14.4" hidden="1">
      <c r="A7" s="380" t="s">
        <v>1174</v>
      </c>
      <c r="B7" s="380" t="s">
        <v>1172</v>
      </c>
      <c r="C7" s="381" t="s">
        <v>1562</v>
      </c>
      <c r="D7" s="380" t="s">
        <v>1552</v>
      </c>
      <c r="E7" s="382" t="s">
        <v>1553</v>
      </c>
      <c r="F7" s="282" t="s">
        <v>1563</v>
      </c>
      <c r="G7" s="282" t="s">
        <v>1555</v>
      </c>
      <c r="J7" s="282" t="s">
        <v>1550</v>
      </c>
    </row>
    <row r="8" spans="1:10" ht="14.4" hidden="1">
      <c r="A8" s="380" t="s">
        <v>1174</v>
      </c>
      <c r="B8" s="380" t="s">
        <v>1172</v>
      </c>
      <c r="C8" s="381" t="s">
        <v>1564</v>
      </c>
      <c r="D8" s="380" t="s">
        <v>1552</v>
      </c>
      <c r="E8" s="382" t="s">
        <v>1553</v>
      </c>
      <c r="F8" s="282" t="s">
        <v>1565</v>
      </c>
      <c r="G8" s="282" t="s">
        <v>1555</v>
      </c>
      <c r="J8" s="282" t="s">
        <v>1550</v>
      </c>
    </row>
    <row r="9" spans="1:10" ht="14.4" hidden="1">
      <c r="A9" s="380" t="s">
        <v>1174</v>
      </c>
      <c r="B9" s="380" t="s">
        <v>1172</v>
      </c>
      <c r="C9" s="381" t="s">
        <v>1566</v>
      </c>
      <c r="D9" s="380" t="s">
        <v>1552</v>
      </c>
      <c r="E9" s="382" t="s">
        <v>1553</v>
      </c>
      <c r="F9" s="282" t="s">
        <v>1567</v>
      </c>
      <c r="G9" s="282" t="s">
        <v>1555</v>
      </c>
      <c r="J9" s="282" t="s">
        <v>1550</v>
      </c>
    </row>
    <row r="10" spans="1:10" ht="14.4" hidden="1">
      <c r="A10" s="380" t="s">
        <v>1174</v>
      </c>
      <c r="B10" s="380" t="s">
        <v>1172</v>
      </c>
      <c r="C10" s="381" t="s">
        <v>1568</v>
      </c>
      <c r="D10" s="380" t="s">
        <v>1552</v>
      </c>
      <c r="E10" s="382" t="s">
        <v>1553</v>
      </c>
      <c r="F10" s="282" t="s">
        <v>1569</v>
      </c>
      <c r="G10" s="282" t="s">
        <v>1555</v>
      </c>
      <c r="J10" s="282" t="s">
        <v>1550</v>
      </c>
    </row>
    <row r="11" spans="1:10" ht="14.4" hidden="1">
      <c r="A11" s="380" t="s">
        <v>1174</v>
      </c>
      <c r="B11" s="380" t="s">
        <v>1172</v>
      </c>
      <c r="C11" s="381" t="s">
        <v>1570</v>
      </c>
      <c r="D11" s="380" t="s">
        <v>1552</v>
      </c>
      <c r="E11" s="382" t="s">
        <v>1553</v>
      </c>
      <c r="F11" s="282" t="s">
        <v>1555</v>
      </c>
      <c r="G11" s="282" t="s">
        <v>1555</v>
      </c>
      <c r="J11" s="282" t="s">
        <v>1550</v>
      </c>
    </row>
    <row r="12" spans="1:10" ht="14.4" hidden="1">
      <c r="A12" s="380" t="s">
        <v>1174</v>
      </c>
      <c r="B12" s="380" t="s">
        <v>1172</v>
      </c>
      <c r="C12" s="381" t="s">
        <v>1571</v>
      </c>
      <c r="D12" s="380" t="s">
        <v>1552</v>
      </c>
      <c r="E12" s="382" t="s">
        <v>1553</v>
      </c>
      <c r="F12" s="282" t="s">
        <v>1572</v>
      </c>
      <c r="G12" s="282" t="s">
        <v>1555</v>
      </c>
      <c r="J12" s="282" t="s">
        <v>1550</v>
      </c>
    </row>
    <row r="13" spans="1:10" ht="14.4" hidden="1">
      <c r="A13" s="380" t="s">
        <v>1174</v>
      </c>
      <c r="B13" s="380" t="s">
        <v>1172</v>
      </c>
      <c r="C13" s="381" t="s">
        <v>1573</v>
      </c>
      <c r="D13" s="380" t="s">
        <v>1552</v>
      </c>
      <c r="E13" s="382" t="s">
        <v>1553</v>
      </c>
      <c r="F13" s="282" t="s">
        <v>1574</v>
      </c>
      <c r="G13" s="282" t="s">
        <v>1555</v>
      </c>
      <c r="J13" s="282" t="s">
        <v>1550</v>
      </c>
    </row>
    <row r="14" spans="1:10" ht="14.4" hidden="1">
      <c r="A14" s="380" t="s">
        <v>1174</v>
      </c>
      <c r="B14" s="380" t="s">
        <v>1172</v>
      </c>
      <c r="C14" s="381" t="s">
        <v>1575</v>
      </c>
      <c r="D14" s="380" t="s">
        <v>1552</v>
      </c>
      <c r="E14" s="382" t="s">
        <v>1553</v>
      </c>
      <c r="F14" s="282" t="s">
        <v>1576</v>
      </c>
      <c r="G14" s="282" t="s">
        <v>1555</v>
      </c>
      <c r="J14" s="282" t="s">
        <v>1550</v>
      </c>
    </row>
    <row r="15" spans="1:10" ht="14.4" hidden="1">
      <c r="A15" s="380" t="s">
        <v>1174</v>
      </c>
      <c r="B15" s="380" t="s">
        <v>1172</v>
      </c>
      <c r="C15" s="381" t="s">
        <v>1577</v>
      </c>
      <c r="D15" s="380" t="s">
        <v>1552</v>
      </c>
      <c r="E15" s="382" t="s">
        <v>1553</v>
      </c>
      <c r="F15" s="282" t="s">
        <v>1578</v>
      </c>
      <c r="G15" s="282" t="s">
        <v>1555</v>
      </c>
      <c r="J15" s="282" t="s">
        <v>1550</v>
      </c>
    </row>
    <row r="16" spans="1:10" ht="14.4" hidden="1">
      <c r="A16" s="380" t="s">
        <v>1174</v>
      </c>
      <c r="B16" s="380" t="s">
        <v>1172</v>
      </c>
      <c r="C16" s="381" t="s">
        <v>1579</v>
      </c>
      <c r="D16" s="380" t="s">
        <v>1552</v>
      </c>
      <c r="E16" s="382" t="s">
        <v>1553</v>
      </c>
      <c r="F16" s="282" t="s">
        <v>1580</v>
      </c>
      <c r="G16" s="282" t="s">
        <v>1555</v>
      </c>
      <c r="J16" s="282" t="s">
        <v>1550</v>
      </c>
    </row>
    <row r="17" spans="1:10" ht="14.4" hidden="1">
      <c r="A17" s="380" t="s">
        <v>1174</v>
      </c>
      <c r="B17" s="380" t="s">
        <v>1172</v>
      </c>
      <c r="C17" s="381" t="s">
        <v>1581</v>
      </c>
      <c r="D17" s="380" t="s">
        <v>1552</v>
      </c>
      <c r="E17" s="382" t="s">
        <v>1553</v>
      </c>
      <c r="F17" s="282" t="s">
        <v>1582</v>
      </c>
      <c r="G17" s="282" t="s">
        <v>1555</v>
      </c>
      <c r="J17" s="282" t="s">
        <v>1550</v>
      </c>
    </row>
    <row r="18" spans="1:10" ht="14.4" hidden="1">
      <c r="A18" s="380" t="s">
        <v>1174</v>
      </c>
      <c r="B18" s="380" t="s">
        <v>1172</v>
      </c>
      <c r="C18" s="381" t="s">
        <v>1583</v>
      </c>
      <c r="D18" s="380" t="s">
        <v>1552</v>
      </c>
      <c r="E18" s="382" t="s">
        <v>1553</v>
      </c>
      <c r="F18" s="282" t="s">
        <v>1584</v>
      </c>
      <c r="G18" s="282" t="s">
        <v>1555</v>
      </c>
      <c r="J18" s="282" t="s">
        <v>1550</v>
      </c>
    </row>
    <row r="19" spans="1:10" ht="14.4" hidden="1">
      <c r="A19" s="380" t="s">
        <v>1174</v>
      </c>
      <c r="B19" s="380" t="s">
        <v>1172</v>
      </c>
      <c r="C19" s="381" t="s">
        <v>1585</v>
      </c>
      <c r="D19" s="380" t="s">
        <v>1552</v>
      </c>
      <c r="E19" s="382" t="s">
        <v>1553</v>
      </c>
      <c r="F19" s="282" t="s">
        <v>1586</v>
      </c>
      <c r="G19" s="282" t="s">
        <v>1555</v>
      </c>
      <c r="J19" s="282" t="s">
        <v>1550</v>
      </c>
    </row>
    <row r="20" spans="1:10" ht="14.4" hidden="1">
      <c r="A20" s="380" t="s">
        <v>1174</v>
      </c>
      <c r="B20" s="380" t="s">
        <v>1172</v>
      </c>
      <c r="C20" s="381" t="s">
        <v>1587</v>
      </c>
      <c r="D20" s="380" t="s">
        <v>1588</v>
      </c>
      <c r="E20" s="382" t="s">
        <v>1589</v>
      </c>
      <c r="F20" s="282" t="s">
        <v>1590</v>
      </c>
      <c r="G20" s="282" t="s">
        <v>1591</v>
      </c>
      <c r="J20" s="282" t="s">
        <v>1550</v>
      </c>
    </row>
    <row r="21" spans="1:10" ht="14.4" hidden="1">
      <c r="A21" s="380" t="s">
        <v>1174</v>
      </c>
      <c r="B21" s="380" t="s">
        <v>1172</v>
      </c>
      <c r="C21" s="381" t="s">
        <v>1592</v>
      </c>
      <c r="D21" s="380" t="s">
        <v>1588</v>
      </c>
      <c r="E21" s="382" t="s">
        <v>1589</v>
      </c>
      <c r="F21" s="282" t="s">
        <v>1593</v>
      </c>
      <c r="G21" s="282" t="s">
        <v>1591</v>
      </c>
      <c r="J21" s="282" t="s">
        <v>1550</v>
      </c>
    </row>
    <row r="22" spans="1:10" ht="14.4" hidden="1">
      <c r="A22" s="380" t="s">
        <v>1174</v>
      </c>
      <c r="B22" s="380" t="s">
        <v>1172</v>
      </c>
      <c r="C22" s="381" t="s">
        <v>1594</v>
      </c>
      <c r="D22" s="380" t="s">
        <v>1588</v>
      </c>
      <c r="E22" s="382" t="s">
        <v>1589</v>
      </c>
      <c r="F22" s="282" t="s">
        <v>1595</v>
      </c>
      <c r="G22" s="282" t="s">
        <v>1591</v>
      </c>
      <c r="J22" s="282" t="s">
        <v>1550</v>
      </c>
    </row>
    <row r="23" spans="1:10" ht="14.4" hidden="1">
      <c r="A23" s="380" t="s">
        <v>1174</v>
      </c>
      <c r="B23" s="380" t="s">
        <v>1172</v>
      </c>
      <c r="C23" s="381" t="s">
        <v>1596</v>
      </c>
      <c r="D23" s="380" t="s">
        <v>1588</v>
      </c>
      <c r="E23" s="382" t="s">
        <v>1589</v>
      </c>
      <c r="F23" s="282" t="s">
        <v>1591</v>
      </c>
      <c r="G23" s="282" t="s">
        <v>1591</v>
      </c>
      <c r="J23" s="282" t="s">
        <v>1550</v>
      </c>
    </row>
    <row r="24" spans="1:10" ht="14.4" hidden="1">
      <c r="A24" s="380" t="s">
        <v>1174</v>
      </c>
      <c r="B24" s="380" t="s">
        <v>1172</v>
      </c>
      <c r="C24" s="381" t="s">
        <v>1597</v>
      </c>
      <c r="D24" s="380" t="s">
        <v>1588</v>
      </c>
      <c r="E24" s="382" t="s">
        <v>1589</v>
      </c>
      <c r="F24" s="282" t="s">
        <v>1598</v>
      </c>
      <c r="G24" s="282" t="s">
        <v>1591</v>
      </c>
      <c r="J24" s="282" t="s">
        <v>1550</v>
      </c>
    </row>
    <row r="25" spans="1:10" ht="14.4" hidden="1">
      <c r="A25" s="380" t="s">
        <v>1174</v>
      </c>
      <c r="B25" s="380" t="s">
        <v>1172</v>
      </c>
      <c r="C25" s="381" t="s">
        <v>1599</v>
      </c>
      <c r="D25" s="380" t="s">
        <v>1588</v>
      </c>
      <c r="E25" s="382" t="s">
        <v>1589</v>
      </c>
      <c r="F25" s="282" t="s">
        <v>1600</v>
      </c>
      <c r="G25" s="282" t="s">
        <v>1591</v>
      </c>
      <c r="J25" s="282" t="s">
        <v>1550</v>
      </c>
    </row>
    <row r="26" spans="1:10" ht="14.4" hidden="1">
      <c r="A26" s="380" t="s">
        <v>1174</v>
      </c>
      <c r="B26" s="380" t="s">
        <v>1172</v>
      </c>
      <c r="C26" s="381" t="s">
        <v>1601</v>
      </c>
      <c r="D26" s="380" t="s">
        <v>1588</v>
      </c>
      <c r="E26" s="382" t="s">
        <v>1589</v>
      </c>
      <c r="F26" s="282" t="s">
        <v>1602</v>
      </c>
      <c r="G26" s="282" t="s">
        <v>1591</v>
      </c>
      <c r="J26" s="282" t="s">
        <v>1550</v>
      </c>
    </row>
    <row r="27" spans="1:10" ht="14.4" hidden="1">
      <c r="A27" s="380" t="s">
        <v>1174</v>
      </c>
      <c r="B27" s="380" t="s">
        <v>1172</v>
      </c>
      <c r="C27" s="381" t="s">
        <v>1603</v>
      </c>
      <c r="D27" s="380" t="s">
        <v>1588</v>
      </c>
      <c r="E27" s="382" t="s">
        <v>1589</v>
      </c>
      <c r="F27" s="282" t="s">
        <v>1604</v>
      </c>
      <c r="G27" s="282" t="s">
        <v>1591</v>
      </c>
      <c r="J27" s="282" t="s">
        <v>1550</v>
      </c>
    </row>
    <row r="28" spans="1:10" ht="14.4" hidden="1">
      <c r="A28" s="380" t="s">
        <v>1174</v>
      </c>
      <c r="B28" s="380" t="s">
        <v>1172</v>
      </c>
      <c r="C28" s="381" t="s">
        <v>1605</v>
      </c>
      <c r="D28" s="380" t="s">
        <v>1588</v>
      </c>
      <c r="E28" s="382" t="s">
        <v>1589</v>
      </c>
      <c r="F28" s="282" t="s">
        <v>1606</v>
      </c>
      <c r="G28" s="282" t="s">
        <v>1591</v>
      </c>
      <c r="J28" s="282" t="s">
        <v>1550</v>
      </c>
    </row>
    <row r="29" spans="1:10" ht="14.4" hidden="1">
      <c r="A29" s="380" t="s">
        <v>1174</v>
      </c>
      <c r="B29" s="380" t="s">
        <v>1172</v>
      </c>
      <c r="C29" s="381" t="s">
        <v>1607</v>
      </c>
      <c r="D29" s="380" t="s">
        <v>1588</v>
      </c>
      <c r="E29" s="382" t="s">
        <v>1589</v>
      </c>
      <c r="F29" s="282" t="s">
        <v>1608</v>
      </c>
      <c r="G29" s="282" t="s">
        <v>1591</v>
      </c>
      <c r="J29" s="282" t="s">
        <v>1550</v>
      </c>
    </row>
    <row r="30" spans="1:10" ht="14.4" hidden="1">
      <c r="A30" s="380" t="s">
        <v>1174</v>
      </c>
      <c r="B30" s="380" t="s">
        <v>1172</v>
      </c>
      <c r="C30" s="381" t="s">
        <v>1609</v>
      </c>
      <c r="D30" s="380" t="s">
        <v>1610</v>
      </c>
      <c r="E30" s="382" t="s">
        <v>1611</v>
      </c>
      <c r="F30" s="282" t="s">
        <v>1612</v>
      </c>
      <c r="G30" s="282" t="s">
        <v>1591</v>
      </c>
      <c r="J30" s="282" t="s">
        <v>1550</v>
      </c>
    </row>
    <row r="31" spans="1:10" ht="14.4" hidden="1">
      <c r="A31" s="380" t="s">
        <v>1174</v>
      </c>
      <c r="B31" s="380" t="s">
        <v>1172</v>
      </c>
      <c r="C31" s="381" t="s">
        <v>1613</v>
      </c>
      <c r="D31" s="380" t="s">
        <v>1614</v>
      </c>
      <c r="E31" s="382" t="s">
        <v>1615</v>
      </c>
      <c r="F31" s="282" t="s">
        <v>1616</v>
      </c>
      <c r="G31" s="282" t="s">
        <v>1591</v>
      </c>
      <c r="J31" s="282" t="s">
        <v>1550</v>
      </c>
    </row>
    <row r="32" spans="1:10" ht="14.4" hidden="1">
      <c r="A32" s="380" t="s">
        <v>1174</v>
      </c>
      <c r="B32" s="380" t="s">
        <v>1172</v>
      </c>
      <c r="C32" s="381" t="s">
        <v>1617</v>
      </c>
      <c r="D32" s="380" t="s">
        <v>1618</v>
      </c>
      <c r="E32" s="382" t="s">
        <v>1619</v>
      </c>
      <c r="F32" s="282" t="s">
        <v>1620</v>
      </c>
      <c r="G32" s="282" t="s">
        <v>1591</v>
      </c>
      <c r="J32" s="282" t="s">
        <v>1550</v>
      </c>
    </row>
    <row r="33" spans="1:10" ht="14.4" hidden="1">
      <c r="A33" s="380" t="s">
        <v>1174</v>
      </c>
      <c r="B33" s="380" t="s">
        <v>1172</v>
      </c>
      <c r="C33" s="381" t="s">
        <v>1621</v>
      </c>
      <c r="D33" s="380" t="s">
        <v>1622</v>
      </c>
      <c r="E33" s="382" t="s">
        <v>1623</v>
      </c>
      <c r="F33" s="282" t="s">
        <v>1624</v>
      </c>
      <c r="G33" s="282" t="s">
        <v>1591</v>
      </c>
      <c r="J33" s="282" t="s">
        <v>1550</v>
      </c>
    </row>
    <row r="34" spans="1:10" ht="14.4" hidden="1">
      <c r="A34" s="380" t="s">
        <v>1174</v>
      </c>
      <c r="B34" s="380" t="s">
        <v>1172</v>
      </c>
      <c r="C34" s="381" t="s">
        <v>1625</v>
      </c>
      <c r="D34" s="380" t="s">
        <v>1626</v>
      </c>
      <c r="E34" s="382" t="s">
        <v>1627</v>
      </c>
      <c r="F34" s="282" t="s">
        <v>1628</v>
      </c>
      <c r="G34" s="282" t="s">
        <v>1629</v>
      </c>
      <c r="J34" s="282" t="s">
        <v>1550</v>
      </c>
    </row>
    <row r="35" spans="1:10" ht="14.4" hidden="1">
      <c r="A35" s="380" t="s">
        <v>1174</v>
      </c>
      <c r="B35" s="380" t="s">
        <v>1172</v>
      </c>
      <c r="C35" s="381" t="s">
        <v>1630</v>
      </c>
      <c r="D35" s="380" t="s">
        <v>1631</v>
      </c>
      <c r="E35" s="382" t="s">
        <v>1632</v>
      </c>
      <c r="F35" s="282" t="s">
        <v>1633</v>
      </c>
      <c r="G35" s="282" t="s">
        <v>1629</v>
      </c>
      <c r="J35" s="282" t="s">
        <v>1550</v>
      </c>
    </row>
    <row r="36" spans="1:10" ht="14.4" hidden="1">
      <c r="A36" s="380" t="s">
        <v>1174</v>
      </c>
      <c r="B36" s="380" t="s">
        <v>1172</v>
      </c>
      <c r="C36" s="381" t="s">
        <v>1634</v>
      </c>
      <c r="D36" s="380" t="s">
        <v>1635</v>
      </c>
      <c r="E36" s="382" t="s">
        <v>1636</v>
      </c>
      <c r="F36" s="282" t="s">
        <v>1637</v>
      </c>
      <c r="G36" s="282" t="s">
        <v>1629</v>
      </c>
      <c r="J36" s="282" t="s">
        <v>1550</v>
      </c>
    </row>
    <row r="37" spans="1:10" ht="14.4" hidden="1">
      <c r="A37" s="380" t="s">
        <v>1174</v>
      </c>
      <c r="B37" s="380" t="s">
        <v>1172</v>
      </c>
      <c r="C37" s="381" t="s">
        <v>1638</v>
      </c>
      <c r="D37" s="380" t="s">
        <v>1639</v>
      </c>
      <c r="E37" s="382" t="s">
        <v>1640</v>
      </c>
      <c r="F37" s="282" t="s">
        <v>1641</v>
      </c>
      <c r="G37" s="282" t="s">
        <v>1629</v>
      </c>
      <c r="J37" s="282" t="s">
        <v>1550</v>
      </c>
    </row>
    <row r="38" spans="1:10" ht="14.4" hidden="1">
      <c r="A38" s="380" t="s">
        <v>1174</v>
      </c>
      <c r="B38" s="380" t="s">
        <v>1172</v>
      </c>
      <c r="C38" s="381" t="s">
        <v>1642</v>
      </c>
      <c r="D38" s="380" t="s">
        <v>1643</v>
      </c>
      <c r="E38" s="382" t="s">
        <v>1644</v>
      </c>
      <c r="F38" s="282" t="s">
        <v>1645</v>
      </c>
      <c r="G38" s="282" t="s">
        <v>1629</v>
      </c>
      <c r="J38" s="282" t="s">
        <v>1550</v>
      </c>
    </row>
    <row r="39" spans="1:10" ht="14.4" hidden="1">
      <c r="A39" s="380" t="s">
        <v>1174</v>
      </c>
      <c r="B39" s="380" t="s">
        <v>1172</v>
      </c>
      <c r="C39" s="381" t="s">
        <v>1646</v>
      </c>
      <c r="D39" s="380" t="s">
        <v>1647</v>
      </c>
      <c r="E39" s="382" t="s">
        <v>1648</v>
      </c>
      <c r="F39" s="282" t="s">
        <v>1649</v>
      </c>
      <c r="G39" s="282" t="s">
        <v>1629</v>
      </c>
      <c r="J39" s="282" t="s">
        <v>1550</v>
      </c>
    </row>
    <row r="40" spans="1:10" ht="14.4" hidden="1">
      <c r="A40" s="380" t="s">
        <v>1174</v>
      </c>
      <c r="B40" s="380" t="s">
        <v>1172</v>
      </c>
      <c r="C40" s="381" t="s">
        <v>1650</v>
      </c>
      <c r="D40" s="380" t="s">
        <v>1651</v>
      </c>
      <c r="E40" s="382" t="s">
        <v>1652</v>
      </c>
      <c r="F40" s="282" t="s">
        <v>1653</v>
      </c>
      <c r="G40" s="282" t="s">
        <v>1629</v>
      </c>
      <c r="J40" s="282" t="s">
        <v>1550</v>
      </c>
    </row>
    <row r="41" spans="1:10" ht="14.4" hidden="1">
      <c r="A41" s="380" t="s">
        <v>1174</v>
      </c>
      <c r="B41" s="380" t="s">
        <v>1172</v>
      </c>
      <c r="C41" s="381" t="s">
        <v>1654</v>
      </c>
      <c r="D41" s="380" t="s">
        <v>1655</v>
      </c>
      <c r="E41" s="382" t="s">
        <v>1656</v>
      </c>
      <c r="F41" s="282" t="s">
        <v>1657</v>
      </c>
      <c r="G41" s="282" t="s">
        <v>1629</v>
      </c>
      <c r="J41" s="282" t="s">
        <v>1550</v>
      </c>
    </row>
    <row r="42" spans="1:10" ht="14.4" hidden="1">
      <c r="A42" s="380" t="s">
        <v>1174</v>
      </c>
      <c r="B42" s="380" t="s">
        <v>1172</v>
      </c>
      <c r="C42" s="381" t="s">
        <v>1658</v>
      </c>
      <c r="D42" s="380" t="s">
        <v>1659</v>
      </c>
      <c r="E42" s="382" t="s">
        <v>1660</v>
      </c>
      <c r="F42" s="282" t="s">
        <v>1661</v>
      </c>
      <c r="G42" s="282" t="s">
        <v>1629</v>
      </c>
      <c r="J42" s="282" t="s">
        <v>1550</v>
      </c>
    </row>
    <row r="43" spans="1:10" ht="14.4" hidden="1">
      <c r="A43" s="380" t="s">
        <v>1174</v>
      </c>
      <c r="B43" s="380" t="s">
        <v>1172</v>
      </c>
      <c r="C43" s="381" t="s">
        <v>1662</v>
      </c>
      <c r="D43" s="380" t="s">
        <v>1663</v>
      </c>
      <c r="E43" s="382" t="s">
        <v>1664</v>
      </c>
      <c r="F43" s="282" t="s">
        <v>1665</v>
      </c>
      <c r="G43" s="282" t="s">
        <v>1629</v>
      </c>
      <c r="J43" s="282" t="s">
        <v>1550</v>
      </c>
    </row>
    <row r="44" spans="1:10" ht="14.4" hidden="1">
      <c r="A44" s="380" t="s">
        <v>1174</v>
      </c>
      <c r="B44" s="380" t="s">
        <v>1172</v>
      </c>
      <c r="C44" s="381" t="s">
        <v>1666</v>
      </c>
      <c r="D44" s="380" t="s">
        <v>1667</v>
      </c>
      <c r="E44" s="382" t="s">
        <v>1668</v>
      </c>
      <c r="F44" s="282" t="s">
        <v>1669</v>
      </c>
      <c r="G44" s="282" t="s">
        <v>1629</v>
      </c>
      <c r="H44" s="282" t="s">
        <v>1548</v>
      </c>
      <c r="J44" s="282" t="s">
        <v>1550</v>
      </c>
    </row>
    <row r="45" spans="1:10" ht="14.4" hidden="1">
      <c r="A45" s="380" t="s">
        <v>1174</v>
      </c>
      <c r="B45" s="380" t="s">
        <v>1172</v>
      </c>
      <c r="C45" s="381" t="s">
        <v>1670</v>
      </c>
      <c r="D45" s="380" t="s">
        <v>1671</v>
      </c>
      <c r="E45" s="382" t="s">
        <v>1672</v>
      </c>
      <c r="F45" s="282" t="s">
        <v>1673</v>
      </c>
      <c r="G45" s="282" t="s">
        <v>1674</v>
      </c>
      <c r="J45" s="282" t="s">
        <v>1550</v>
      </c>
    </row>
    <row r="46" spans="1:10" ht="14.4" hidden="1">
      <c r="A46" s="380" t="s">
        <v>1174</v>
      </c>
      <c r="B46" s="380" t="s">
        <v>1172</v>
      </c>
      <c r="C46" s="381" t="s">
        <v>1675</v>
      </c>
      <c r="D46" s="380" t="s">
        <v>1676</v>
      </c>
      <c r="E46" s="382" t="s">
        <v>1677</v>
      </c>
      <c r="F46" s="282" t="s">
        <v>1678</v>
      </c>
      <c r="G46" s="282" t="s">
        <v>1674</v>
      </c>
      <c r="J46" s="282" t="s">
        <v>1550</v>
      </c>
    </row>
    <row r="47" spans="1:10" ht="14.4" hidden="1">
      <c r="A47" s="380" t="s">
        <v>1174</v>
      </c>
      <c r="B47" s="380" t="s">
        <v>1172</v>
      </c>
      <c r="C47" s="381" t="s">
        <v>1679</v>
      </c>
      <c r="D47" s="380" t="s">
        <v>1680</v>
      </c>
      <c r="E47" s="382" t="s">
        <v>1681</v>
      </c>
      <c r="F47" s="282" t="s">
        <v>1682</v>
      </c>
      <c r="G47" s="282" t="s">
        <v>1674</v>
      </c>
      <c r="J47" s="282" t="s">
        <v>1550</v>
      </c>
    </row>
    <row r="48" spans="1:10" ht="14.4" hidden="1">
      <c r="A48" s="380" t="s">
        <v>1174</v>
      </c>
      <c r="B48" s="380" t="s">
        <v>1172</v>
      </c>
      <c r="C48" s="381" t="s">
        <v>1683</v>
      </c>
      <c r="D48" s="380" t="s">
        <v>1684</v>
      </c>
      <c r="E48" s="382" t="s">
        <v>1685</v>
      </c>
      <c r="F48" s="282" t="s">
        <v>1686</v>
      </c>
      <c r="G48" s="282" t="s">
        <v>1674</v>
      </c>
      <c r="J48" s="282" t="s">
        <v>1550</v>
      </c>
    </row>
    <row r="49" spans="1:10" ht="14.4" hidden="1">
      <c r="A49" s="380" t="s">
        <v>1174</v>
      </c>
      <c r="B49" s="380" t="s">
        <v>1172</v>
      </c>
      <c r="C49" s="381" t="s">
        <v>1687</v>
      </c>
      <c r="D49" s="380" t="s">
        <v>1688</v>
      </c>
      <c r="E49" s="382" t="s">
        <v>1689</v>
      </c>
      <c r="F49" s="282" t="s">
        <v>1690</v>
      </c>
      <c r="G49" s="282" t="s">
        <v>1674</v>
      </c>
      <c r="J49" s="282" t="s">
        <v>1550</v>
      </c>
    </row>
    <row r="50" spans="1:10" ht="14.4" hidden="1">
      <c r="A50" s="380" t="s">
        <v>1174</v>
      </c>
      <c r="B50" s="380" t="s">
        <v>1172</v>
      </c>
      <c r="C50" s="381" t="s">
        <v>1691</v>
      </c>
      <c r="D50" s="380" t="s">
        <v>1692</v>
      </c>
      <c r="E50" s="382" t="s">
        <v>1693</v>
      </c>
      <c r="F50" s="282" t="s">
        <v>1694</v>
      </c>
      <c r="G50" s="282" t="s">
        <v>1674</v>
      </c>
      <c r="J50" s="282" t="s">
        <v>1550</v>
      </c>
    </row>
    <row r="51" spans="1:10" ht="14.4" hidden="1">
      <c r="A51" s="380" t="s">
        <v>1174</v>
      </c>
      <c r="B51" s="380" t="s">
        <v>1172</v>
      </c>
      <c r="C51" s="381" t="s">
        <v>1695</v>
      </c>
      <c r="D51" s="380" t="s">
        <v>1696</v>
      </c>
      <c r="E51" s="382" t="s">
        <v>1697</v>
      </c>
      <c r="F51" s="282" t="s">
        <v>1698</v>
      </c>
      <c r="G51" s="282" t="s">
        <v>1674</v>
      </c>
      <c r="J51" s="282" t="s">
        <v>1550</v>
      </c>
    </row>
    <row r="52" spans="1:10" ht="14.4" hidden="1">
      <c r="A52" s="380" t="s">
        <v>1174</v>
      </c>
      <c r="B52" s="380" t="s">
        <v>1172</v>
      </c>
      <c r="C52" s="381" t="s">
        <v>1699</v>
      </c>
      <c r="D52" s="380" t="s">
        <v>1700</v>
      </c>
      <c r="E52" s="382" t="s">
        <v>1701</v>
      </c>
      <c r="F52" s="282" t="s">
        <v>1702</v>
      </c>
      <c r="G52" s="282" t="s">
        <v>1674</v>
      </c>
      <c r="J52" s="282" t="s">
        <v>1550</v>
      </c>
    </row>
    <row r="53" spans="1:10" ht="14.4" hidden="1">
      <c r="A53" s="380" t="s">
        <v>1174</v>
      </c>
      <c r="B53" s="380" t="s">
        <v>1172</v>
      </c>
      <c r="C53" s="381" t="s">
        <v>1703</v>
      </c>
      <c r="D53" s="380" t="s">
        <v>1704</v>
      </c>
      <c r="E53" s="382" t="s">
        <v>1705</v>
      </c>
      <c r="F53" s="282" t="s">
        <v>1706</v>
      </c>
      <c r="G53" s="282" t="s">
        <v>1674</v>
      </c>
      <c r="J53" s="282" t="s">
        <v>1550</v>
      </c>
    </row>
    <row r="54" spans="1:10" ht="14.4" hidden="1">
      <c r="A54" s="380" t="s">
        <v>1174</v>
      </c>
      <c r="B54" s="380" t="s">
        <v>1172</v>
      </c>
      <c r="C54" s="381" t="s">
        <v>1707</v>
      </c>
      <c r="D54" s="380" t="s">
        <v>1708</v>
      </c>
      <c r="E54" s="382" t="s">
        <v>1709</v>
      </c>
      <c r="F54" s="282" t="s">
        <v>1710</v>
      </c>
      <c r="G54" s="282" t="s">
        <v>1674</v>
      </c>
      <c r="J54" s="282" t="s">
        <v>1550</v>
      </c>
    </row>
    <row r="55" spans="1:10" ht="14.4" hidden="1">
      <c r="A55" s="380" t="s">
        <v>1174</v>
      </c>
      <c r="B55" s="380" t="s">
        <v>1172</v>
      </c>
      <c r="C55" s="381" t="s">
        <v>1711</v>
      </c>
      <c r="D55" s="380" t="s">
        <v>1712</v>
      </c>
      <c r="E55" s="382" t="s">
        <v>1713</v>
      </c>
      <c r="F55" s="282" t="s">
        <v>1714</v>
      </c>
      <c r="G55" s="282" t="s">
        <v>1674</v>
      </c>
      <c r="J55" s="282" t="s">
        <v>1550</v>
      </c>
    </row>
    <row r="56" spans="1:10" ht="14.4" hidden="1">
      <c r="A56" s="380" t="s">
        <v>1174</v>
      </c>
      <c r="B56" s="380" t="s">
        <v>1172</v>
      </c>
      <c r="C56" s="381" t="s">
        <v>1715</v>
      </c>
      <c r="D56" s="380" t="s">
        <v>1716</v>
      </c>
      <c r="E56" s="382" t="s">
        <v>1717</v>
      </c>
      <c r="F56" s="282" t="s">
        <v>1718</v>
      </c>
      <c r="G56" s="282" t="s">
        <v>1674</v>
      </c>
      <c r="J56" s="282" t="s">
        <v>1550</v>
      </c>
    </row>
    <row r="57" spans="1:10" ht="14.4" hidden="1">
      <c r="A57" s="380" t="s">
        <v>1174</v>
      </c>
      <c r="B57" s="380" t="s">
        <v>1172</v>
      </c>
      <c r="C57" s="381" t="s">
        <v>1719</v>
      </c>
      <c r="D57" s="380" t="s">
        <v>1720</v>
      </c>
      <c r="E57" s="382" t="s">
        <v>1721</v>
      </c>
      <c r="F57" s="282" t="s">
        <v>1722</v>
      </c>
      <c r="G57" s="282" t="s">
        <v>1674</v>
      </c>
      <c r="J57" s="282" t="s">
        <v>1550</v>
      </c>
    </row>
    <row r="58" spans="1:10" ht="14.4" hidden="1">
      <c r="A58" s="380" t="s">
        <v>1174</v>
      </c>
      <c r="B58" s="380" t="s">
        <v>1172</v>
      </c>
      <c r="C58" s="381" t="s">
        <v>1723</v>
      </c>
      <c r="D58" s="380" t="s">
        <v>1724</v>
      </c>
      <c r="E58" s="382" t="s">
        <v>1725</v>
      </c>
      <c r="F58" s="282" t="s">
        <v>1726</v>
      </c>
      <c r="G58" s="282" t="s">
        <v>1674</v>
      </c>
      <c r="J58" s="282" t="s">
        <v>1550</v>
      </c>
    </row>
    <row r="59" spans="1:10" ht="14.4" hidden="1">
      <c r="A59" s="380" t="s">
        <v>1174</v>
      </c>
      <c r="B59" s="380" t="s">
        <v>1172</v>
      </c>
      <c r="C59" s="381" t="s">
        <v>1727</v>
      </c>
      <c r="D59" s="380" t="s">
        <v>1728</v>
      </c>
      <c r="E59" s="382" t="s">
        <v>1729</v>
      </c>
      <c r="F59" s="282" t="s">
        <v>1730</v>
      </c>
      <c r="G59" s="282" t="s">
        <v>1674</v>
      </c>
      <c r="J59" s="282" t="s">
        <v>1550</v>
      </c>
    </row>
    <row r="60" spans="1:10" ht="14.4" hidden="1">
      <c r="A60" s="380" t="s">
        <v>1174</v>
      </c>
      <c r="B60" s="380" t="s">
        <v>1172</v>
      </c>
      <c r="C60" s="381" t="s">
        <v>1731</v>
      </c>
      <c r="D60" s="380" t="s">
        <v>1728</v>
      </c>
      <c r="E60" s="382" t="s">
        <v>1729</v>
      </c>
      <c r="F60" s="282" t="s">
        <v>1732</v>
      </c>
      <c r="G60" s="282" t="s">
        <v>1674</v>
      </c>
      <c r="J60" s="282" t="s">
        <v>1550</v>
      </c>
    </row>
    <row r="61" spans="1:10" ht="14.4" hidden="1">
      <c r="A61" s="380" t="s">
        <v>1174</v>
      </c>
      <c r="B61" s="380" t="s">
        <v>1172</v>
      </c>
      <c r="C61" s="381" t="s">
        <v>1733</v>
      </c>
      <c r="D61" s="380" t="s">
        <v>1734</v>
      </c>
      <c r="E61" s="382" t="s">
        <v>1735</v>
      </c>
      <c r="F61" s="282" t="s">
        <v>1736</v>
      </c>
      <c r="G61" s="282" t="s">
        <v>1674</v>
      </c>
      <c r="J61" s="282" t="s">
        <v>1550</v>
      </c>
    </row>
    <row r="62" spans="1:10" ht="14.4" hidden="1">
      <c r="A62" s="380" t="s">
        <v>1174</v>
      </c>
      <c r="B62" s="380" t="s">
        <v>1172</v>
      </c>
      <c r="C62" s="381" t="s">
        <v>1737</v>
      </c>
      <c r="D62" s="380" t="s">
        <v>1738</v>
      </c>
      <c r="E62" s="382" t="s">
        <v>1739</v>
      </c>
      <c r="F62" s="282" t="s">
        <v>1740</v>
      </c>
      <c r="G62" s="282" t="s">
        <v>1674</v>
      </c>
      <c r="J62" s="282" t="s">
        <v>1550</v>
      </c>
    </row>
    <row r="63" spans="1:10" ht="14.4" hidden="1">
      <c r="A63" s="380" t="s">
        <v>1174</v>
      </c>
      <c r="B63" s="380" t="s">
        <v>1172</v>
      </c>
      <c r="C63" s="381" t="s">
        <v>1741</v>
      </c>
      <c r="D63" s="380" t="s">
        <v>1742</v>
      </c>
      <c r="E63" s="382" t="s">
        <v>1743</v>
      </c>
      <c r="F63" s="282" t="s">
        <v>1744</v>
      </c>
      <c r="G63" s="282" t="s">
        <v>1674</v>
      </c>
      <c r="J63" s="282" t="s">
        <v>1550</v>
      </c>
    </row>
    <row r="64" spans="1:10" ht="14.4" hidden="1">
      <c r="A64" s="380" t="s">
        <v>1174</v>
      </c>
      <c r="B64" s="380" t="s">
        <v>1172</v>
      </c>
      <c r="C64" s="381" t="s">
        <v>1745</v>
      </c>
      <c r="D64" s="380" t="s">
        <v>1746</v>
      </c>
      <c r="E64" s="382" t="s">
        <v>1747</v>
      </c>
      <c r="F64" s="282" t="s">
        <v>1748</v>
      </c>
      <c r="G64" s="282" t="s">
        <v>1674</v>
      </c>
      <c r="J64" s="282" t="s">
        <v>1550</v>
      </c>
    </row>
    <row r="65" spans="1:10" ht="14.4" hidden="1">
      <c r="A65" s="380" t="s">
        <v>1174</v>
      </c>
      <c r="B65" s="380" t="s">
        <v>1172</v>
      </c>
      <c r="C65" s="381" t="s">
        <v>1749</v>
      </c>
      <c r="D65" s="380" t="s">
        <v>1750</v>
      </c>
      <c r="E65" s="382" t="s">
        <v>1751</v>
      </c>
      <c r="F65" s="282" t="s">
        <v>1752</v>
      </c>
      <c r="G65" s="282" t="s">
        <v>1752</v>
      </c>
      <c r="J65" s="282" t="s">
        <v>1550</v>
      </c>
    </row>
    <row r="66" spans="1:10" ht="14.4" hidden="1">
      <c r="A66" s="380" t="s">
        <v>1174</v>
      </c>
      <c r="B66" s="380" t="s">
        <v>1172</v>
      </c>
      <c r="C66" s="381" t="s">
        <v>1753</v>
      </c>
      <c r="D66" s="380" t="s">
        <v>1754</v>
      </c>
      <c r="E66" s="382" t="s">
        <v>1755</v>
      </c>
      <c r="F66" s="282" t="s">
        <v>1756</v>
      </c>
      <c r="G66" s="282" t="s">
        <v>1757</v>
      </c>
      <c r="J66" s="282" t="s">
        <v>1550</v>
      </c>
    </row>
    <row r="67" spans="1:10" ht="14.4" hidden="1">
      <c r="A67" s="380" t="s">
        <v>1174</v>
      </c>
      <c r="B67" s="380" t="s">
        <v>1172</v>
      </c>
      <c r="C67" s="381" t="s">
        <v>1758</v>
      </c>
      <c r="D67" s="380" t="s">
        <v>1759</v>
      </c>
      <c r="E67" s="382" t="s">
        <v>1760</v>
      </c>
      <c r="F67" s="282" t="s">
        <v>1761</v>
      </c>
      <c r="G67" s="282" t="s">
        <v>1757</v>
      </c>
      <c r="J67" s="282" t="s">
        <v>1550</v>
      </c>
    </row>
    <row r="68" spans="1:10" ht="14.4" hidden="1">
      <c r="A68" s="380" t="s">
        <v>1174</v>
      </c>
      <c r="B68" s="380" t="s">
        <v>1172</v>
      </c>
      <c r="C68" s="381" t="s">
        <v>1762</v>
      </c>
      <c r="D68" s="380" t="s">
        <v>1763</v>
      </c>
      <c r="E68" s="382" t="s">
        <v>1764</v>
      </c>
      <c r="F68" s="282" t="s">
        <v>1765</v>
      </c>
      <c r="G68" s="282" t="s">
        <v>1757</v>
      </c>
      <c r="J68" s="282" t="s">
        <v>1550</v>
      </c>
    </row>
    <row r="69" spans="1:10" ht="14.4" hidden="1">
      <c r="A69" s="380" t="s">
        <v>1174</v>
      </c>
      <c r="B69" s="380" t="s">
        <v>1172</v>
      </c>
      <c r="C69" s="381" t="s">
        <v>1766</v>
      </c>
      <c r="D69" s="380" t="s">
        <v>1767</v>
      </c>
      <c r="E69" s="382" t="s">
        <v>1768</v>
      </c>
      <c r="F69" s="282" t="s">
        <v>1769</v>
      </c>
      <c r="G69" s="282" t="s">
        <v>1757</v>
      </c>
      <c r="J69" s="282" t="s">
        <v>1550</v>
      </c>
    </row>
    <row r="70" spans="1:10" ht="14.4" hidden="1">
      <c r="A70" s="380" t="s">
        <v>1174</v>
      </c>
      <c r="B70" s="380" t="s">
        <v>1172</v>
      </c>
      <c r="C70" s="381" t="s">
        <v>1770</v>
      </c>
      <c r="D70" s="380" t="s">
        <v>1767</v>
      </c>
      <c r="E70" s="382" t="s">
        <v>1768</v>
      </c>
      <c r="F70" s="282" t="s">
        <v>1771</v>
      </c>
      <c r="G70" s="282" t="s">
        <v>1757</v>
      </c>
      <c r="J70" s="282" t="s">
        <v>1550</v>
      </c>
    </row>
    <row r="71" spans="1:10" ht="14.4" hidden="1">
      <c r="A71" s="380" t="s">
        <v>1174</v>
      </c>
      <c r="B71" s="380" t="s">
        <v>1172</v>
      </c>
      <c r="C71" s="381" t="s">
        <v>1772</v>
      </c>
      <c r="D71" s="380" t="s">
        <v>1767</v>
      </c>
      <c r="E71" s="382" t="s">
        <v>1768</v>
      </c>
      <c r="F71" s="282" t="s">
        <v>1773</v>
      </c>
      <c r="G71" s="282" t="s">
        <v>1757</v>
      </c>
      <c r="J71" s="282" t="s">
        <v>1550</v>
      </c>
    </row>
    <row r="72" spans="1:10" ht="14.4" hidden="1">
      <c r="A72" s="380" t="s">
        <v>1174</v>
      </c>
      <c r="B72" s="380" t="s">
        <v>1172</v>
      </c>
      <c r="C72" s="381" t="s">
        <v>1774</v>
      </c>
      <c r="D72" s="380" t="s">
        <v>1767</v>
      </c>
      <c r="E72" s="382" t="s">
        <v>1768</v>
      </c>
      <c r="F72" s="282" t="s">
        <v>1775</v>
      </c>
      <c r="G72" s="282" t="s">
        <v>1757</v>
      </c>
      <c r="J72" s="282" t="s">
        <v>1550</v>
      </c>
    </row>
    <row r="73" spans="1:10" ht="14.4" hidden="1">
      <c r="A73" s="380" t="s">
        <v>1174</v>
      </c>
      <c r="B73" s="380" t="s">
        <v>1172</v>
      </c>
      <c r="C73" s="381" t="s">
        <v>1776</v>
      </c>
      <c r="D73" s="380" t="s">
        <v>1767</v>
      </c>
      <c r="E73" s="382" t="s">
        <v>1768</v>
      </c>
      <c r="F73" s="282" t="s">
        <v>1777</v>
      </c>
      <c r="G73" s="282" t="s">
        <v>1757</v>
      </c>
      <c r="J73" s="282" t="s">
        <v>1550</v>
      </c>
    </row>
    <row r="74" spans="1:10" ht="14.4" hidden="1">
      <c r="A74" s="380" t="s">
        <v>1174</v>
      </c>
      <c r="B74" s="380" t="s">
        <v>1172</v>
      </c>
      <c r="C74" s="381" t="s">
        <v>1778</v>
      </c>
      <c r="D74" s="380" t="s">
        <v>1767</v>
      </c>
      <c r="E74" s="382" t="s">
        <v>1768</v>
      </c>
      <c r="F74" s="282" t="s">
        <v>1779</v>
      </c>
      <c r="G74" s="282" t="s">
        <v>1757</v>
      </c>
      <c r="J74" s="282" t="s">
        <v>1550</v>
      </c>
    </row>
    <row r="75" spans="1:10" ht="14.4" hidden="1">
      <c r="A75" s="380" t="s">
        <v>1174</v>
      </c>
      <c r="B75" s="380" t="s">
        <v>1172</v>
      </c>
      <c r="C75" s="381" t="s">
        <v>1780</v>
      </c>
      <c r="D75" s="380" t="s">
        <v>1767</v>
      </c>
      <c r="E75" s="382" t="s">
        <v>1768</v>
      </c>
      <c r="F75" s="282" t="s">
        <v>1781</v>
      </c>
      <c r="G75" s="282" t="s">
        <v>1757</v>
      </c>
      <c r="H75" s="282" t="s">
        <v>1548</v>
      </c>
      <c r="J75" s="282" t="s">
        <v>1550</v>
      </c>
    </row>
    <row r="76" spans="1:10" ht="14.4" hidden="1">
      <c r="A76" s="380" t="s">
        <v>1174</v>
      </c>
      <c r="B76" s="380" t="s">
        <v>1172</v>
      </c>
      <c r="C76" s="381" t="s">
        <v>1782</v>
      </c>
      <c r="D76" s="380" t="s">
        <v>1767</v>
      </c>
      <c r="E76" s="382" t="s">
        <v>1768</v>
      </c>
      <c r="F76" s="282" t="s">
        <v>1783</v>
      </c>
      <c r="G76" s="282" t="s">
        <v>1757</v>
      </c>
      <c r="J76" s="282" t="s">
        <v>1550</v>
      </c>
    </row>
    <row r="77" spans="1:10" ht="14.4" hidden="1">
      <c r="A77" s="380" t="s">
        <v>1174</v>
      </c>
      <c r="B77" s="380" t="s">
        <v>1172</v>
      </c>
      <c r="C77" s="381" t="s">
        <v>1784</v>
      </c>
      <c r="D77" s="380" t="s">
        <v>1767</v>
      </c>
      <c r="E77" s="382" t="s">
        <v>1768</v>
      </c>
      <c r="F77" s="282" t="s">
        <v>1785</v>
      </c>
      <c r="G77" s="282" t="s">
        <v>1757</v>
      </c>
      <c r="J77" s="282" t="s">
        <v>1550</v>
      </c>
    </row>
    <row r="78" spans="1:10" ht="14.4" hidden="1">
      <c r="A78" s="380" t="s">
        <v>1174</v>
      </c>
      <c r="B78" s="380" t="s">
        <v>1172</v>
      </c>
      <c r="C78" s="381" t="s">
        <v>1786</v>
      </c>
      <c r="D78" s="380" t="s">
        <v>1767</v>
      </c>
      <c r="E78" s="382" t="s">
        <v>1768</v>
      </c>
      <c r="F78" s="282" t="s">
        <v>1787</v>
      </c>
      <c r="G78" s="282" t="s">
        <v>1757</v>
      </c>
      <c r="J78" s="282" t="s">
        <v>1550</v>
      </c>
    </row>
    <row r="79" spans="1:10" ht="14.4" hidden="1">
      <c r="A79" s="380" t="s">
        <v>1174</v>
      </c>
      <c r="B79" s="380" t="s">
        <v>1172</v>
      </c>
      <c r="C79" s="381" t="s">
        <v>1788</v>
      </c>
      <c r="D79" s="380" t="s">
        <v>1767</v>
      </c>
      <c r="E79" s="382" t="s">
        <v>1768</v>
      </c>
      <c r="F79" s="282" t="s">
        <v>1789</v>
      </c>
      <c r="G79" s="282" t="s">
        <v>1757</v>
      </c>
      <c r="J79" s="282" t="s">
        <v>1550</v>
      </c>
    </row>
    <row r="80" spans="1:10" ht="14.4" hidden="1">
      <c r="A80" s="380" t="s">
        <v>1174</v>
      </c>
      <c r="B80" s="380" t="s">
        <v>1172</v>
      </c>
      <c r="C80" s="381" t="s">
        <v>1790</v>
      </c>
      <c r="D80" s="380" t="s">
        <v>1767</v>
      </c>
      <c r="E80" s="382" t="s">
        <v>1768</v>
      </c>
      <c r="F80" s="282" t="s">
        <v>1791</v>
      </c>
      <c r="G80" s="282" t="s">
        <v>1757</v>
      </c>
      <c r="J80" s="282" t="s">
        <v>1550</v>
      </c>
    </row>
    <row r="81" spans="1:10" ht="14.4" hidden="1">
      <c r="A81" s="380" t="s">
        <v>1174</v>
      </c>
      <c r="B81" s="380" t="s">
        <v>1172</v>
      </c>
      <c r="C81" s="381" t="s">
        <v>1792</v>
      </c>
      <c r="D81" s="380" t="s">
        <v>1793</v>
      </c>
      <c r="E81" s="382" t="s">
        <v>1794</v>
      </c>
      <c r="F81" s="282" t="s">
        <v>1795</v>
      </c>
      <c r="G81" s="282" t="s">
        <v>1757</v>
      </c>
      <c r="J81" s="282" t="s">
        <v>1550</v>
      </c>
    </row>
    <row r="82" spans="1:10" ht="14.4" hidden="1">
      <c r="A82" s="380" t="s">
        <v>1174</v>
      </c>
      <c r="B82" s="380" t="s">
        <v>1172</v>
      </c>
      <c r="C82" s="381" t="s">
        <v>1796</v>
      </c>
      <c r="D82" s="380" t="s">
        <v>1797</v>
      </c>
      <c r="E82" s="382" t="s">
        <v>1798</v>
      </c>
      <c r="F82" s="282" t="s">
        <v>1799</v>
      </c>
      <c r="G82" s="282" t="s">
        <v>1757</v>
      </c>
      <c r="J82" s="282" t="s">
        <v>1550</v>
      </c>
    </row>
    <row r="83" spans="1:10" ht="14.4" hidden="1">
      <c r="A83" s="380" t="s">
        <v>1174</v>
      </c>
      <c r="B83" s="380" t="s">
        <v>1172</v>
      </c>
      <c r="C83" s="381" t="s">
        <v>1800</v>
      </c>
      <c r="D83" s="380" t="s">
        <v>1801</v>
      </c>
      <c r="E83" s="382" t="s">
        <v>1802</v>
      </c>
      <c r="F83" s="282" t="s">
        <v>1803</v>
      </c>
      <c r="G83" s="282" t="s">
        <v>1757</v>
      </c>
      <c r="J83" s="282" t="s">
        <v>1550</v>
      </c>
    </row>
    <row r="84" spans="1:10" ht="14.4" hidden="1">
      <c r="A84" s="380" t="s">
        <v>1174</v>
      </c>
      <c r="B84" s="380" t="s">
        <v>1172</v>
      </c>
      <c r="C84" s="381" t="s">
        <v>1804</v>
      </c>
      <c r="D84" s="380" t="s">
        <v>1805</v>
      </c>
      <c r="E84" s="382" t="s">
        <v>1806</v>
      </c>
      <c r="F84" s="282" t="s">
        <v>1807</v>
      </c>
      <c r="G84" s="282" t="s">
        <v>1757</v>
      </c>
      <c r="J84" s="282" t="s">
        <v>1550</v>
      </c>
    </row>
    <row r="85" spans="1:10" ht="14.4" hidden="1">
      <c r="A85" s="380" t="s">
        <v>1174</v>
      </c>
      <c r="B85" s="380" t="s">
        <v>1172</v>
      </c>
      <c r="C85" s="381" t="s">
        <v>1808</v>
      </c>
      <c r="D85" s="380" t="s">
        <v>1809</v>
      </c>
      <c r="E85" s="382" t="s">
        <v>1810</v>
      </c>
      <c r="F85" s="282" t="s">
        <v>1811</v>
      </c>
      <c r="G85" s="282" t="s">
        <v>1757</v>
      </c>
      <c r="J85" s="282" t="s">
        <v>1550</v>
      </c>
    </row>
    <row r="86" spans="1:10" ht="14.4" hidden="1">
      <c r="A86" s="380" t="s">
        <v>1174</v>
      </c>
      <c r="B86" s="380" t="s">
        <v>1172</v>
      </c>
      <c r="C86" s="381" t="s">
        <v>1812</v>
      </c>
      <c r="D86" s="380" t="s">
        <v>1813</v>
      </c>
      <c r="E86" s="382" t="s">
        <v>1814</v>
      </c>
      <c r="F86" s="282" t="s">
        <v>1815</v>
      </c>
      <c r="G86" s="282" t="s">
        <v>1757</v>
      </c>
      <c r="J86" s="282" t="s">
        <v>1550</v>
      </c>
    </row>
    <row r="87" spans="1:10" ht="14.4" hidden="1">
      <c r="A87" s="380" t="s">
        <v>1174</v>
      </c>
      <c r="B87" s="380" t="s">
        <v>1172</v>
      </c>
      <c r="C87" s="381" t="s">
        <v>1816</v>
      </c>
      <c r="D87" s="380" t="s">
        <v>1817</v>
      </c>
      <c r="E87" s="382" t="s">
        <v>1818</v>
      </c>
      <c r="F87" s="282" t="s">
        <v>1819</v>
      </c>
      <c r="G87" s="282" t="s">
        <v>1757</v>
      </c>
      <c r="J87" s="282" t="s">
        <v>1550</v>
      </c>
    </row>
    <row r="88" spans="1:10" ht="14.4" hidden="1">
      <c r="A88" s="380" t="s">
        <v>1174</v>
      </c>
      <c r="B88" s="380" t="s">
        <v>1172</v>
      </c>
      <c r="C88" s="381" t="s">
        <v>1820</v>
      </c>
      <c r="D88" s="380" t="s">
        <v>1821</v>
      </c>
      <c r="E88" s="382" t="s">
        <v>1822</v>
      </c>
      <c r="F88" s="282" t="s">
        <v>1823</v>
      </c>
      <c r="G88" s="282" t="s">
        <v>1757</v>
      </c>
      <c r="J88" s="282" t="s">
        <v>1550</v>
      </c>
    </row>
    <row r="89" spans="1:10" ht="14.4" hidden="1">
      <c r="A89" s="380" t="s">
        <v>1174</v>
      </c>
      <c r="B89" s="380" t="s">
        <v>1172</v>
      </c>
      <c r="C89" s="381" t="s">
        <v>1824</v>
      </c>
      <c r="D89" s="380" t="s">
        <v>1825</v>
      </c>
      <c r="E89" s="382" t="s">
        <v>1826</v>
      </c>
      <c r="F89" s="282" t="s">
        <v>1827</v>
      </c>
      <c r="G89" s="282" t="s">
        <v>1757</v>
      </c>
      <c r="J89" s="282" t="s">
        <v>1550</v>
      </c>
    </row>
    <row r="90" spans="1:10" ht="14.4" hidden="1">
      <c r="A90" s="380" t="s">
        <v>1174</v>
      </c>
      <c r="B90" s="380" t="s">
        <v>1172</v>
      </c>
      <c r="C90" s="381" t="s">
        <v>1828</v>
      </c>
      <c r="D90" s="380" t="s">
        <v>1829</v>
      </c>
      <c r="E90" s="382" t="s">
        <v>1830</v>
      </c>
      <c r="F90" s="282" t="s">
        <v>1831</v>
      </c>
      <c r="G90" s="282" t="s">
        <v>1757</v>
      </c>
      <c r="J90" s="282" t="s">
        <v>1550</v>
      </c>
    </row>
    <row r="91" spans="1:10" ht="14.4" hidden="1">
      <c r="A91" s="380" t="s">
        <v>1174</v>
      </c>
      <c r="B91" s="380" t="s">
        <v>1172</v>
      </c>
      <c r="C91" s="381" t="s">
        <v>1832</v>
      </c>
      <c r="D91" s="380" t="s">
        <v>1833</v>
      </c>
      <c r="E91" s="382" t="s">
        <v>1834</v>
      </c>
      <c r="F91" s="282" t="s">
        <v>1835</v>
      </c>
      <c r="G91" s="282" t="s">
        <v>1757</v>
      </c>
      <c r="J91" s="282" t="s">
        <v>1550</v>
      </c>
    </row>
    <row r="92" spans="1:10" ht="14.4" hidden="1">
      <c r="A92" s="380" t="s">
        <v>1174</v>
      </c>
      <c r="B92" s="380" t="s">
        <v>1172</v>
      </c>
      <c r="C92" s="381" t="s">
        <v>1836</v>
      </c>
      <c r="D92" s="380" t="s">
        <v>1837</v>
      </c>
      <c r="E92" s="382" t="s">
        <v>1838</v>
      </c>
      <c r="F92" s="282" t="s">
        <v>1839</v>
      </c>
      <c r="G92" s="282" t="s">
        <v>1757</v>
      </c>
      <c r="J92" s="282" t="s">
        <v>1550</v>
      </c>
    </row>
    <row r="93" spans="1:10" ht="14.4" hidden="1">
      <c r="A93" s="380" t="s">
        <v>1174</v>
      </c>
      <c r="B93" s="380" t="s">
        <v>1172</v>
      </c>
      <c r="C93" s="381" t="s">
        <v>1840</v>
      </c>
      <c r="D93" s="380" t="s">
        <v>1841</v>
      </c>
      <c r="E93" s="382" t="s">
        <v>1842</v>
      </c>
      <c r="F93" s="282" t="s">
        <v>1843</v>
      </c>
      <c r="G93" s="282" t="s">
        <v>1757</v>
      </c>
      <c r="J93" s="282" t="s">
        <v>1550</v>
      </c>
    </row>
    <row r="94" spans="1:10" ht="14.4" hidden="1">
      <c r="A94" s="380" t="s">
        <v>1174</v>
      </c>
      <c r="B94" s="380" t="s">
        <v>1172</v>
      </c>
      <c r="C94" s="381" t="s">
        <v>1844</v>
      </c>
      <c r="D94" s="380" t="s">
        <v>1845</v>
      </c>
      <c r="E94" s="382" t="s">
        <v>1846</v>
      </c>
      <c r="F94" s="282" t="s">
        <v>1847</v>
      </c>
      <c r="G94" s="282" t="s">
        <v>1757</v>
      </c>
      <c r="J94" s="282" t="s">
        <v>1550</v>
      </c>
    </row>
    <row r="95" spans="1:10" ht="14.4" hidden="1">
      <c r="A95" s="380" t="s">
        <v>1174</v>
      </c>
      <c r="B95" s="380" t="s">
        <v>1172</v>
      </c>
      <c r="C95" s="381" t="s">
        <v>1848</v>
      </c>
      <c r="D95" s="380" t="s">
        <v>1849</v>
      </c>
      <c r="E95" s="382" t="s">
        <v>1850</v>
      </c>
      <c r="F95" s="282" t="s">
        <v>1851</v>
      </c>
      <c r="G95" s="282" t="s">
        <v>1757</v>
      </c>
      <c r="J95" s="282" t="s">
        <v>1550</v>
      </c>
    </row>
    <row r="96" spans="1:10" ht="14.4" hidden="1">
      <c r="A96" s="380" t="s">
        <v>1174</v>
      </c>
      <c r="B96" s="380" t="s">
        <v>1172</v>
      </c>
      <c r="C96" s="381" t="s">
        <v>1852</v>
      </c>
      <c r="D96" s="380" t="s">
        <v>1853</v>
      </c>
      <c r="E96" s="382" t="s">
        <v>1854</v>
      </c>
      <c r="F96" s="282" t="s">
        <v>1855</v>
      </c>
      <c r="G96" s="282" t="s">
        <v>1757</v>
      </c>
      <c r="J96" s="282" t="s">
        <v>1550</v>
      </c>
    </row>
    <row r="97" spans="1:10" ht="14.4" hidden="1">
      <c r="A97" s="380" t="s">
        <v>1174</v>
      </c>
      <c r="B97" s="380" t="s">
        <v>1172</v>
      </c>
      <c r="C97" s="381" t="s">
        <v>1856</v>
      </c>
      <c r="D97" s="380" t="s">
        <v>1857</v>
      </c>
      <c r="E97" s="382" t="s">
        <v>1858</v>
      </c>
      <c r="F97" s="282" t="s">
        <v>1859</v>
      </c>
      <c r="G97" s="282" t="s">
        <v>1757</v>
      </c>
      <c r="J97" s="282" t="s">
        <v>1550</v>
      </c>
    </row>
    <row r="98" spans="1:10" ht="14.4" hidden="1">
      <c r="A98" s="380" t="s">
        <v>1174</v>
      </c>
      <c r="B98" s="380" t="s">
        <v>1172</v>
      </c>
      <c r="C98" s="381" t="s">
        <v>1860</v>
      </c>
      <c r="D98" s="380" t="s">
        <v>1861</v>
      </c>
      <c r="E98" s="382" t="s">
        <v>1862</v>
      </c>
      <c r="F98" s="282" t="s">
        <v>1863</v>
      </c>
      <c r="G98" s="282" t="s">
        <v>1757</v>
      </c>
      <c r="J98" s="282" t="s">
        <v>1550</v>
      </c>
    </row>
    <row r="99" spans="1:10" ht="14.4" hidden="1">
      <c r="A99" s="380" t="s">
        <v>1174</v>
      </c>
      <c r="B99" s="380" t="s">
        <v>1172</v>
      </c>
      <c r="C99" s="381" t="s">
        <v>1864</v>
      </c>
      <c r="D99" s="380" t="s">
        <v>1865</v>
      </c>
      <c r="E99" s="382" t="s">
        <v>1866</v>
      </c>
      <c r="F99" s="282" t="s">
        <v>1867</v>
      </c>
      <c r="G99" s="282" t="s">
        <v>1757</v>
      </c>
      <c r="J99" s="282" t="s">
        <v>1550</v>
      </c>
    </row>
    <row r="100" spans="1:10" ht="14.4" hidden="1">
      <c r="A100" s="380" t="s">
        <v>1174</v>
      </c>
      <c r="B100" s="380" t="s">
        <v>1172</v>
      </c>
      <c r="C100" s="381" t="s">
        <v>1868</v>
      </c>
      <c r="D100" s="380" t="s">
        <v>1869</v>
      </c>
      <c r="E100" s="382" t="s">
        <v>1870</v>
      </c>
      <c r="F100" s="282" t="s">
        <v>1871</v>
      </c>
      <c r="G100" s="282" t="s">
        <v>1757</v>
      </c>
      <c r="J100" s="282" t="s">
        <v>1550</v>
      </c>
    </row>
    <row r="101" spans="1:10" ht="14.4" hidden="1">
      <c r="A101" s="380" t="s">
        <v>1174</v>
      </c>
      <c r="B101" s="380" t="s">
        <v>1172</v>
      </c>
      <c r="C101" s="381" t="s">
        <v>1872</v>
      </c>
      <c r="D101" s="380" t="s">
        <v>1873</v>
      </c>
      <c r="E101" s="382" t="s">
        <v>1874</v>
      </c>
      <c r="F101" s="282" t="s">
        <v>1875</v>
      </c>
      <c r="G101" s="282" t="s">
        <v>1757</v>
      </c>
      <c r="J101" s="282" t="s">
        <v>1550</v>
      </c>
    </row>
    <row r="102" spans="1:10" ht="14.4" hidden="1">
      <c r="A102" s="380" t="s">
        <v>1174</v>
      </c>
      <c r="B102" s="380" t="s">
        <v>1172</v>
      </c>
      <c r="C102" s="381" t="s">
        <v>1876</v>
      </c>
      <c r="D102" s="380" t="s">
        <v>1877</v>
      </c>
      <c r="E102" s="382" t="s">
        <v>1878</v>
      </c>
      <c r="F102" s="282" t="s">
        <v>1879</v>
      </c>
      <c r="G102" s="282" t="s">
        <v>1757</v>
      </c>
      <c r="J102" s="282" t="s">
        <v>1550</v>
      </c>
    </row>
    <row r="103" spans="1:10" ht="14.4" hidden="1">
      <c r="A103" s="380" t="s">
        <v>1174</v>
      </c>
      <c r="B103" s="380" t="s">
        <v>1172</v>
      </c>
      <c r="C103" s="381" t="s">
        <v>1880</v>
      </c>
      <c r="D103" s="380" t="s">
        <v>1881</v>
      </c>
      <c r="E103" s="382" t="s">
        <v>1882</v>
      </c>
      <c r="F103" s="282" t="s">
        <v>1883</v>
      </c>
      <c r="G103" s="282" t="s">
        <v>1757</v>
      </c>
      <c r="J103" s="282" t="s">
        <v>1550</v>
      </c>
    </row>
    <row r="104" spans="1:10" ht="14.4" hidden="1">
      <c r="A104" s="380" t="s">
        <v>1174</v>
      </c>
      <c r="B104" s="380" t="s">
        <v>1172</v>
      </c>
      <c r="C104" s="381" t="s">
        <v>1884</v>
      </c>
      <c r="D104" s="380" t="s">
        <v>1885</v>
      </c>
      <c r="E104" s="382" t="s">
        <v>1886</v>
      </c>
      <c r="F104" s="282" t="s">
        <v>1887</v>
      </c>
      <c r="G104" s="282" t="s">
        <v>1757</v>
      </c>
      <c r="J104" s="282" t="s">
        <v>1550</v>
      </c>
    </row>
    <row r="105" spans="1:10" ht="14.4" hidden="1">
      <c r="A105" s="380" t="s">
        <v>1174</v>
      </c>
      <c r="B105" s="380" t="s">
        <v>1172</v>
      </c>
      <c r="C105" s="381" t="s">
        <v>1888</v>
      </c>
      <c r="D105" s="380" t="s">
        <v>1889</v>
      </c>
      <c r="E105" s="382" t="s">
        <v>1890</v>
      </c>
      <c r="F105" s="282" t="s">
        <v>1891</v>
      </c>
      <c r="G105" s="282" t="s">
        <v>1757</v>
      </c>
      <c r="J105" s="282" t="s">
        <v>1550</v>
      </c>
    </row>
    <row r="106" spans="1:10" ht="14.4" hidden="1">
      <c r="A106" s="380" t="s">
        <v>1174</v>
      </c>
      <c r="B106" s="380" t="s">
        <v>1172</v>
      </c>
      <c r="C106" s="381" t="s">
        <v>1892</v>
      </c>
      <c r="D106" s="380" t="s">
        <v>1893</v>
      </c>
      <c r="E106" s="382" t="s">
        <v>1894</v>
      </c>
      <c r="F106" s="282" t="s">
        <v>1895</v>
      </c>
      <c r="G106" s="282" t="s">
        <v>1757</v>
      </c>
      <c r="J106" s="282" t="s">
        <v>1550</v>
      </c>
    </row>
    <row r="107" spans="1:10" ht="14.4" hidden="1">
      <c r="A107" s="380" t="s">
        <v>1174</v>
      </c>
      <c r="B107" s="380" t="s">
        <v>1172</v>
      </c>
      <c r="C107" s="381" t="s">
        <v>1896</v>
      </c>
      <c r="D107" s="380" t="s">
        <v>1897</v>
      </c>
      <c r="E107" s="382" t="s">
        <v>1898</v>
      </c>
      <c r="F107" s="282" t="s">
        <v>1899</v>
      </c>
      <c r="G107" s="282" t="s">
        <v>1757</v>
      </c>
      <c r="J107" s="282" t="s">
        <v>1550</v>
      </c>
    </row>
    <row r="108" spans="1:10" ht="14.4" hidden="1">
      <c r="A108" s="380" t="s">
        <v>1174</v>
      </c>
      <c r="B108" s="380" t="s">
        <v>1172</v>
      </c>
      <c r="C108" s="381" t="s">
        <v>1900</v>
      </c>
      <c r="D108" s="380" t="s">
        <v>1901</v>
      </c>
      <c r="E108" s="382" t="s">
        <v>1902</v>
      </c>
      <c r="F108" s="282" t="s">
        <v>1903</v>
      </c>
      <c r="G108" s="282" t="s">
        <v>1757</v>
      </c>
      <c r="J108" s="282" t="s">
        <v>1550</v>
      </c>
    </row>
    <row r="109" spans="1:10" ht="14.4" hidden="1">
      <c r="A109" s="380" t="s">
        <v>1174</v>
      </c>
      <c r="B109" s="380" t="s">
        <v>1172</v>
      </c>
      <c r="C109" s="381" t="s">
        <v>1904</v>
      </c>
      <c r="D109" s="380" t="s">
        <v>1905</v>
      </c>
      <c r="E109" s="382" t="s">
        <v>1906</v>
      </c>
      <c r="F109" s="282" t="s">
        <v>1907</v>
      </c>
      <c r="G109" s="282" t="s">
        <v>1757</v>
      </c>
      <c r="J109" s="282" t="s">
        <v>1550</v>
      </c>
    </row>
    <row r="110" spans="1:10" ht="14.4" hidden="1">
      <c r="A110" s="380" t="s">
        <v>1174</v>
      </c>
      <c r="B110" s="380" t="s">
        <v>1172</v>
      </c>
      <c r="C110" s="381" t="s">
        <v>1908</v>
      </c>
      <c r="D110" s="380" t="s">
        <v>1909</v>
      </c>
      <c r="E110" s="382" t="s">
        <v>1910</v>
      </c>
      <c r="F110" s="282" t="s">
        <v>1911</v>
      </c>
      <c r="G110" s="282" t="s">
        <v>1757</v>
      </c>
      <c r="J110" s="282" t="s">
        <v>1550</v>
      </c>
    </row>
    <row r="111" spans="1:10" ht="14.4" hidden="1">
      <c r="A111" s="380" t="s">
        <v>1174</v>
      </c>
      <c r="B111" s="380" t="s">
        <v>1172</v>
      </c>
      <c r="C111" s="381" t="s">
        <v>1912</v>
      </c>
      <c r="D111" s="380" t="s">
        <v>1913</v>
      </c>
      <c r="E111" s="382" t="s">
        <v>1914</v>
      </c>
      <c r="F111" s="282" t="s">
        <v>1915</v>
      </c>
      <c r="G111" s="282" t="s">
        <v>1757</v>
      </c>
      <c r="J111" s="282" t="s">
        <v>1550</v>
      </c>
    </row>
    <row r="112" spans="1:10" ht="14.4" hidden="1">
      <c r="A112" s="380" t="s">
        <v>1174</v>
      </c>
      <c r="B112" s="380" t="s">
        <v>1172</v>
      </c>
      <c r="C112" s="381" t="s">
        <v>1916</v>
      </c>
      <c r="D112" s="380" t="s">
        <v>1917</v>
      </c>
      <c r="E112" s="382" t="s">
        <v>1918</v>
      </c>
      <c r="F112" s="282" t="s">
        <v>1919</v>
      </c>
      <c r="G112" s="282" t="s">
        <v>1757</v>
      </c>
      <c r="J112" s="282" t="s">
        <v>1550</v>
      </c>
    </row>
    <row r="113" spans="1:10" ht="14.4" hidden="1">
      <c r="A113" s="380" t="s">
        <v>1174</v>
      </c>
      <c r="B113" s="380" t="s">
        <v>1172</v>
      </c>
      <c r="C113" s="381" t="s">
        <v>1920</v>
      </c>
      <c r="D113" s="380" t="s">
        <v>1921</v>
      </c>
      <c r="E113" s="382" t="s">
        <v>1922</v>
      </c>
      <c r="F113" s="282" t="s">
        <v>1923</v>
      </c>
      <c r="G113" s="282" t="s">
        <v>1757</v>
      </c>
      <c r="J113" s="282" t="s">
        <v>1550</v>
      </c>
    </row>
    <row r="114" spans="1:10" ht="14.4" hidden="1">
      <c r="A114" s="380" t="s">
        <v>1174</v>
      </c>
      <c r="B114" s="380" t="s">
        <v>1172</v>
      </c>
      <c r="C114" s="381" t="s">
        <v>1924</v>
      </c>
      <c r="D114" s="380" t="s">
        <v>1925</v>
      </c>
      <c r="E114" s="382" t="s">
        <v>1926</v>
      </c>
      <c r="F114" s="282" t="s">
        <v>1927</v>
      </c>
      <c r="G114" s="282" t="s">
        <v>1757</v>
      </c>
      <c r="J114" s="282" t="s">
        <v>1550</v>
      </c>
    </row>
    <row r="115" spans="1:10" ht="14.4" hidden="1">
      <c r="A115" s="380" t="s">
        <v>1174</v>
      </c>
      <c r="B115" s="380" t="s">
        <v>1172</v>
      </c>
      <c r="C115" s="381" t="s">
        <v>1928</v>
      </c>
      <c r="D115" s="380" t="s">
        <v>1929</v>
      </c>
      <c r="E115" s="382" t="s">
        <v>1930</v>
      </c>
      <c r="F115" s="282" t="s">
        <v>1931</v>
      </c>
      <c r="G115" s="282" t="s">
        <v>1757</v>
      </c>
      <c r="J115" s="282" t="s">
        <v>1550</v>
      </c>
    </row>
    <row r="116" spans="1:10" ht="14.4" hidden="1">
      <c r="A116" s="380" t="s">
        <v>1174</v>
      </c>
      <c r="B116" s="380" t="s">
        <v>1172</v>
      </c>
      <c r="C116" s="381" t="s">
        <v>1932</v>
      </c>
      <c r="D116" s="380" t="s">
        <v>1933</v>
      </c>
      <c r="E116" s="382" t="s">
        <v>1934</v>
      </c>
      <c r="F116" s="282" t="s">
        <v>1935</v>
      </c>
      <c r="G116" s="282" t="s">
        <v>1757</v>
      </c>
      <c r="J116" s="282" t="s">
        <v>1550</v>
      </c>
    </row>
    <row r="117" spans="1:10" ht="14.4" hidden="1">
      <c r="A117" s="380" t="s">
        <v>1174</v>
      </c>
      <c r="B117" s="380" t="s">
        <v>1172</v>
      </c>
      <c r="C117" s="381" t="s">
        <v>1936</v>
      </c>
      <c r="D117" s="380" t="s">
        <v>1937</v>
      </c>
      <c r="E117" s="382" t="s">
        <v>1938</v>
      </c>
      <c r="F117" s="282" t="s">
        <v>1939</v>
      </c>
      <c r="G117" s="282" t="s">
        <v>1757</v>
      </c>
      <c r="J117" s="282" t="s">
        <v>1550</v>
      </c>
    </row>
    <row r="118" spans="1:10" ht="14.4" hidden="1">
      <c r="A118" s="380" t="s">
        <v>1174</v>
      </c>
      <c r="B118" s="380" t="s">
        <v>1172</v>
      </c>
      <c r="C118" s="381" t="s">
        <v>1940</v>
      </c>
      <c r="D118" s="380" t="s">
        <v>1941</v>
      </c>
      <c r="E118" s="382" t="s">
        <v>1942</v>
      </c>
      <c r="F118" s="282" t="s">
        <v>1943</v>
      </c>
      <c r="G118" s="282" t="s">
        <v>1757</v>
      </c>
      <c r="J118" s="282" t="s">
        <v>1550</v>
      </c>
    </row>
    <row r="119" spans="1:10" ht="14.4" hidden="1">
      <c r="A119" s="380" t="s">
        <v>1174</v>
      </c>
      <c r="B119" s="380" t="s">
        <v>1172</v>
      </c>
      <c r="C119" s="381" t="s">
        <v>1944</v>
      </c>
      <c r="D119" s="380" t="s">
        <v>1945</v>
      </c>
      <c r="E119" s="382" t="s">
        <v>1946</v>
      </c>
      <c r="F119" s="282" t="s">
        <v>1947</v>
      </c>
      <c r="G119" s="282" t="s">
        <v>1757</v>
      </c>
      <c r="J119" s="282" t="s">
        <v>1550</v>
      </c>
    </row>
    <row r="120" spans="1:10" ht="14.4" hidden="1">
      <c r="A120" s="380" t="s">
        <v>1174</v>
      </c>
      <c r="B120" s="380" t="s">
        <v>1172</v>
      </c>
      <c r="C120" s="381" t="s">
        <v>1948</v>
      </c>
      <c r="D120" s="380" t="s">
        <v>1949</v>
      </c>
      <c r="E120" s="382" t="s">
        <v>1950</v>
      </c>
      <c r="F120" s="282" t="s">
        <v>1951</v>
      </c>
      <c r="G120" s="282" t="s">
        <v>1757</v>
      </c>
      <c r="J120" s="282" t="s">
        <v>1550</v>
      </c>
    </row>
    <row r="121" spans="1:10" ht="14.4" hidden="1">
      <c r="A121" s="380" t="s">
        <v>1174</v>
      </c>
      <c r="B121" s="380" t="s">
        <v>1172</v>
      </c>
      <c r="C121" s="381" t="s">
        <v>1952</v>
      </c>
      <c r="D121" s="380" t="s">
        <v>1953</v>
      </c>
      <c r="E121" s="382" t="s">
        <v>1954</v>
      </c>
      <c r="F121" s="282" t="s">
        <v>1955</v>
      </c>
      <c r="G121" s="282" t="s">
        <v>1956</v>
      </c>
      <c r="J121" s="282" t="s">
        <v>1550</v>
      </c>
    </row>
    <row r="122" spans="1:10" ht="14.4" hidden="1">
      <c r="A122" s="380" t="s">
        <v>1174</v>
      </c>
      <c r="B122" s="380" t="s">
        <v>1172</v>
      </c>
      <c r="C122" s="381" t="s">
        <v>1957</v>
      </c>
      <c r="D122" s="380" t="s">
        <v>1958</v>
      </c>
      <c r="E122" s="382" t="s">
        <v>1959</v>
      </c>
      <c r="F122" s="282" t="s">
        <v>1960</v>
      </c>
      <c r="G122" s="282" t="s">
        <v>1956</v>
      </c>
      <c r="J122" s="282" t="s">
        <v>1550</v>
      </c>
    </row>
    <row r="123" spans="1:10" ht="14.4" hidden="1">
      <c r="A123" s="380" t="s">
        <v>1174</v>
      </c>
      <c r="B123" s="380" t="s">
        <v>1172</v>
      </c>
      <c r="C123" s="381" t="s">
        <v>1961</v>
      </c>
      <c r="D123" s="380" t="s">
        <v>1962</v>
      </c>
      <c r="E123" s="382" t="s">
        <v>1963</v>
      </c>
      <c r="F123" s="282" t="s">
        <v>1964</v>
      </c>
      <c r="G123" s="282" t="s">
        <v>1956</v>
      </c>
      <c r="J123" s="282" t="s">
        <v>1550</v>
      </c>
    </row>
    <row r="124" spans="1:10" ht="14.4" hidden="1">
      <c r="A124" s="380" t="s">
        <v>1174</v>
      </c>
      <c r="B124" s="380" t="s">
        <v>1172</v>
      </c>
      <c r="C124" s="381" t="s">
        <v>1965</v>
      </c>
      <c r="D124" s="380" t="s">
        <v>1966</v>
      </c>
      <c r="E124" s="382" t="s">
        <v>1967</v>
      </c>
      <c r="F124" s="282" t="s">
        <v>1968</v>
      </c>
      <c r="G124" s="282" t="s">
        <v>1956</v>
      </c>
      <c r="J124" s="282" t="s">
        <v>1550</v>
      </c>
    </row>
    <row r="125" spans="1:10" ht="14.4" hidden="1">
      <c r="A125" s="380" t="s">
        <v>1174</v>
      </c>
      <c r="B125" s="380" t="s">
        <v>1172</v>
      </c>
      <c r="C125" s="381" t="s">
        <v>1969</v>
      </c>
      <c r="D125" s="380" t="s">
        <v>1970</v>
      </c>
      <c r="E125" s="382" t="s">
        <v>1971</v>
      </c>
      <c r="F125" s="282" t="s">
        <v>1972</v>
      </c>
      <c r="G125" s="282" t="s">
        <v>1956</v>
      </c>
      <c r="J125" s="282" t="s">
        <v>1550</v>
      </c>
    </row>
    <row r="126" spans="1:10" ht="14.4" hidden="1">
      <c r="A126" s="380" t="s">
        <v>1174</v>
      </c>
      <c r="B126" s="380" t="s">
        <v>1172</v>
      </c>
      <c r="C126" s="381" t="s">
        <v>1973</v>
      </c>
      <c r="D126" s="380" t="s">
        <v>1974</v>
      </c>
      <c r="E126" s="382" t="s">
        <v>1975</v>
      </c>
      <c r="F126" s="282" t="s">
        <v>1976</v>
      </c>
      <c r="G126" s="282" t="s">
        <v>1956</v>
      </c>
      <c r="J126" s="282" t="s">
        <v>1550</v>
      </c>
    </row>
    <row r="127" spans="1:10" ht="14.4" hidden="1">
      <c r="A127" s="380" t="s">
        <v>1174</v>
      </c>
      <c r="B127" s="380" t="s">
        <v>1172</v>
      </c>
      <c r="C127" s="381" t="s">
        <v>1977</v>
      </c>
      <c r="D127" s="380" t="s">
        <v>1978</v>
      </c>
      <c r="E127" s="382" t="s">
        <v>1979</v>
      </c>
      <c r="F127" s="282" t="s">
        <v>1980</v>
      </c>
      <c r="G127" s="282" t="s">
        <v>1956</v>
      </c>
      <c r="J127" s="282" t="s">
        <v>1550</v>
      </c>
    </row>
    <row r="128" spans="1:10" ht="14.4" hidden="1">
      <c r="A128" s="380" t="s">
        <v>1174</v>
      </c>
      <c r="B128" s="380" t="s">
        <v>1172</v>
      </c>
      <c r="C128" s="381" t="s">
        <v>1981</v>
      </c>
      <c r="D128" s="380" t="s">
        <v>1982</v>
      </c>
      <c r="E128" s="382" t="s">
        <v>1983</v>
      </c>
      <c r="F128" s="282" t="s">
        <v>1984</v>
      </c>
      <c r="G128" s="282" t="s">
        <v>1956</v>
      </c>
      <c r="H128" s="282" t="s">
        <v>1548</v>
      </c>
      <c r="J128" s="282" t="s">
        <v>1550</v>
      </c>
    </row>
    <row r="129" spans="1:10" ht="14.4" hidden="1">
      <c r="A129" s="380" t="s">
        <v>1174</v>
      </c>
      <c r="B129" s="380" t="s">
        <v>1172</v>
      </c>
      <c r="C129" s="381" t="s">
        <v>1985</v>
      </c>
      <c r="D129" s="380" t="s">
        <v>1986</v>
      </c>
      <c r="E129" s="382" t="s">
        <v>1987</v>
      </c>
      <c r="F129" s="282" t="s">
        <v>1988</v>
      </c>
      <c r="G129" s="282" t="s">
        <v>1956</v>
      </c>
      <c r="H129" s="282" t="s">
        <v>1548</v>
      </c>
      <c r="J129" s="282" t="s">
        <v>1550</v>
      </c>
    </row>
    <row r="130" spans="1:10" ht="14.4" hidden="1">
      <c r="A130" s="380" t="s">
        <v>1174</v>
      </c>
      <c r="B130" s="380" t="s">
        <v>1172</v>
      </c>
      <c r="C130" s="381" t="s">
        <v>1989</v>
      </c>
      <c r="D130" s="380" t="s">
        <v>1990</v>
      </c>
      <c r="E130" s="382" t="s">
        <v>1991</v>
      </c>
      <c r="F130" s="282" t="s">
        <v>1992</v>
      </c>
      <c r="G130" s="282" t="s">
        <v>1956</v>
      </c>
      <c r="J130" s="282" t="s">
        <v>1550</v>
      </c>
    </row>
    <row r="131" spans="1:10" ht="14.4" hidden="1">
      <c r="A131" s="380" t="s">
        <v>1174</v>
      </c>
      <c r="B131" s="380" t="s">
        <v>1172</v>
      </c>
      <c r="C131" s="381" t="s">
        <v>1993</v>
      </c>
      <c r="D131" s="380" t="s">
        <v>1994</v>
      </c>
      <c r="E131" s="382" t="s">
        <v>1995</v>
      </c>
      <c r="F131" s="282" t="s">
        <v>1996</v>
      </c>
      <c r="G131" s="282" t="s">
        <v>1956</v>
      </c>
      <c r="J131" s="282" t="s">
        <v>1550</v>
      </c>
    </row>
    <row r="132" spans="1:10" ht="14.4" hidden="1">
      <c r="A132" s="380" t="s">
        <v>1174</v>
      </c>
      <c r="B132" s="380" t="s">
        <v>1172</v>
      </c>
      <c r="C132" s="381" t="s">
        <v>1997</v>
      </c>
      <c r="D132" s="380" t="s">
        <v>1998</v>
      </c>
      <c r="E132" s="382" t="s">
        <v>1999</v>
      </c>
      <c r="F132" s="282" t="s">
        <v>2000</v>
      </c>
      <c r="G132" s="282" t="s">
        <v>1956</v>
      </c>
      <c r="J132" s="282" t="s">
        <v>1550</v>
      </c>
    </row>
    <row r="133" spans="1:10" ht="14.4" hidden="1">
      <c r="A133" s="380" t="s">
        <v>1174</v>
      </c>
      <c r="B133" s="380" t="s">
        <v>1172</v>
      </c>
      <c r="C133" s="381" t="s">
        <v>2001</v>
      </c>
      <c r="D133" s="380" t="s">
        <v>2002</v>
      </c>
      <c r="E133" s="382" t="s">
        <v>2003</v>
      </c>
      <c r="F133" s="282" t="s">
        <v>2004</v>
      </c>
      <c r="G133" s="282" t="s">
        <v>1956</v>
      </c>
      <c r="J133" s="282" t="s">
        <v>1550</v>
      </c>
    </row>
    <row r="134" spans="1:10" ht="14.4" hidden="1">
      <c r="A134" s="380" t="s">
        <v>1174</v>
      </c>
      <c r="B134" s="380" t="s">
        <v>1172</v>
      </c>
      <c r="C134" s="381" t="s">
        <v>2005</v>
      </c>
      <c r="D134" s="380" t="s">
        <v>2006</v>
      </c>
      <c r="E134" s="382" t="s">
        <v>2007</v>
      </c>
      <c r="F134" s="282" t="s">
        <v>2008</v>
      </c>
      <c r="G134" s="282" t="s">
        <v>1956</v>
      </c>
      <c r="J134" s="282" t="s">
        <v>1550</v>
      </c>
    </row>
    <row r="135" spans="1:10" ht="14.4" hidden="1">
      <c r="A135" s="380" t="s">
        <v>1174</v>
      </c>
      <c r="B135" s="380" t="s">
        <v>1172</v>
      </c>
      <c r="C135" s="381" t="s">
        <v>2009</v>
      </c>
      <c r="D135" s="380" t="s">
        <v>2010</v>
      </c>
      <c r="E135" s="382" t="s">
        <v>2011</v>
      </c>
      <c r="F135" s="282" t="s">
        <v>2012</v>
      </c>
      <c r="G135" s="282" t="s">
        <v>1956</v>
      </c>
      <c r="J135" s="282" t="s">
        <v>1550</v>
      </c>
    </row>
    <row r="136" spans="1:10" ht="14.4" hidden="1">
      <c r="A136" s="380" t="s">
        <v>1174</v>
      </c>
      <c r="B136" s="380" t="s">
        <v>1172</v>
      </c>
      <c r="C136" s="381" t="s">
        <v>2013</v>
      </c>
      <c r="D136" s="380" t="s">
        <v>2014</v>
      </c>
      <c r="E136" s="382" t="s">
        <v>2015</v>
      </c>
      <c r="F136" s="282" t="s">
        <v>2016</v>
      </c>
      <c r="G136" s="282" t="s">
        <v>1956</v>
      </c>
      <c r="J136" s="282" t="s">
        <v>1550</v>
      </c>
    </row>
    <row r="137" spans="1:10" ht="14.4" hidden="1">
      <c r="A137" s="380" t="s">
        <v>1174</v>
      </c>
      <c r="B137" s="380" t="s">
        <v>1172</v>
      </c>
      <c r="C137" s="381" t="s">
        <v>2017</v>
      </c>
      <c r="D137" s="380" t="s">
        <v>2018</v>
      </c>
      <c r="E137" s="382" t="s">
        <v>2019</v>
      </c>
      <c r="F137" s="282" t="s">
        <v>2020</v>
      </c>
      <c r="G137" s="282" t="s">
        <v>1956</v>
      </c>
      <c r="J137" s="282" t="s">
        <v>1550</v>
      </c>
    </row>
    <row r="138" spans="1:10" ht="14.4" hidden="1">
      <c r="A138" s="380" t="s">
        <v>1174</v>
      </c>
      <c r="B138" s="380" t="s">
        <v>1172</v>
      </c>
      <c r="C138" s="381" t="s">
        <v>2021</v>
      </c>
      <c r="D138" s="380" t="s">
        <v>2022</v>
      </c>
      <c r="E138" s="382" t="s">
        <v>2023</v>
      </c>
      <c r="F138" s="282" t="s">
        <v>2024</v>
      </c>
      <c r="G138" s="282" t="s">
        <v>1956</v>
      </c>
      <c r="J138" s="282" t="s">
        <v>1550</v>
      </c>
    </row>
    <row r="139" spans="1:10" ht="14.4" hidden="1">
      <c r="A139" s="380" t="s">
        <v>1174</v>
      </c>
      <c r="B139" s="380" t="s">
        <v>1172</v>
      </c>
      <c r="C139" s="381" t="s">
        <v>2025</v>
      </c>
      <c r="D139" s="380" t="s">
        <v>2026</v>
      </c>
      <c r="E139" s="382" t="s">
        <v>2027</v>
      </c>
      <c r="F139" s="282" t="s">
        <v>2028</v>
      </c>
      <c r="G139" s="282" t="s">
        <v>1956</v>
      </c>
      <c r="J139" s="282" t="s">
        <v>1550</v>
      </c>
    </row>
    <row r="140" spans="1:10" ht="14.4" hidden="1">
      <c r="A140" s="380" t="s">
        <v>1174</v>
      </c>
      <c r="B140" s="380" t="s">
        <v>1172</v>
      </c>
      <c r="C140" s="381" t="s">
        <v>2029</v>
      </c>
      <c r="D140" s="380" t="s">
        <v>2030</v>
      </c>
      <c r="E140" s="382" t="s">
        <v>2031</v>
      </c>
      <c r="F140" s="282" t="s">
        <v>2032</v>
      </c>
      <c r="G140" s="282" t="s">
        <v>1956</v>
      </c>
      <c r="J140" s="282" t="s">
        <v>1550</v>
      </c>
    </row>
    <row r="141" spans="1:10" ht="14.4" hidden="1">
      <c r="A141" s="380" t="s">
        <v>1174</v>
      </c>
      <c r="B141" s="380" t="s">
        <v>1172</v>
      </c>
      <c r="C141" s="381" t="s">
        <v>2033</v>
      </c>
      <c r="D141" s="380" t="s">
        <v>2034</v>
      </c>
      <c r="E141" s="382" t="s">
        <v>2035</v>
      </c>
      <c r="F141" s="282" t="s">
        <v>2036</v>
      </c>
      <c r="G141" s="282" t="s">
        <v>1956</v>
      </c>
      <c r="J141" s="282" t="s">
        <v>1550</v>
      </c>
    </row>
    <row r="142" spans="1:10" ht="14.4" hidden="1">
      <c r="A142" s="380" t="s">
        <v>1174</v>
      </c>
      <c r="B142" s="380" t="s">
        <v>1172</v>
      </c>
      <c r="C142" s="381" t="s">
        <v>2037</v>
      </c>
      <c r="D142" s="380" t="s">
        <v>2038</v>
      </c>
      <c r="E142" s="382" t="s">
        <v>2039</v>
      </c>
      <c r="F142" s="282" t="s">
        <v>2040</v>
      </c>
      <c r="G142" s="282" t="s">
        <v>1956</v>
      </c>
      <c r="J142" s="282" t="s">
        <v>1550</v>
      </c>
    </row>
    <row r="143" spans="1:10" ht="14.4" hidden="1">
      <c r="A143" s="380" t="s">
        <v>1174</v>
      </c>
      <c r="B143" s="380" t="s">
        <v>1172</v>
      </c>
      <c r="C143" s="381" t="s">
        <v>2041</v>
      </c>
      <c r="D143" s="380" t="s">
        <v>2042</v>
      </c>
      <c r="E143" s="382" t="s">
        <v>2043</v>
      </c>
      <c r="F143" s="282" t="s">
        <v>2044</v>
      </c>
      <c r="G143" s="282" t="s">
        <v>1956</v>
      </c>
      <c r="J143" s="282" t="s">
        <v>1550</v>
      </c>
    </row>
    <row r="144" spans="1:10" ht="14.4" hidden="1">
      <c r="A144" s="380" t="s">
        <v>1174</v>
      </c>
      <c r="B144" s="380" t="s">
        <v>1172</v>
      </c>
      <c r="C144" s="381" t="s">
        <v>2045</v>
      </c>
      <c r="D144" s="380" t="s">
        <v>2046</v>
      </c>
      <c r="E144" s="382" t="s">
        <v>2047</v>
      </c>
      <c r="F144" s="282" t="s">
        <v>2048</v>
      </c>
      <c r="G144" s="282" t="s">
        <v>1956</v>
      </c>
      <c r="J144" s="282" t="s">
        <v>1550</v>
      </c>
    </row>
    <row r="145" spans="1:10" ht="14.4" hidden="1">
      <c r="A145" s="380" t="s">
        <v>1174</v>
      </c>
      <c r="B145" s="380" t="s">
        <v>1172</v>
      </c>
      <c r="C145" s="381" t="s">
        <v>2049</v>
      </c>
      <c r="D145" s="380" t="s">
        <v>2050</v>
      </c>
      <c r="E145" s="382" t="s">
        <v>2051</v>
      </c>
      <c r="F145" s="282" t="s">
        <v>2052</v>
      </c>
      <c r="G145" s="282" t="s">
        <v>1956</v>
      </c>
      <c r="J145" s="282" t="s">
        <v>1550</v>
      </c>
    </row>
    <row r="146" spans="1:10" ht="14.4" hidden="1">
      <c r="A146" s="380" t="s">
        <v>1174</v>
      </c>
      <c r="B146" s="380" t="s">
        <v>1172</v>
      </c>
      <c r="C146" s="381" t="s">
        <v>2053</v>
      </c>
      <c r="D146" s="380" t="s">
        <v>2054</v>
      </c>
      <c r="E146" s="382" t="s">
        <v>2055</v>
      </c>
      <c r="F146" s="282" t="s">
        <v>2056</v>
      </c>
      <c r="G146" s="282" t="s">
        <v>1956</v>
      </c>
      <c r="J146" s="282" t="s">
        <v>1550</v>
      </c>
    </row>
    <row r="147" spans="1:10" ht="14.4" hidden="1">
      <c r="A147" s="380" t="s">
        <v>1174</v>
      </c>
      <c r="B147" s="380" t="s">
        <v>1172</v>
      </c>
      <c r="C147" s="381" t="s">
        <v>2057</v>
      </c>
      <c r="D147" s="380" t="s">
        <v>2058</v>
      </c>
      <c r="E147" s="382" t="s">
        <v>2059</v>
      </c>
      <c r="F147" s="282" t="s">
        <v>2060</v>
      </c>
      <c r="G147" s="282" t="s">
        <v>1956</v>
      </c>
      <c r="J147" s="282" t="s">
        <v>1550</v>
      </c>
    </row>
    <row r="148" spans="1:10" ht="14.4" hidden="1">
      <c r="A148" s="380" t="s">
        <v>1174</v>
      </c>
      <c r="B148" s="380" t="s">
        <v>1172</v>
      </c>
      <c r="C148" s="381" t="s">
        <v>2061</v>
      </c>
      <c r="D148" s="380" t="s">
        <v>2062</v>
      </c>
      <c r="E148" s="382" t="s">
        <v>2063</v>
      </c>
      <c r="F148" s="282" t="s">
        <v>2064</v>
      </c>
      <c r="G148" s="282" t="s">
        <v>1956</v>
      </c>
      <c r="J148" s="282" t="s">
        <v>1550</v>
      </c>
    </row>
    <row r="149" spans="1:10" ht="14.4" hidden="1">
      <c r="A149" s="380" t="s">
        <v>1174</v>
      </c>
      <c r="B149" s="380" t="s">
        <v>1172</v>
      </c>
      <c r="C149" s="381" t="s">
        <v>2065</v>
      </c>
      <c r="D149" s="380" t="s">
        <v>2066</v>
      </c>
      <c r="E149" s="382" t="s">
        <v>2067</v>
      </c>
      <c r="F149" s="282" t="s">
        <v>2068</v>
      </c>
      <c r="G149" s="282" t="s">
        <v>1956</v>
      </c>
      <c r="H149" s="282" t="s">
        <v>1548</v>
      </c>
      <c r="J149" s="282" t="s">
        <v>1550</v>
      </c>
    </row>
    <row r="150" spans="1:10" ht="14.4" hidden="1">
      <c r="A150" s="380" t="s">
        <v>1174</v>
      </c>
      <c r="B150" s="380" t="s">
        <v>1172</v>
      </c>
      <c r="C150" s="381" t="s">
        <v>2069</v>
      </c>
      <c r="D150" s="380" t="s">
        <v>2070</v>
      </c>
      <c r="E150" s="382" t="s">
        <v>2071</v>
      </c>
      <c r="F150" s="282" t="s">
        <v>2072</v>
      </c>
      <c r="G150" s="282" t="s">
        <v>1956</v>
      </c>
      <c r="J150" s="282" t="s">
        <v>1550</v>
      </c>
    </row>
    <row r="151" spans="1:10" ht="14.4" hidden="1">
      <c r="A151" s="380" t="s">
        <v>1174</v>
      </c>
      <c r="B151" s="380" t="s">
        <v>1172</v>
      </c>
      <c r="C151" s="381" t="s">
        <v>2073</v>
      </c>
      <c r="D151" s="380" t="s">
        <v>2074</v>
      </c>
      <c r="E151" s="382" t="s">
        <v>2075</v>
      </c>
      <c r="F151" s="282" t="s">
        <v>2076</v>
      </c>
      <c r="G151" s="282" t="s">
        <v>1956</v>
      </c>
      <c r="J151" s="282" t="s">
        <v>1550</v>
      </c>
    </row>
    <row r="152" spans="1:10" ht="14.4" hidden="1">
      <c r="A152" s="380" t="s">
        <v>1174</v>
      </c>
      <c r="B152" s="380" t="s">
        <v>1172</v>
      </c>
      <c r="C152" s="381" t="s">
        <v>2077</v>
      </c>
      <c r="D152" s="380" t="s">
        <v>2078</v>
      </c>
      <c r="E152" s="382" t="s">
        <v>2079</v>
      </c>
      <c r="F152" s="282" t="s">
        <v>2080</v>
      </c>
      <c r="G152" s="282" t="s">
        <v>1956</v>
      </c>
      <c r="J152" s="282" t="s">
        <v>1550</v>
      </c>
    </row>
    <row r="153" spans="1:10" ht="14.4" hidden="1">
      <c r="A153" s="380" t="s">
        <v>1174</v>
      </c>
      <c r="B153" s="380" t="s">
        <v>1172</v>
      </c>
      <c r="C153" s="381" t="s">
        <v>2081</v>
      </c>
      <c r="D153" s="380" t="s">
        <v>2082</v>
      </c>
      <c r="E153" s="382" t="s">
        <v>2083</v>
      </c>
      <c r="F153" s="282" t="s">
        <v>2084</v>
      </c>
      <c r="G153" s="282" t="s">
        <v>1956</v>
      </c>
      <c r="J153" s="282" t="s">
        <v>1550</v>
      </c>
    </row>
    <row r="154" spans="1:10" ht="14.4" hidden="1">
      <c r="A154" s="380" t="s">
        <v>1174</v>
      </c>
      <c r="B154" s="380" t="s">
        <v>1172</v>
      </c>
      <c r="C154" s="381" t="s">
        <v>2085</v>
      </c>
      <c r="D154" s="380" t="s">
        <v>2086</v>
      </c>
      <c r="E154" s="382" t="s">
        <v>2087</v>
      </c>
      <c r="F154" s="282" t="s">
        <v>2088</v>
      </c>
      <c r="G154" s="282" t="s">
        <v>1956</v>
      </c>
      <c r="J154" s="282" t="s">
        <v>1550</v>
      </c>
    </row>
    <row r="155" spans="1:10" ht="14.4" hidden="1">
      <c r="A155" s="380" t="s">
        <v>1174</v>
      </c>
      <c r="B155" s="380" t="s">
        <v>1172</v>
      </c>
      <c r="C155" s="381" t="s">
        <v>2089</v>
      </c>
      <c r="D155" s="380" t="s">
        <v>2090</v>
      </c>
      <c r="E155" s="382" t="s">
        <v>2091</v>
      </c>
      <c r="F155" s="282" t="s">
        <v>2092</v>
      </c>
      <c r="G155" s="282" t="s">
        <v>1956</v>
      </c>
      <c r="J155" s="282" t="s">
        <v>1550</v>
      </c>
    </row>
    <row r="156" spans="1:10" ht="14.4" hidden="1">
      <c r="A156" s="380" t="s">
        <v>1174</v>
      </c>
      <c r="B156" s="380" t="s">
        <v>1172</v>
      </c>
      <c r="C156" s="381" t="s">
        <v>2093</v>
      </c>
      <c r="D156" s="380" t="s">
        <v>2094</v>
      </c>
      <c r="E156" s="382" t="s">
        <v>2095</v>
      </c>
      <c r="F156" s="282" t="s">
        <v>2096</v>
      </c>
      <c r="G156" s="282" t="s">
        <v>1956</v>
      </c>
      <c r="J156" s="282" t="s">
        <v>1550</v>
      </c>
    </row>
    <row r="157" spans="1:10" ht="14.4" hidden="1">
      <c r="A157" s="380" t="s">
        <v>1174</v>
      </c>
      <c r="B157" s="380" t="s">
        <v>1172</v>
      </c>
      <c r="C157" s="381" t="s">
        <v>2097</v>
      </c>
      <c r="D157" s="380" t="s">
        <v>2098</v>
      </c>
      <c r="E157" s="382" t="s">
        <v>2099</v>
      </c>
      <c r="F157" s="282" t="s">
        <v>2100</v>
      </c>
      <c r="G157" s="282" t="s">
        <v>1956</v>
      </c>
      <c r="J157" s="282" t="s">
        <v>1550</v>
      </c>
    </row>
    <row r="158" spans="1:10" ht="14.4" hidden="1">
      <c r="A158" s="380" t="s">
        <v>1174</v>
      </c>
      <c r="B158" s="380" t="s">
        <v>1172</v>
      </c>
      <c r="C158" s="381" t="s">
        <v>2101</v>
      </c>
      <c r="D158" s="380" t="s">
        <v>2102</v>
      </c>
      <c r="E158" s="382" t="s">
        <v>2103</v>
      </c>
      <c r="F158" s="282" t="s">
        <v>2104</v>
      </c>
      <c r="G158" s="282" t="s">
        <v>1956</v>
      </c>
      <c r="J158" s="282" t="s">
        <v>1550</v>
      </c>
    </row>
    <row r="159" spans="1:10" ht="14.4" hidden="1">
      <c r="A159" s="380" t="s">
        <v>1174</v>
      </c>
      <c r="B159" s="380" t="s">
        <v>1172</v>
      </c>
      <c r="C159" s="381" t="s">
        <v>2105</v>
      </c>
      <c r="D159" s="380" t="s">
        <v>2106</v>
      </c>
      <c r="E159" s="382" t="s">
        <v>2107</v>
      </c>
      <c r="F159" s="282" t="s">
        <v>2108</v>
      </c>
      <c r="G159" s="282" t="s">
        <v>1956</v>
      </c>
      <c r="J159" s="282" t="s">
        <v>1550</v>
      </c>
    </row>
    <row r="160" spans="1:10" ht="14.4" hidden="1">
      <c r="A160" s="380" t="s">
        <v>1174</v>
      </c>
      <c r="B160" s="380" t="s">
        <v>1172</v>
      </c>
      <c r="C160" s="381" t="s">
        <v>2109</v>
      </c>
      <c r="D160" s="380" t="s">
        <v>2110</v>
      </c>
      <c r="E160" s="382" t="s">
        <v>2111</v>
      </c>
      <c r="F160" s="282" t="s">
        <v>2112</v>
      </c>
      <c r="G160" s="282" t="s">
        <v>2113</v>
      </c>
      <c r="J160" s="282" t="s">
        <v>1550</v>
      </c>
    </row>
    <row r="161" spans="1:10" ht="14.4" hidden="1">
      <c r="A161" s="380" t="s">
        <v>1174</v>
      </c>
      <c r="B161" s="380" t="s">
        <v>1172</v>
      </c>
      <c r="C161" s="381" t="s">
        <v>2114</v>
      </c>
      <c r="D161" s="380" t="s">
        <v>2115</v>
      </c>
      <c r="E161" s="382" t="s">
        <v>2116</v>
      </c>
      <c r="F161" s="282" t="s">
        <v>2117</v>
      </c>
      <c r="G161" s="282" t="s">
        <v>2113</v>
      </c>
      <c r="J161" s="282" t="s">
        <v>1550</v>
      </c>
    </row>
    <row r="162" spans="1:10" ht="14.4" hidden="1">
      <c r="A162" s="380" t="s">
        <v>1174</v>
      </c>
      <c r="B162" s="380" t="s">
        <v>1172</v>
      </c>
      <c r="C162" s="381" t="s">
        <v>2118</v>
      </c>
      <c r="D162" s="380" t="s">
        <v>2119</v>
      </c>
      <c r="E162" s="382" t="s">
        <v>2120</v>
      </c>
      <c r="F162" s="282" t="s">
        <v>2113</v>
      </c>
      <c r="G162" s="282" t="s">
        <v>2113</v>
      </c>
      <c r="H162" s="282" t="s">
        <v>1548</v>
      </c>
      <c r="J162" s="282" t="s">
        <v>1550</v>
      </c>
    </row>
    <row r="163" spans="1:10" ht="14.4" hidden="1">
      <c r="A163" s="380" t="s">
        <v>1174</v>
      </c>
      <c r="B163" s="380" t="s">
        <v>1172</v>
      </c>
      <c r="C163" s="381" t="s">
        <v>2121</v>
      </c>
      <c r="D163" s="380" t="s">
        <v>2119</v>
      </c>
      <c r="E163" s="382" t="s">
        <v>2120</v>
      </c>
      <c r="F163" s="282" t="s">
        <v>2122</v>
      </c>
      <c r="G163" s="282" t="s">
        <v>2113</v>
      </c>
      <c r="J163" s="282" t="s">
        <v>1550</v>
      </c>
    </row>
    <row r="164" spans="1:10" ht="14.4" hidden="1">
      <c r="A164" s="380" t="s">
        <v>1174</v>
      </c>
      <c r="B164" s="380" t="s">
        <v>1172</v>
      </c>
      <c r="C164" s="381" t="s">
        <v>2123</v>
      </c>
      <c r="D164" s="380" t="s">
        <v>2119</v>
      </c>
      <c r="E164" s="382" t="s">
        <v>2120</v>
      </c>
      <c r="F164" s="282" t="s">
        <v>2124</v>
      </c>
      <c r="G164" s="282" t="s">
        <v>2113</v>
      </c>
      <c r="J164" s="282" t="s">
        <v>1550</v>
      </c>
    </row>
    <row r="165" spans="1:10" ht="14.4" hidden="1">
      <c r="A165" s="380" t="s">
        <v>1174</v>
      </c>
      <c r="B165" s="380" t="s">
        <v>1172</v>
      </c>
      <c r="C165" s="381" t="s">
        <v>2125</v>
      </c>
      <c r="D165" s="380" t="s">
        <v>2119</v>
      </c>
      <c r="E165" s="382" t="s">
        <v>2120</v>
      </c>
      <c r="F165" s="282" t="s">
        <v>2126</v>
      </c>
      <c r="G165" s="282" t="s">
        <v>2113</v>
      </c>
      <c r="J165" s="282" t="s">
        <v>1550</v>
      </c>
    </row>
    <row r="166" spans="1:10" ht="14.4" hidden="1">
      <c r="A166" s="380" t="s">
        <v>1174</v>
      </c>
      <c r="B166" s="380" t="s">
        <v>1172</v>
      </c>
      <c r="C166" s="381" t="s">
        <v>2127</v>
      </c>
      <c r="D166" s="380" t="s">
        <v>2128</v>
      </c>
      <c r="E166" s="382" t="s">
        <v>2129</v>
      </c>
      <c r="F166" s="282" t="s">
        <v>2130</v>
      </c>
      <c r="G166" s="282" t="s">
        <v>2113</v>
      </c>
      <c r="J166" s="282" t="s">
        <v>1550</v>
      </c>
    </row>
    <row r="167" spans="1:10" ht="14.4" hidden="1">
      <c r="A167" s="380" t="s">
        <v>1174</v>
      </c>
      <c r="B167" s="380" t="s">
        <v>1172</v>
      </c>
      <c r="C167" s="381" t="s">
        <v>2131</v>
      </c>
      <c r="D167" s="380" t="s">
        <v>2132</v>
      </c>
      <c r="E167" s="382" t="s">
        <v>2133</v>
      </c>
      <c r="F167" s="282" t="s">
        <v>2134</v>
      </c>
      <c r="G167" s="282" t="s">
        <v>2113</v>
      </c>
      <c r="J167" s="282" t="s">
        <v>1550</v>
      </c>
    </row>
    <row r="168" spans="1:10" ht="14.4" hidden="1">
      <c r="A168" s="380" t="s">
        <v>1174</v>
      </c>
      <c r="B168" s="380" t="s">
        <v>1172</v>
      </c>
      <c r="C168" s="381" t="s">
        <v>2135</v>
      </c>
      <c r="D168" s="380" t="s">
        <v>2136</v>
      </c>
      <c r="E168" s="382" t="s">
        <v>2137</v>
      </c>
      <c r="F168" s="282" t="s">
        <v>2138</v>
      </c>
      <c r="G168" s="282" t="s">
        <v>2113</v>
      </c>
      <c r="J168" s="282" t="s">
        <v>1550</v>
      </c>
    </row>
    <row r="169" spans="1:10" ht="14.4" hidden="1">
      <c r="A169" s="380" t="s">
        <v>1174</v>
      </c>
      <c r="B169" s="380" t="s">
        <v>1172</v>
      </c>
      <c r="C169" s="381" t="s">
        <v>2139</v>
      </c>
      <c r="D169" s="380" t="s">
        <v>2140</v>
      </c>
      <c r="E169" s="382" t="s">
        <v>2141</v>
      </c>
      <c r="F169" s="282" t="s">
        <v>2142</v>
      </c>
      <c r="G169" s="282" t="s">
        <v>2113</v>
      </c>
      <c r="J169" s="282" t="s">
        <v>1550</v>
      </c>
    </row>
    <row r="170" spans="1:10" ht="14.4" hidden="1">
      <c r="A170" s="380" t="s">
        <v>1174</v>
      </c>
      <c r="B170" s="380" t="s">
        <v>1172</v>
      </c>
      <c r="C170" s="381" t="s">
        <v>2143</v>
      </c>
      <c r="D170" s="380" t="s">
        <v>2144</v>
      </c>
      <c r="E170" s="382" t="s">
        <v>2145</v>
      </c>
      <c r="F170" s="282" t="s">
        <v>2146</v>
      </c>
      <c r="G170" s="282" t="s">
        <v>2113</v>
      </c>
      <c r="J170" s="282" t="s">
        <v>1550</v>
      </c>
    </row>
    <row r="171" spans="1:10" ht="14.4" hidden="1">
      <c r="A171" s="380" t="s">
        <v>1174</v>
      </c>
      <c r="B171" s="380" t="s">
        <v>1172</v>
      </c>
      <c r="C171" s="381" t="s">
        <v>2147</v>
      </c>
      <c r="D171" s="380" t="s">
        <v>2148</v>
      </c>
      <c r="E171" s="382" t="s">
        <v>2149</v>
      </c>
      <c r="F171" s="282" t="s">
        <v>2150</v>
      </c>
      <c r="G171" s="282" t="s">
        <v>2113</v>
      </c>
      <c r="J171" s="282" t="s">
        <v>1550</v>
      </c>
    </row>
    <row r="172" spans="1:10" ht="14.4" hidden="1">
      <c r="A172" s="380" t="s">
        <v>1174</v>
      </c>
      <c r="B172" s="380" t="s">
        <v>1172</v>
      </c>
      <c r="C172" s="381" t="s">
        <v>2151</v>
      </c>
      <c r="D172" s="380" t="s">
        <v>2152</v>
      </c>
      <c r="E172" s="382" t="s">
        <v>2153</v>
      </c>
      <c r="F172" s="282" t="s">
        <v>2154</v>
      </c>
      <c r="G172" s="282" t="s">
        <v>2155</v>
      </c>
      <c r="J172" s="282" t="s">
        <v>1550</v>
      </c>
    </row>
    <row r="173" spans="1:10" ht="14.4" hidden="1">
      <c r="A173" s="380" t="s">
        <v>1174</v>
      </c>
      <c r="B173" s="380" t="s">
        <v>1172</v>
      </c>
      <c r="C173" s="381" t="s">
        <v>2156</v>
      </c>
      <c r="D173" s="380" t="s">
        <v>2152</v>
      </c>
      <c r="E173" s="382" t="s">
        <v>2153</v>
      </c>
      <c r="F173" s="282" t="s">
        <v>2157</v>
      </c>
      <c r="G173" s="282" t="s">
        <v>2155</v>
      </c>
      <c r="J173" s="282" t="s">
        <v>1550</v>
      </c>
    </row>
    <row r="174" spans="1:10" ht="14.4" hidden="1">
      <c r="A174" s="380" t="s">
        <v>1174</v>
      </c>
      <c r="B174" s="380" t="s">
        <v>1172</v>
      </c>
      <c r="C174" s="381" t="s">
        <v>2158</v>
      </c>
      <c r="D174" s="380" t="s">
        <v>2152</v>
      </c>
      <c r="E174" s="382" t="s">
        <v>2153</v>
      </c>
      <c r="F174" s="282" t="s">
        <v>2159</v>
      </c>
      <c r="G174" s="282" t="s">
        <v>2155</v>
      </c>
      <c r="J174" s="282" t="s">
        <v>1550</v>
      </c>
    </row>
    <row r="175" spans="1:10" ht="14.4" hidden="1">
      <c r="A175" s="380" t="s">
        <v>1174</v>
      </c>
      <c r="B175" s="380" t="s">
        <v>1172</v>
      </c>
      <c r="C175" s="381" t="s">
        <v>2160</v>
      </c>
      <c r="D175" s="380" t="s">
        <v>2161</v>
      </c>
      <c r="E175" s="382" t="s">
        <v>2162</v>
      </c>
      <c r="F175" s="282" t="s">
        <v>2163</v>
      </c>
      <c r="G175" s="282" t="s">
        <v>2155</v>
      </c>
      <c r="J175" s="282" t="s">
        <v>1550</v>
      </c>
    </row>
    <row r="176" spans="1:10" ht="14.4" hidden="1">
      <c r="A176" s="380" t="s">
        <v>1174</v>
      </c>
      <c r="B176" s="380" t="s">
        <v>1172</v>
      </c>
      <c r="C176" s="381" t="s">
        <v>2164</v>
      </c>
      <c r="D176" s="380" t="s">
        <v>2165</v>
      </c>
      <c r="E176" s="382" t="s">
        <v>2166</v>
      </c>
      <c r="F176" s="282" t="s">
        <v>2167</v>
      </c>
      <c r="G176" s="282" t="s">
        <v>2155</v>
      </c>
      <c r="J176" s="282" t="s">
        <v>1550</v>
      </c>
    </row>
    <row r="177" spans="1:10" ht="14.4" hidden="1">
      <c r="A177" s="380" t="s">
        <v>1174</v>
      </c>
      <c r="B177" s="380" t="s">
        <v>1172</v>
      </c>
      <c r="C177" s="381" t="s">
        <v>2168</v>
      </c>
      <c r="D177" s="380" t="s">
        <v>2169</v>
      </c>
      <c r="E177" s="382" t="s">
        <v>2170</v>
      </c>
      <c r="F177" s="282" t="s">
        <v>2171</v>
      </c>
      <c r="G177" s="282" t="s">
        <v>2155</v>
      </c>
      <c r="J177" s="282" t="s">
        <v>1550</v>
      </c>
    </row>
    <row r="178" spans="1:10" ht="14.4" hidden="1">
      <c r="A178" s="380" t="s">
        <v>1174</v>
      </c>
      <c r="B178" s="380" t="s">
        <v>1172</v>
      </c>
      <c r="C178" s="381" t="s">
        <v>2172</v>
      </c>
      <c r="D178" s="380" t="s">
        <v>2169</v>
      </c>
      <c r="E178" s="382" t="s">
        <v>2170</v>
      </c>
      <c r="F178" s="282" t="s">
        <v>2173</v>
      </c>
      <c r="G178" s="282" t="s">
        <v>2155</v>
      </c>
      <c r="J178" s="282" t="s">
        <v>1550</v>
      </c>
    </row>
    <row r="179" spans="1:10" ht="14.4" hidden="1">
      <c r="A179" s="380" t="s">
        <v>1174</v>
      </c>
      <c r="B179" s="380" t="s">
        <v>1172</v>
      </c>
      <c r="C179" s="381" t="s">
        <v>2174</v>
      </c>
      <c r="D179" s="380" t="s">
        <v>2169</v>
      </c>
      <c r="E179" s="382" t="s">
        <v>2170</v>
      </c>
      <c r="F179" s="282" t="s">
        <v>2175</v>
      </c>
      <c r="G179" s="282" t="s">
        <v>2155</v>
      </c>
      <c r="J179" s="282" t="s">
        <v>1550</v>
      </c>
    </row>
    <row r="180" spans="1:10" ht="14.4" hidden="1">
      <c r="A180" s="380" t="s">
        <v>1174</v>
      </c>
      <c r="B180" s="380" t="s">
        <v>1172</v>
      </c>
      <c r="C180" s="381" t="s">
        <v>2176</v>
      </c>
      <c r="D180" s="380" t="s">
        <v>2169</v>
      </c>
      <c r="E180" s="382" t="s">
        <v>2170</v>
      </c>
      <c r="F180" s="282" t="s">
        <v>2177</v>
      </c>
      <c r="G180" s="282" t="s">
        <v>2155</v>
      </c>
      <c r="H180" s="282" t="s">
        <v>1548</v>
      </c>
      <c r="J180" s="282" t="s">
        <v>1550</v>
      </c>
    </row>
    <row r="181" spans="1:10" ht="14.4" hidden="1">
      <c r="A181" s="380" t="s">
        <v>1174</v>
      </c>
      <c r="B181" s="380" t="s">
        <v>1172</v>
      </c>
      <c r="C181" s="381" t="s">
        <v>2178</v>
      </c>
      <c r="D181" s="380" t="s">
        <v>2169</v>
      </c>
      <c r="E181" s="382" t="s">
        <v>2170</v>
      </c>
      <c r="F181" s="282" t="s">
        <v>2179</v>
      </c>
      <c r="G181" s="282" t="s">
        <v>2155</v>
      </c>
      <c r="J181" s="282" t="s">
        <v>1550</v>
      </c>
    </row>
    <row r="182" spans="1:10" ht="14.4" hidden="1">
      <c r="A182" s="380" t="s">
        <v>1174</v>
      </c>
      <c r="B182" s="380" t="s">
        <v>1172</v>
      </c>
      <c r="C182" s="381" t="s">
        <v>2180</v>
      </c>
      <c r="D182" s="380" t="s">
        <v>2169</v>
      </c>
      <c r="E182" s="382" t="s">
        <v>2170</v>
      </c>
      <c r="F182" s="282" t="s">
        <v>2181</v>
      </c>
      <c r="G182" s="282" t="s">
        <v>2155</v>
      </c>
      <c r="J182" s="282" t="s">
        <v>1550</v>
      </c>
    </row>
    <row r="183" spans="1:10" ht="14.4" hidden="1">
      <c r="A183" s="380" t="s">
        <v>1174</v>
      </c>
      <c r="B183" s="380" t="s">
        <v>1172</v>
      </c>
      <c r="C183" s="381" t="s">
        <v>2182</v>
      </c>
      <c r="D183" s="380" t="s">
        <v>2169</v>
      </c>
      <c r="E183" s="382" t="s">
        <v>2170</v>
      </c>
      <c r="F183" s="282" t="s">
        <v>2183</v>
      </c>
      <c r="G183" s="282" t="s">
        <v>2155</v>
      </c>
      <c r="J183" s="282" t="s">
        <v>1550</v>
      </c>
    </row>
    <row r="184" spans="1:10" ht="14.4" hidden="1">
      <c r="A184" s="380" t="s">
        <v>1174</v>
      </c>
      <c r="B184" s="380" t="s">
        <v>1172</v>
      </c>
      <c r="C184" s="381" t="s">
        <v>2184</v>
      </c>
      <c r="D184" s="380" t="s">
        <v>2169</v>
      </c>
      <c r="E184" s="382" t="s">
        <v>2170</v>
      </c>
      <c r="F184" s="282" t="s">
        <v>2185</v>
      </c>
      <c r="G184" s="282" t="s">
        <v>2155</v>
      </c>
      <c r="J184" s="282" t="s">
        <v>1550</v>
      </c>
    </row>
    <row r="185" spans="1:10" ht="14.4" hidden="1">
      <c r="A185" s="380" t="s">
        <v>1174</v>
      </c>
      <c r="B185" s="380" t="s">
        <v>1172</v>
      </c>
      <c r="C185" s="381" t="s">
        <v>2186</v>
      </c>
      <c r="D185" s="380" t="s">
        <v>2169</v>
      </c>
      <c r="E185" s="382" t="s">
        <v>2170</v>
      </c>
      <c r="F185" s="282" t="s">
        <v>2187</v>
      </c>
      <c r="G185" s="282" t="s">
        <v>2155</v>
      </c>
      <c r="J185" s="282" t="s">
        <v>1550</v>
      </c>
    </row>
    <row r="186" spans="1:10" ht="14.4" hidden="1">
      <c r="A186" s="380" t="s">
        <v>1174</v>
      </c>
      <c r="B186" s="380" t="s">
        <v>1172</v>
      </c>
      <c r="C186" s="381" t="s">
        <v>2188</v>
      </c>
      <c r="D186" s="380" t="s">
        <v>2169</v>
      </c>
      <c r="E186" s="382" t="s">
        <v>2170</v>
      </c>
      <c r="F186" s="282" t="s">
        <v>2189</v>
      </c>
      <c r="G186" s="282" t="s">
        <v>2155</v>
      </c>
      <c r="J186" s="282" t="s">
        <v>1550</v>
      </c>
    </row>
    <row r="187" spans="1:10" ht="14.4" hidden="1">
      <c r="A187" s="380" t="s">
        <v>1174</v>
      </c>
      <c r="B187" s="380" t="s">
        <v>1172</v>
      </c>
      <c r="C187" s="381" t="s">
        <v>2190</v>
      </c>
      <c r="D187" s="380" t="s">
        <v>2191</v>
      </c>
      <c r="E187" s="382" t="s">
        <v>2192</v>
      </c>
      <c r="F187" s="282" t="s">
        <v>2193</v>
      </c>
      <c r="G187" s="282" t="s">
        <v>2155</v>
      </c>
      <c r="H187" s="282" t="s">
        <v>1548</v>
      </c>
      <c r="J187" s="282" t="s">
        <v>1550</v>
      </c>
    </row>
    <row r="188" spans="1:10" ht="14.4" hidden="1">
      <c r="A188" s="380" t="s">
        <v>1174</v>
      </c>
      <c r="B188" s="380" t="s">
        <v>1172</v>
      </c>
      <c r="C188" s="381" t="s">
        <v>2194</v>
      </c>
      <c r="D188" s="380" t="s">
        <v>2195</v>
      </c>
      <c r="E188" s="382" t="s">
        <v>2196</v>
      </c>
      <c r="F188" s="282" t="s">
        <v>2197</v>
      </c>
      <c r="G188" s="282" t="s">
        <v>2155</v>
      </c>
      <c r="J188" s="282" t="s">
        <v>1550</v>
      </c>
    </row>
    <row r="189" spans="1:10" ht="14.4" hidden="1">
      <c r="A189" s="380" t="s">
        <v>1174</v>
      </c>
      <c r="B189" s="380" t="s">
        <v>1172</v>
      </c>
      <c r="C189" s="381" t="s">
        <v>2198</v>
      </c>
      <c r="D189" s="380" t="s">
        <v>2199</v>
      </c>
      <c r="E189" s="382" t="s">
        <v>2200</v>
      </c>
      <c r="F189" s="282" t="s">
        <v>2201</v>
      </c>
      <c r="G189" s="282" t="s">
        <v>2155</v>
      </c>
      <c r="J189" s="282" t="s">
        <v>1550</v>
      </c>
    </row>
    <row r="190" spans="1:10" ht="14.4" hidden="1">
      <c r="A190" s="380" t="s">
        <v>1174</v>
      </c>
      <c r="B190" s="380" t="s">
        <v>1172</v>
      </c>
      <c r="C190" s="381" t="s">
        <v>2202</v>
      </c>
      <c r="D190" s="380" t="s">
        <v>2203</v>
      </c>
      <c r="E190" s="382" t="s">
        <v>2204</v>
      </c>
      <c r="F190" s="282" t="s">
        <v>2205</v>
      </c>
      <c r="G190" s="282" t="s">
        <v>2155</v>
      </c>
      <c r="J190" s="282" t="s">
        <v>1550</v>
      </c>
    </row>
    <row r="191" spans="1:10" ht="14.4" hidden="1">
      <c r="A191" s="380" t="s">
        <v>1174</v>
      </c>
      <c r="B191" s="380" t="s">
        <v>1172</v>
      </c>
      <c r="C191" s="381" t="s">
        <v>2206</v>
      </c>
      <c r="D191" s="380" t="s">
        <v>2207</v>
      </c>
      <c r="E191" s="382" t="s">
        <v>2208</v>
      </c>
      <c r="F191" s="282" t="s">
        <v>2209</v>
      </c>
      <c r="G191" s="282" t="s">
        <v>2155</v>
      </c>
      <c r="J191" s="282" t="s">
        <v>1550</v>
      </c>
    </row>
    <row r="192" spans="1:10" ht="14.4" hidden="1">
      <c r="A192" s="380" t="s">
        <v>1174</v>
      </c>
      <c r="B192" s="380" t="s">
        <v>1172</v>
      </c>
      <c r="C192" s="381" t="s">
        <v>2210</v>
      </c>
      <c r="D192" s="380" t="s">
        <v>2211</v>
      </c>
      <c r="E192" s="382" t="s">
        <v>2212</v>
      </c>
      <c r="F192" s="282" t="s">
        <v>2213</v>
      </c>
      <c r="G192" s="282" t="s">
        <v>2155</v>
      </c>
      <c r="J192" s="282" t="s">
        <v>1550</v>
      </c>
    </row>
    <row r="193" spans="1:10" ht="14.4" hidden="1">
      <c r="A193" s="380" t="s">
        <v>1174</v>
      </c>
      <c r="B193" s="380" t="s">
        <v>1172</v>
      </c>
      <c r="C193" s="381" t="s">
        <v>2214</v>
      </c>
      <c r="D193" s="380" t="s">
        <v>2215</v>
      </c>
      <c r="E193" s="382" t="s">
        <v>2216</v>
      </c>
      <c r="F193" s="282" t="s">
        <v>2217</v>
      </c>
      <c r="G193" s="282" t="s">
        <v>2155</v>
      </c>
      <c r="J193" s="282" t="s">
        <v>1550</v>
      </c>
    </row>
    <row r="194" spans="1:10" ht="14.4" hidden="1">
      <c r="A194" s="380" t="s">
        <v>1174</v>
      </c>
      <c r="B194" s="380" t="s">
        <v>1172</v>
      </c>
      <c r="C194" s="381" t="s">
        <v>2218</v>
      </c>
      <c r="D194" s="380" t="s">
        <v>2219</v>
      </c>
      <c r="E194" s="382" t="s">
        <v>2220</v>
      </c>
      <c r="F194" s="282" t="s">
        <v>2221</v>
      </c>
      <c r="G194" s="282" t="s">
        <v>2155</v>
      </c>
      <c r="J194" s="282" t="s">
        <v>1550</v>
      </c>
    </row>
    <row r="195" spans="1:10" ht="14.4" hidden="1">
      <c r="A195" s="380" t="s">
        <v>1174</v>
      </c>
      <c r="B195" s="380" t="s">
        <v>1172</v>
      </c>
      <c r="C195" s="381" t="s">
        <v>2222</v>
      </c>
      <c r="D195" s="380" t="s">
        <v>2223</v>
      </c>
      <c r="E195" s="382" t="s">
        <v>2224</v>
      </c>
      <c r="F195" s="282" t="s">
        <v>2225</v>
      </c>
      <c r="G195" s="282" t="s">
        <v>2155</v>
      </c>
      <c r="J195" s="282" t="s">
        <v>1550</v>
      </c>
    </row>
    <row r="196" spans="1:10" ht="14.4" hidden="1">
      <c r="A196" s="380" t="s">
        <v>1174</v>
      </c>
      <c r="B196" s="380" t="s">
        <v>1172</v>
      </c>
      <c r="C196" s="381" t="s">
        <v>2226</v>
      </c>
      <c r="D196" s="380" t="s">
        <v>2227</v>
      </c>
      <c r="E196" s="382" t="s">
        <v>2228</v>
      </c>
      <c r="F196" s="282" t="s">
        <v>2229</v>
      </c>
      <c r="G196" s="282" t="s">
        <v>2155</v>
      </c>
      <c r="J196" s="282" t="s">
        <v>1550</v>
      </c>
    </row>
    <row r="197" spans="1:10" ht="14.4" hidden="1">
      <c r="A197" s="380" t="s">
        <v>1174</v>
      </c>
      <c r="B197" s="380" t="s">
        <v>1172</v>
      </c>
      <c r="C197" s="381" t="s">
        <v>2230</v>
      </c>
      <c r="D197" s="380" t="s">
        <v>2231</v>
      </c>
      <c r="E197" s="382" t="s">
        <v>2232</v>
      </c>
      <c r="F197" s="282" t="s">
        <v>2233</v>
      </c>
      <c r="G197" s="282" t="s">
        <v>2233</v>
      </c>
      <c r="J197" s="282" t="s">
        <v>1550</v>
      </c>
    </row>
    <row r="198" spans="1:10" ht="14.4" hidden="1">
      <c r="A198" s="380" t="s">
        <v>1174</v>
      </c>
      <c r="B198" s="380" t="s">
        <v>1172</v>
      </c>
      <c r="C198" s="381" t="s">
        <v>2234</v>
      </c>
      <c r="D198" s="380" t="s">
        <v>2235</v>
      </c>
      <c r="E198" s="382" t="s">
        <v>2236</v>
      </c>
      <c r="F198" s="282" t="s">
        <v>2237</v>
      </c>
      <c r="G198" s="282" t="s">
        <v>2238</v>
      </c>
      <c r="J198" s="282" t="s">
        <v>1550</v>
      </c>
    </row>
    <row r="199" spans="1:10" ht="14.4" hidden="1">
      <c r="A199" s="380" t="s">
        <v>1174</v>
      </c>
      <c r="B199" s="380" t="s">
        <v>1172</v>
      </c>
      <c r="C199" s="381" t="s">
        <v>2239</v>
      </c>
      <c r="D199" s="380" t="s">
        <v>2240</v>
      </c>
      <c r="E199" s="382" t="s">
        <v>2241</v>
      </c>
      <c r="F199" s="282" t="s">
        <v>2242</v>
      </c>
      <c r="G199" s="282" t="s">
        <v>2238</v>
      </c>
      <c r="J199" s="282" t="s">
        <v>1550</v>
      </c>
    </row>
    <row r="200" spans="1:10" ht="14.4" hidden="1">
      <c r="A200" s="380" t="s">
        <v>1174</v>
      </c>
      <c r="B200" s="380" t="s">
        <v>1172</v>
      </c>
      <c r="C200" s="381" t="s">
        <v>2243</v>
      </c>
      <c r="D200" s="380" t="s">
        <v>2240</v>
      </c>
      <c r="E200" s="382" t="s">
        <v>2241</v>
      </c>
      <c r="F200" s="282" t="s">
        <v>2244</v>
      </c>
      <c r="G200" s="282" t="s">
        <v>2238</v>
      </c>
      <c r="J200" s="282" t="s">
        <v>1550</v>
      </c>
    </row>
    <row r="201" spans="1:10" ht="14.4" hidden="1">
      <c r="A201" s="380" t="s">
        <v>1174</v>
      </c>
      <c r="B201" s="380" t="s">
        <v>1172</v>
      </c>
      <c r="C201" s="381" t="s">
        <v>2245</v>
      </c>
      <c r="D201" s="380" t="s">
        <v>2240</v>
      </c>
      <c r="E201" s="382" t="s">
        <v>2241</v>
      </c>
      <c r="F201" s="282" t="s">
        <v>2246</v>
      </c>
      <c r="G201" s="282" t="s">
        <v>2238</v>
      </c>
      <c r="H201" s="282" t="s">
        <v>1548</v>
      </c>
      <c r="I201" s="383" t="s">
        <v>2247</v>
      </c>
      <c r="J201" s="282" t="s">
        <v>1550</v>
      </c>
    </row>
    <row r="202" spans="1:10" ht="14.4" hidden="1">
      <c r="A202" s="380" t="s">
        <v>1174</v>
      </c>
      <c r="B202" s="380" t="s">
        <v>1172</v>
      </c>
      <c r="C202" s="381" t="s">
        <v>2248</v>
      </c>
      <c r="D202" s="380" t="s">
        <v>2240</v>
      </c>
      <c r="E202" s="382" t="s">
        <v>2241</v>
      </c>
      <c r="F202" s="282" t="s">
        <v>2249</v>
      </c>
      <c r="G202" s="282" t="s">
        <v>2238</v>
      </c>
      <c r="J202" s="282" t="s">
        <v>1550</v>
      </c>
    </row>
    <row r="203" spans="1:10" ht="14.4" hidden="1">
      <c r="A203" s="380" t="s">
        <v>1174</v>
      </c>
      <c r="B203" s="380" t="s">
        <v>1172</v>
      </c>
      <c r="C203" s="381" t="s">
        <v>2250</v>
      </c>
      <c r="D203" s="380" t="s">
        <v>2240</v>
      </c>
      <c r="E203" s="382" t="s">
        <v>2241</v>
      </c>
      <c r="F203" s="282" t="s">
        <v>2251</v>
      </c>
      <c r="G203" s="282" t="s">
        <v>2238</v>
      </c>
      <c r="J203" s="282" t="s">
        <v>1550</v>
      </c>
    </row>
    <row r="204" spans="1:10" ht="14.4" hidden="1">
      <c r="A204" s="380" t="s">
        <v>1174</v>
      </c>
      <c r="B204" s="380" t="s">
        <v>1172</v>
      </c>
      <c r="C204" s="381" t="s">
        <v>2252</v>
      </c>
      <c r="D204" s="380" t="s">
        <v>2253</v>
      </c>
      <c r="E204" s="382" t="s">
        <v>2254</v>
      </c>
      <c r="F204" s="282" t="s">
        <v>2255</v>
      </c>
      <c r="G204" s="282" t="s">
        <v>2238</v>
      </c>
      <c r="H204" s="282" t="s">
        <v>1548</v>
      </c>
      <c r="J204" s="282" t="s">
        <v>1550</v>
      </c>
    </row>
    <row r="205" spans="1:10" ht="14.4" hidden="1">
      <c r="A205" s="380" t="s">
        <v>1174</v>
      </c>
      <c r="B205" s="380" t="s">
        <v>1172</v>
      </c>
      <c r="C205" s="381" t="s">
        <v>2256</v>
      </c>
      <c r="D205" s="380" t="s">
        <v>2257</v>
      </c>
      <c r="E205" s="382" t="s">
        <v>2258</v>
      </c>
      <c r="F205" s="282" t="s">
        <v>2259</v>
      </c>
      <c r="G205" s="282" t="s">
        <v>2238</v>
      </c>
      <c r="J205" s="282" t="s">
        <v>1550</v>
      </c>
    </row>
    <row r="206" spans="1:10" ht="14.4" hidden="1">
      <c r="A206" s="380" t="s">
        <v>1174</v>
      </c>
      <c r="B206" s="380" t="s">
        <v>1172</v>
      </c>
      <c r="C206" s="381" t="s">
        <v>2260</v>
      </c>
      <c r="D206" s="380" t="s">
        <v>2261</v>
      </c>
      <c r="E206" s="382" t="s">
        <v>2262</v>
      </c>
      <c r="F206" s="282" t="s">
        <v>2263</v>
      </c>
      <c r="G206" s="282" t="s">
        <v>2238</v>
      </c>
      <c r="J206" s="282" t="s">
        <v>1550</v>
      </c>
    </row>
    <row r="207" spans="1:10" ht="14.4" hidden="1">
      <c r="A207" s="380" t="s">
        <v>1174</v>
      </c>
      <c r="B207" s="380" t="s">
        <v>1172</v>
      </c>
      <c r="C207" s="381" t="s">
        <v>2264</v>
      </c>
      <c r="D207" s="380" t="s">
        <v>2265</v>
      </c>
      <c r="E207" s="382" t="s">
        <v>2266</v>
      </c>
      <c r="F207" s="282" t="s">
        <v>2267</v>
      </c>
      <c r="G207" s="282" t="s">
        <v>2238</v>
      </c>
      <c r="J207" s="282" t="s">
        <v>1550</v>
      </c>
    </row>
    <row r="208" spans="1:10" ht="14.4" hidden="1">
      <c r="A208" s="380" t="s">
        <v>1174</v>
      </c>
      <c r="B208" s="380" t="s">
        <v>1172</v>
      </c>
      <c r="C208" s="381" t="s">
        <v>2268</v>
      </c>
      <c r="D208" s="380" t="s">
        <v>2269</v>
      </c>
      <c r="E208" s="382" t="s">
        <v>2270</v>
      </c>
      <c r="F208" s="282" t="s">
        <v>2271</v>
      </c>
      <c r="G208" s="282" t="s">
        <v>2238</v>
      </c>
      <c r="J208" s="282" t="s">
        <v>1550</v>
      </c>
    </row>
    <row r="209" spans="1:10" ht="14.4" hidden="1">
      <c r="A209" s="380" t="s">
        <v>1174</v>
      </c>
      <c r="B209" s="380" t="s">
        <v>1172</v>
      </c>
      <c r="C209" s="381" t="s">
        <v>2272</v>
      </c>
      <c r="D209" s="380" t="s">
        <v>2273</v>
      </c>
      <c r="E209" s="382" t="s">
        <v>2274</v>
      </c>
      <c r="F209" s="282" t="s">
        <v>2275</v>
      </c>
      <c r="G209" s="282" t="s">
        <v>2238</v>
      </c>
      <c r="J209" s="282" t="s">
        <v>1550</v>
      </c>
    </row>
    <row r="210" spans="1:10" ht="14.4" hidden="1">
      <c r="A210" s="380" t="s">
        <v>1174</v>
      </c>
      <c r="B210" s="380" t="s">
        <v>1172</v>
      </c>
      <c r="C210" s="381" t="s">
        <v>2276</v>
      </c>
      <c r="D210" s="380" t="s">
        <v>2277</v>
      </c>
      <c r="E210" s="382" t="s">
        <v>2278</v>
      </c>
      <c r="F210" s="282" t="s">
        <v>2279</v>
      </c>
      <c r="G210" s="282" t="s">
        <v>2238</v>
      </c>
      <c r="J210" s="282" t="s">
        <v>1550</v>
      </c>
    </row>
    <row r="211" spans="1:10" ht="13.95" hidden="1" customHeight="1">
      <c r="A211" s="380" t="s">
        <v>1174</v>
      </c>
      <c r="B211" s="380" t="s">
        <v>1172</v>
      </c>
      <c r="C211" s="381" t="s">
        <v>2280</v>
      </c>
      <c r="D211" s="380" t="s">
        <v>2281</v>
      </c>
      <c r="E211" s="72" t="s">
        <v>2282</v>
      </c>
      <c r="F211" s="282" t="s">
        <v>2283</v>
      </c>
      <c r="G211" s="282" t="s">
        <v>2238</v>
      </c>
      <c r="J211" s="384" t="s">
        <v>2284</v>
      </c>
    </row>
    <row r="212" spans="1:10" ht="14.4" hidden="1">
      <c r="A212" s="380" t="s">
        <v>1174</v>
      </c>
      <c r="B212" s="380" t="s">
        <v>1172</v>
      </c>
      <c r="C212" s="381" t="s">
        <v>2285</v>
      </c>
      <c r="D212" s="380" t="s">
        <v>2286</v>
      </c>
      <c r="E212" s="382" t="s">
        <v>2287</v>
      </c>
      <c r="F212" s="282" t="s">
        <v>2288</v>
      </c>
      <c r="G212" s="282" t="s">
        <v>2289</v>
      </c>
      <c r="J212" s="282" t="s">
        <v>1550</v>
      </c>
    </row>
    <row r="213" spans="1:10" ht="14.4" hidden="1">
      <c r="A213" s="380" t="s">
        <v>1174</v>
      </c>
      <c r="B213" s="380" t="s">
        <v>1172</v>
      </c>
      <c r="C213" s="381" t="s">
        <v>2290</v>
      </c>
      <c r="D213" s="380" t="s">
        <v>2291</v>
      </c>
      <c r="E213" s="382" t="s">
        <v>2292</v>
      </c>
      <c r="F213" s="282" t="s">
        <v>2293</v>
      </c>
      <c r="G213" s="282" t="s">
        <v>2289</v>
      </c>
      <c r="J213" s="282" t="s">
        <v>1550</v>
      </c>
    </row>
    <row r="214" spans="1:10" ht="14.4" hidden="1">
      <c r="A214" s="380" t="s">
        <v>1174</v>
      </c>
      <c r="B214" s="380" t="s">
        <v>1172</v>
      </c>
      <c r="C214" s="381" t="s">
        <v>2294</v>
      </c>
      <c r="D214" s="380" t="s">
        <v>2291</v>
      </c>
      <c r="E214" s="382" t="s">
        <v>2292</v>
      </c>
      <c r="F214" s="282" t="s">
        <v>2295</v>
      </c>
      <c r="G214" s="282" t="s">
        <v>2289</v>
      </c>
      <c r="J214" s="282" t="s">
        <v>1550</v>
      </c>
    </row>
    <row r="215" spans="1:10" ht="14.4" hidden="1">
      <c r="A215" s="380" t="s">
        <v>1174</v>
      </c>
      <c r="B215" s="380" t="s">
        <v>1172</v>
      </c>
      <c r="C215" s="381" t="s">
        <v>2296</v>
      </c>
      <c r="D215" s="380" t="s">
        <v>2291</v>
      </c>
      <c r="E215" s="382" t="s">
        <v>2292</v>
      </c>
      <c r="F215" s="282" t="s">
        <v>2297</v>
      </c>
      <c r="G215" s="282" t="s">
        <v>2289</v>
      </c>
      <c r="J215" s="282" t="s">
        <v>1550</v>
      </c>
    </row>
    <row r="216" spans="1:10" ht="14.4" hidden="1">
      <c r="A216" s="380" t="s">
        <v>1174</v>
      </c>
      <c r="B216" s="380" t="s">
        <v>1172</v>
      </c>
      <c r="C216" s="381" t="s">
        <v>2298</v>
      </c>
      <c r="D216" s="380" t="s">
        <v>2291</v>
      </c>
      <c r="E216" s="382" t="s">
        <v>2292</v>
      </c>
      <c r="F216" s="282" t="s">
        <v>2289</v>
      </c>
      <c r="G216" s="282" t="s">
        <v>2289</v>
      </c>
      <c r="H216" s="282" t="s">
        <v>1548</v>
      </c>
      <c r="J216" s="282" t="s">
        <v>1550</v>
      </c>
    </row>
    <row r="217" spans="1:10" ht="14.4" hidden="1">
      <c r="A217" s="380" t="s">
        <v>1174</v>
      </c>
      <c r="B217" s="380" t="s">
        <v>1172</v>
      </c>
      <c r="C217" s="381" t="s">
        <v>2299</v>
      </c>
      <c r="D217" s="380" t="s">
        <v>2291</v>
      </c>
      <c r="E217" s="382" t="s">
        <v>2292</v>
      </c>
      <c r="F217" s="282" t="s">
        <v>2300</v>
      </c>
      <c r="G217" s="282" t="s">
        <v>2289</v>
      </c>
      <c r="J217" s="282" t="s">
        <v>1550</v>
      </c>
    </row>
    <row r="218" spans="1:10" ht="14.4" hidden="1">
      <c r="A218" s="380" t="s">
        <v>1174</v>
      </c>
      <c r="B218" s="380" t="s">
        <v>1172</v>
      </c>
      <c r="C218" s="381" t="s">
        <v>2301</v>
      </c>
      <c r="D218" s="380" t="s">
        <v>2291</v>
      </c>
      <c r="E218" s="382" t="s">
        <v>2292</v>
      </c>
      <c r="F218" s="282" t="s">
        <v>2302</v>
      </c>
      <c r="G218" s="282" t="s">
        <v>2289</v>
      </c>
      <c r="J218" s="282" t="s">
        <v>1550</v>
      </c>
    </row>
    <row r="219" spans="1:10" ht="14.4" hidden="1">
      <c r="A219" s="380" t="s">
        <v>1174</v>
      </c>
      <c r="B219" s="380" t="s">
        <v>1172</v>
      </c>
      <c r="C219" s="381" t="s">
        <v>2303</v>
      </c>
      <c r="D219" s="380" t="s">
        <v>2291</v>
      </c>
      <c r="E219" s="382" t="s">
        <v>2292</v>
      </c>
      <c r="F219" s="282" t="s">
        <v>2304</v>
      </c>
      <c r="G219" s="282" t="s">
        <v>2289</v>
      </c>
      <c r="J219" s="282" t="s">
        <v>1550</v>
      </c>
    </row>
    <row r="220" spans="1:10" ht="14.4" hidden="1">
      <c r="A220" s="380" t="s">
        <v>1174</v>
      </c>
      <c r="B220" s="380" t="s">
        <v>1172</v>
      </c>
      <c r="C220" s="381" t="s">
        <v>2305</v>
      </c>
      <c r="D220" s="380" t="s">
        <v>2291</v>
      </c>
      <c r="E220" s="382" t="s">
        <v>2292</v>
      </c>
      <c r="F220" s="282" t="s">
        <v>2306</v>
      </c>
      <c r="G220" s="282" t="s">
        <v>2289</v>
      </c>
      <c r="J220" s="282" t="s">
        <v>1550</v>
      </c>
    </row>
    <row r="221" spans="1:10" ht="14.4" hidden="1">
      <c r="A221" s="380" t="s">
        <v>1174</v>
      </c>
      <c r="B221" s="380" t="s">
        <v>1172</v>
      </c>
      <c r="C221" s="381" t="s">
        <v>2307</v>
      </c>
      <c r="D221" s="380" t="s">
        <v>2291</v>
      </c>
      <c r="E221" s="382" t="s">
        <v>2292</v>
      </c>
      <c r="F221" s="282" t="s">
        <v>2308</v>
      </c>
      <c r="G221" s="282" t="s">
        <v>2289</v>
      </c>
      <c r="J221" s="282" t="s">
        <v>1550</v>
      </c>
    </row>
    <row r="222" spans="1:10" ht="14.4" hidden="1">
      <c r="A222" s="380" t="s">
        <v>1174</v>
      </c>
      <c r="B222" s="380" t="s">
        <v>1172</v>
      </c>
      <c r="C222" s="381" t="s">
        <v>2309</v>
      </c>
      <c r="D222" s="380" t="s">
        <v>2291</v>
      </c>
      <c r="E222" s="382" t="s">
        <v>2292</v>
      </c>
      <c r="F222" s="282" t="s">
        <v>2310</v>
      </c>
      <c r="G222" s="282" t="s">
        <v>2289</v>
      </c>
      <c r="J222" s="282" t="s">
        <v>1550</v>
      </c>
    </row>
    <row r="223" spans="1:10" ht="14.4" hidden="1">
      <c r="A223" s="380" t="s">
        <v>1174</v>
      </c>
      <c r="B223" s="380" t="s">
        <v>1172</v>
      </c>
      <c r="C223" s="381" t="s">
        <v>2311</v>
      </c>
      <c r="D223" s="380" t="s">
        <v>2291</v>
      </c>
      <c r="E223" s="382" t="s">
        <v>2292</v>
      </c>
      <c r="F223" s="282" t="s">
        <v>2312</v>
      </c>
      <c r="G223" s="282" t="s">
        <v>2289</v>
      </c>
      <c r="J223" s="282" t="s">
        <v>1550</v>
      </c>
    </row>
    <row r="224" spans="1:10" ht="14.4" hidden="1">
      <c r="A224" s="380" t="s">
        <v>1174</v>
      </c>
      <c r="B224" s="380" t="s">
        <v>1172</v>
      </c>
      <c r="C224" s="381" t="s">
        <v>2313</v>
      </c>
      <c r="D224" s="380" t="s">
        <v>2291</v>
      </c>
      <c r="E224" s="382" t="s">
        <v>2292</v>
      </c>
      <c r="F224" s="282" t="s">
        <v>2314</v>
      </c>
      <c r="G224" s="282" t="s">
        <v>2289</v>
      </c>
      <c r="J224" s="282" t="s">
        <v>1550</v>
      </c>
    </row>
    <row r="225" spans="1:10" ht="14.4" hidden="1">
      <c r="A225" s="380" t="s">
        <v>1174</v>
      </c>
      <c r="B225" s="380" t="s">
        <v>1172</v>
      </c>
      <c r="C225" s="381" t="s">
        <v>2315</v>
      </c>
      <c r="D225" s="380" t="s">
        <v>2291</v>
      </c>
      <c r="E225" s="382" t="s">
        <v>2292</v>
      </c>
      <c r="F225" s="282" t="s">
        <v>2316</v>
      </c>
      <c r="G225" s="282" t="s">
        <v>2289</v>
      </c>
      <c r="J225" s="282" t="s">
        <v>1550</v>
      </c>
    </row>
    <row r="226" spans="1:10" ht="14.4" hidden="1">
      <c r="A226" s="380" t="s">
        <v>1174</v>
      </c>
      <c r="B226" s="380" t="s">
        <v>1172</v>
      </c>
      <c r="C226" s="381" t="s">
        <v>2317</v>
      </c>
      <c r="D226" s="380" t="s">
        <v>2291</v>
      </c>
      <c r="E226" s="382" t="s">
        <v>2292</v>
      </c>
      <c r="F226" s="282" t="s">
        <v>2318</v>
      </c>
      <c r="G226" s="282" t="s">
        <v>2289</v>
      </c>
      <c r="J226" s="282" t="s">
        <v>1550</v>
      </c>
    </row>
    <row r="227" spans="1:10" ht="14.4" hidden="1">
      <c r="A227" s="380" t="s">
        <v>1174</v>
      </c>
      <c r="B227" s="380" t="s">
        <v>1172</v>
      </c>
      <c r="C227" s="381" t="s">
        <v>2319</v>
      </c>
      <c r="D227" s="380" t="s">
        <v>2291</v>
      </c>
      <c r="E227" s="382" t="s">
        <v>2292</v>
      </c>
      <c r="F227" s="282" t="s">
        <v>2320</v>
      </c>
      <c r="G227" s="282" t="s">
        <v>2289</v>
      </c>
      <c r="J227" s="282" t="s">
        <v>1550</v>
      </c>
    </row>
    <row r="228" spans="1:10" ht="14.4" hidden="1">
      <c r="A228" s="380" t="s">
        <v>1174</v>
      </c>
      <c r="B228" s="380" t="s">
        <v>1172</v>
      </c>
      <c r="C228" s="381" t="s">
        <v>2321</v>
      </c>
      <c r="D228" s="380" t="s">
        <v>2291</v>
      </c>
      <c r="E228" s="382" t="s">
        <v>2292</v>
      </c>
      <c r="F228" s="282" t="s">
        <v>2322</v>
      </c>
      <c r="G228" s="282" t="s">
        <v>2289</v>
      </c>
      <c r="J228" s="282" t="s">
        <v>1550</v>
      </c>
    </row>
    <row r="229" spans="1:10" ht="14.4" hidden="1">
      <c r="A229" s="380" t="s">
        <v>1174</v>
      </c>
      <c r="B229" s="380" t="s">
        <v>1172</v>
      </c>
      <c r="C229" s="381" t="s">
        <v>2323</v>
      </c>
      <c r="D229" s="380" t="s">
        <v>2291</v>
      </c>
      <c r="E229" s="382" t="s">
        <v>2292</v>
      </c>
      <c r="F229" s="282" t="s">
        <v>2324</v>
      </c>
      <c r="G229" s="282" t="s">
        <v>2289</v>
      </c>
      <c r="J229" s="282" t="s">
        <v>1550</v>
      </c>
    </row>
    <row r="230" spans="1:10" ht="14.4" hidden="1">
      <c r="A230" s="380" t="s">
        <v>1174</v>
      </c>
      <c r="B230" s="380" t="s">
        <v>1172</v>
      </c>
      <c r="C230" s="381" t="s">
        <v>2325</v>
      </c>
      <c r="D230" s="380" t="s">
        <v>2291</v>
      </c>
      <c r="E230" s="382" t="s">
        <v>2292</v>
      </c>
      <c r="F230" s="282" t="s">
        <v>2326</v>
      </c>
      <c r="G230" s="282" t="s">
        <v>2289</v>
      </c>
      <c r="J230" s="282" t="s">
        <v>1550</v>
      </c>
    </row>
    <row r="231" spans="1:10" ht="14.4" hidden="1">
      <c r="A231" s="380" t="s">
        <v>1174</v>
      </c>
      <c r="B231" s="380" t="s">
        <v>1172</v>
      </c>
      <c r="C231" s="381" t="s">
        <v>2327</v>
      </c>
      <c r="D231" s="380" t="s">
        <v>2328</v>
      </c>
      <c r="E231" s="382" t="s">
        <v>2329</v>
      </c>
      <c r="F231" s="282" t="s">
        <v>2330</v>
      </c>
      <c r="G231" s="282" t="s">
        <v>2289</v>
      </c>
      <c r="J231" s="282" t="s">
        <v>1550</v>
      </c>
    </row>
    <row r="232" spans="1:10" ht="14.4" hidden="1">
      <c r="A232" s="380" t="s">
        <v>1174</v>
      </c>
      <c r="B232" s="380" t="s">
        <v>1172</v>
      </c>
      <c r="C232" s="381" t="s">
        <v>2331</v>
      </c>
      <c r="D232" s="380" t="s">
        <v>2332</v>
      </c>
      <c r="E232" s="382" t="s">
        <v>2333</v>
      </c>
      <c r="F232" s="282" t="s">
        <v>2334</v>
      </c>
      <c r="G232" s="282" t="s">
        <v>2289</v>
      </c>
      <c r="H232" s="282" t="s">
        <v>1548</v>
      </c>
      <c r="J232" s="282" t="s">
        <v>1550</v>
      </c>
    </row>
    <row r="233" spans="1:10" ht="14.4" hidden="1">
      <c r="A233" s="380" t="s">
        <v>1174</v>
      </c>
      <c r="B233" s="380" t="s">
        <v>1172</v>
      </c>
      <c r="C233" s="381" t="s">
        <v>2335</v>
      </c>
      <c r="D233" s="380" t="s">
        <v>2336</v>
      </c>
      <c r="E233" s="382" t="s">
        <v>2337</v>
      </c>
      <c r="F233" s="282" t="s">
        <v>2338</v>
      </c>
      <c r="G233" s="282" t="s">
        <v>2339</v>
      </c>
      <c r="J233" s="282" t="s">
        <v>1550</v>
      </c>
    </row>
    <row r="234" spans="1:10" ht="14.4" hidden="1">
      <c r="A234" s="380" t="s">
        <v>1174</v>
      </c>
      <c r="B234" s="380" t="s">
        <v>1172</v>
      </c>
      <c r="C234" s="381" t="s">
        <v>2340</v>
      </c>
      <c r="D234" s="380" t="s">
        <v>2336</v>
      </c>
      <c r="E234" s="382" t="s">
        <v>2337</v>
      </c>
      <c r="F234" s="282" t="s">
        <v>2341</v>
      </c>
      <c r="G234" s="282" t="s">
        <v>2339</v>
      </c>
      <c r="H234" s="282" t="s">
        <v>1548</v>
      </c>
      <c r="J234" s="282" t="s">
        <v>1550</v>
      </c>
    </row>
    <row r="235" spans="1:10" ht="14.4" hidden="1">
      <c r="A235" s="380" t="s">
        <v>1174</v>
      </c>
      <c r="B235" s="380" t="s">
        <v>1172</v>
      </c>
      <c r="C235" s="381" t="s">
        <v>2342</v>
      </c>
      <c r="D235" s="380" t="s">
        <v>2336</v>
      </c>
      <c r="E235" s="382" t="s">
        <v>2337</v>
      </c>
      <c r="F235" s="282" t="s">
        <v>2343</v>
      </c>
      <c r="G235" s="282" t="s">
        <v>2339</v>
      </c>
      <c r="J235" s="282" t="s">
        <v>1550</v>
      </c>
    </row>
    <row r="236" spans="1:10" ht="14.4" hidden="1">
      <c r="A236" s="380" t="s">
        <v>1174</v>
      </c>
      <c r="B236" s="380" t="s">
        <v>1172</v>
      </c>
      <c r="C236" s="381" t="s">
        <v>2344</v>
      </c>
      <c r="D236" s="380" t="s">
        <v>2336</v>
      </c>
      <c r="E236" s="382" t="s">
        <v>2337</v>
      </c>
      <c r="F236" s="282" t="s">
        <v>2345</v>
      </c>
      <c r="G236" s="282" t="s">
        <v>2339</v>
      </c>
      <c r="J236" s="282" t="s">
        <v>1550</v>
      </c>
    </row>
    <row r="237" spans="1:10" ht="14.4" hidden="1">
      <c r="A237" s="380" t="s">
        <v>1174</v>
      </c>
      <c r="B237" s="380" t="s">
        <v>1172</v>
      </c>
      <c r="C237" s="381" t="s">
        <v>2346</v>
      </c>
      <c r="D237" s="380" t="s">
        <v>2336</v>
      </c>
      <c r="E237" s="382" t="s">
        <v>2337</v>
      </c>
      <c r="F237" s="282" t="s">
        <v>2347</v>
      </c>
      <c r="G237" s="282" t="s">
        <v>2339</v>
      </c>
      <c r="J237" s="282" t="s">
        <v>1550</v>
      </c>
    </row>
    <row r="238" spans="1:10" ht="14.4" hidden="1">
      <c r="A238" s="380" t="s">
        <v>1174</v>
      </c>
      <c r="B238" s="380" t="s">
        <v>1172</v>
      </c>
      <c r="C238" s="381" t="s">
        <v>2348</v>
      </c>
      <c r="D238" s="380" t="s">
        <v>2336</v>
      </c>
      <c r="E238" s="382" t="s">
        <v>2337</v>
      </c>
      <c r="F238" s="282" t="s">
        <v>2349</v>
      </c>
      <c r="G238" s="282" t="s">
        <v>2339</v>
      </c>
      <c r="J238" s="282" t="s">
        <v>1550</v>
      </c>
    </row>
    <row r="239" spans="1:10" ht="14.4" hidden="1">
      <c r="A239" s="380" t="s">
        <v>1174</v>
      </c>
      <c r="B239" s="380" t="s">
        <v>1172</v>
      </c>
      <c r="C239" s="381" t="s">
        <v>2350</v>
      </c>
      <c r="D239" s="380" t="s">
        <v>2336</v>
      </c>
      <c r="E239" s="382" t="s">
        <v>2337</v>
      </c>
      <c r="F239" s="282" t="s">
        <v>2351</v>
      </c>
      <c r="G239" s="282" t="s">
        <v>2339</v>
      </c>
      <c r="J239" s="282" t="s">
        <v>1550</v>
      </c>
    </row>
    <row r="240" spans="1:10" ht="14.4" hidden="1">
      <c r="A240" s="380" t="s">
        <v>1174</v>
      </c>
      <c r="B240" s="380" t="s">
        <v>1172</v>
      </c>
      <c r="C240" s="381" t="s">
        <v>2352</v>
      </c>
      <c r="D240" s="380" t="s">
        <v>2336</v>
      </c>
      <c r="E240" s="382" t="s">
        <v>2337</v>
      </c>
      <c r="F240" s="282" t="s">
        <v>2353</v>
      </c>
      <c r="G240" s="282" t="s">
        <v>2339</v>
      </c>
      <c r="J240" s="282" t="s">
        <v>1550</v>
      </c>
    </row>
    <row r="241" spans="1:10" ht="14.4" hidden="1">
      <c r="A241" s="380" t="s">
        <v>1174</v>
      </c>
      <c r="B241" s="380" t="s">
        <v>1172</v>
      </c>
      <c r="C241" s="381" t="s">
        <v>2354</v>
      </c>
      <c r="D241" s="380" t="s">
        <v>2336</v>
      </c>
      <c r="E241" s="382" t="s">
        <v>2337</v>
      </c>
      <c r="F241" s="282" t="s">
        <v>2355</v>
      </c>
      <c r="G241" s="282" t="s">
        <v>2339</v>
      </c>
      <c r="J241" s="282" t="s">
        <v>1550</v>
      </c>
    </row>
    <row r="242" spans="1:10" ht="14.4" hidden="1">
      <c r="A242" s="380" t="s">
        <v>1174</v>
      </c>
      <c r="B242" s="380" t="s">
        <v>1172</v>
      </c>
      <c r="C242" s="381" t="s">
        <v>2356</v>
      </c>
      <c r="D242" s="380" t="s">
        <v>2357</v>
      </c>
      <c r="E242" s="382" t="s">
        <v>2358</v>
      </c>
      <c r="F242" s="282" t="s">
        <v>2359</v>
      </c>
      <c r="G242" s="282" t="s">
        <v>2339</v>
      </c>
      <c r="J242" s="282" t="s">
        <v>1550</v>
      </c>
    </row>
    <row r="243" spans="1:10" ht="14.4" hidden="1">
      <c r="A243" s="380" t="s">
        <v>1174</v>
      </c>
      <c r="B243" s="380" t="s">
        <v>1172</v>
      </c>
      <c r="C243" s="381" t="s">
        <v>2360</v>
      </c>
      <c r="D243" s="380" t="s">
        <v>2361</v>
      </c>
      <c r="E243" s="382" t="s">
        <v>2362</v>
      </c>
      <c r="F243" s="282" t="s">
        <v>2363</v>
      </c>
      <c r="G243" s="282" t="s">
        <v>2364</v>
      </c>
      <c r="J243" s="282" t="s">
        <v>1550</v>
      </c>
    </row>
    <row r="244" spans="1:10" ht="14.4" hidden="1">
      <c r="A244" s="380" t="s">
        <v>1174</v>
      </c>
      <c r="B244" s="380" t="s">
        <v>1172</v>
      </c>
      <c r="C244" s="381" t="s">
        <v>2365</v>
      </c>
      <c r="D244" s="380" t="s">
        <v>2366</v>
      </c>
      <c r="E244" s="382" t="s">
        <v>2367</v>
      </c>
      <c r="F244" s="282" t="s">
        <v>2368</v>
      </c>
      <c r="G244" s="282" t="s">
        <v>2364</v>
      </c>
      <c r="J244" s="282" t="s">
        <v>1550</v>
      </c>
    </row>
    <row r="245" spans="1:10" ht="14.4" hidden="1">
      <c r="A245" s="380" t="s">
        <v>1174</v>
      </c>
      <c r="B245" s="380" t="s">
        <v>1172</v>
      </c>
      <c r="C245" s="381" t="s">
        <v>2369</v>
      </c>
      <c r="D245" s="380" t="s">
        <v>2370</v>
      </c>
      <c r="E245" s="382" t="s">
        <v>2371</v>
      </c>
      <c r="F245" s="282" t="s">
        <v>2372</v>
      </c>
      <c r="G245" s="282" t="s">
        <v>2364</v>
      </c>
      <c r="H245" s="282" t="s">
        <v>1548</v>
      </c>
      <c r="I245" s="383" t="s">
        <v>2373</v>
      </c>
      <c r="J245" s="282" t="s">
        <v>1550</v>
      </c>
    </row>
    <row r="246" spans="1:10" ht="14.4" hidden="1">
      <c r="A246" s="380" t="s">
        <v>1174</v>
      </c>
      <c r="B246" s="380" t="s">
        <v>1172</v>
      </c>
      <c r="C246" s="381" t="s">
        <v>2374</v>
      </c>
      <c r="D246" s="380" t="s">
        <v>2375</v>
      </c>
      <c r="E246" s="382" t="s">
        <v>2376</v>
      </c>
      <c r="F246" s="282" t="s">
        <v>2377</v>
      </c>
      <c r="G246" s="282" t="s">
        <v>2364</v>
      </c>
      <c r="J246" s="282" t="s">
        <v>1550</v>
      </c>
    </row>
    <row r="247" spans="1:10" ht="14.4" hidden="1">
      <c r="A247" s="380" t="s">
        <v>1174</v>
      </c>
      <c r="B247" s="380" t="s">
        <v>1172</v>
      </c>
      <c r="C247" s="381" t="s">
        <v>2378</v>
      </c>
      <c r="D247" s="380" t="s">
        <v>2379</v>
      </c>
      <c r="E247" s="382" t="s">
        <v>2380</v>
      </c>
      <c r="F247" s="282" t="s">
        <v>2381</v>
      </c>
      <c r="G247" s="282" t="s">
        <v>2364</v>
      </c>
      <c r="J247" s="282" t="s">
        <v>1550</v>
      </c>
    </row>
    <row r="248" spans="1:10" ht="14.4" hidden="1">
      <c r="A248" s="380" t="s">
        <v>1174</v>
      </c>
      <c r="B248" s="380" t="s">
        <v>1172</v>
      </c>
      <c r="C248" s="381" t="s">
        <v>2382</v>
      </c>
      <c r="D248" s="380" t="s">
        <v>2383</v>
      </c>
      <c r="E248" s="382" t="s">
        <v>2384</v>
      </c>
      <c r="F248" s="282" t="s">
        <v>2385</v>
      </c>
      <c r="G248" s="282" t="s">
        <v>2364</v>
      </c>
      <c r="H248" s="282" t="s">
        <v>1548</v>
      </c>
      <c r="J248" s="282" t="s">
        <v>1550</v>
      </c>
    </row>
    <row r="249" spans="1:10" ht="14.4" hidden="1">
      <c r="A249" s="380" t="s">
        <v>1174</v>
      </c>
      <c r="B249" s="380" t="s">
        <v>1172</v>
      </c>
      <c r="C249" s="381" t="s">
        <v>2386</v>
      </c>
      <c r="D249" s="380" t="s">
        <v>2387</v>
      </c>
      <c r="E249" s="382" t="s">
        <v>2388</v>
      </c>
      <c r="F249" s="282" t="s">
        <v>2389</v>
      </c>
      <c r="G249" s="282" t="s">
        <v>2364</v>
      </c>
      <c r="J249" s="282" t="s">
        <v>1550</v>
      </c>
    </row>
    <row r="250" spans="1:10" ht="14.4" hidden="1">
      <c r="A250" s="380" t="s">
        <v>1174</v>
      </c>
      <c r="B250" s="380" t="s">
        <v>1172</v>
      </c>
      <c r="C250" s="381" t="s">
        <v>2390</v>
      </c>
      <c r="D250" s="380" t="s">
        <v>2387</v>
      </c>
      <c r="E250" s="382" t="s">
        <v>2388</v>
      </c>
      <c r="F250" s="282" t="s">
        <v>2391</v>
      </c>
      <c r="G250" s="282" t="s">
        <v>2364</v>
      </c>
      <c r="J250" s="282" t="s">
        <v>1550</v>
      </c>
    </row>
    <row r="251" spans="1:10" ht="14.4" hidden="1">
      <c r="A251" s="380" t="s">
        <v>1174</v>
      </c>
      <c r="B251" s="380" t="s">
        <v>1172</v>
      </c>
      <c r="C251" s="381" t="s">
        <v>2392</v>
      </c>
      <c r="D251" s="380" t="s">
        <v>2387</v>
      </c>
      <c r="E251" s="382" t="s">
        <v>2388</v>
      </c>
      <c r="F251" s="282" t="s">
        <v>2393</v>
      </c>
      <c r="G251" s="282" t="s">
        <v>2364</v>
      </c>
      <c r="J251" s="282" t="s">
        <v>1550</v>
      </c>
    </row>
    <row r="252" spans="1:10" ht="14.4" hidden="1">
      <c r="A252" s="380" t="s">
        <v>1174</v>
      </c>
      <c r="B252" s="380" t="s">
        <v>1172</v>
      </c>
      <c r="C252" s="381" t="s">
        <v>2394</v>
      </c>
      <c r="D252" s="380" t="s">
        <v>2387</v>
      </c>
      <c r="E252" s="382" t="s">
        <v>2388</v>
      </c>
      <c r="F252" s="282" t="s">
        <v>2395</v>
      </c>
      <c r="G252" s="282" t="s">
        <v>2364</v>
      </c>
      <c r="J252" s="282" t="s">
        <v>1550</v>
      </c>
    </row>
    <row r="253" spans="1:10" ht="14.4" hidden="1">
      <c r="A253" s="380" t="s">
        <v>1174</v>
      </c>
      <c r="B253" s="380" t="s">
        <v>1172</v>
      </c>
      <c r="C253" s="381" t="s">
        <v>2396</v>
      </c>
      <c r="D253" s="380" t="s">
        <v>2387</v>
      </c>
      <c r="E253" s="382" t="s">
        <v>2388</v>
      </c>
      <c r="F253" s="282" t="s">
        <v>2397</v>
      </c>
      <c r="G253" s="282" t="s">
        <v>2364</v>
      </c>
      <c r="J253" s="282" t="s">
        <v>1550</v>
      </c>
    </row>
    <row r="254" spans="1:10" ht="14.4" hidden="1">
      <c r="A254" s="380" t="s">
        <v>1174</v>
      </c>
      <c r="B254" s="380" t="s">
        <v>1172</v>
      </c>
      <c r="C254" s="381" t="s">
        <v>2398</v>
      </c>
      <c r="D254" s="380" t="s">
        <v>2387</v>
      </c>
      <c r="E254" s="382" t="s">
        <v>2388</v>
      </c>
      <c r="F254" s="282" t="s">
        <v>2399</v>
      </c>
      <c r="G254" s="282" t="s">
        <v>2364</v>
      </c>
      <c r="J254" s="282" t="s">
        <v>1550</v>
      </c>
    </row>
    <row r="255" spans="1:10" ht="14.4" hidden="1">
      <c r="A255" s="380" t="s">
        <v>1174</v>
      </c>
      <c r="B255" s="380" t="s">
        <v>1172</v>
      </c>
      <c r="C255" s="381" t="s">
        <v>2400</v>
      </c>
      <c r="D255" s="380" t="s">
        <v>2387</v>
      </c>
      <c r="E255" s="382" t="s">
        <v>2388</v>
      </c>
      <c r="F255" s="282" t="s">
        <v>2401</v>
      </c>
      <c r="G255" s="282" t="s">
        <v>2364</v>
      </c>
      <c r="J255" s="282" t="s">
        <v>1550</v>
      </c>
    </row>
    <row r="256" spans="1:10" ht="14.4" hidden="1">
      <c r="A256" s="380" t="s">
        <v>1174</v>
      </c>
      <c r="B256" s="380" t="s">
        <v>1172</v>
      </c>
      <c r="C256" s="381" t="s">
        <v>2402</v>
      </c>
      <c r="D256" s="380" t="s">
        <v>2387</v>
      </c>
      <c r="E256" s="382" t="s">
        <v>2388</v>
      </c>
      <c r="F256" s="282" t="s">
        <v>2403</v>
      </c>
      <c r="G256" s="282" t="s">
        <v>2364</v>
      </c>
      <c r="J256" s="282" t="s">
        <v>1550</v>
      </c>
    </row>
    <row r="257" spans="1:10" ht="14.4" hidden="1">
      <c r="A257" s="380" t="s">
        <v>1174</v>
      </c>
      <c r="B257" s="380" t="s">
        <v>1172</v>
      </c>
      <c r="C257" s="381" t="s">
        <v>2404</v>
      </c>
      <c r="D257" s="380" t="s">
        <v>2387</v>
      </c>
      <c r="E257" s="382" t="s">
        <v>2388</v>
      </c>
      <c r="F257" s="282" t="s">
        <v>2405</v>
      </c>
      <c r="G257" s="282" t="s">
        <v>2364</v>
      </c>
      <c r="J257" s="282" t="s">
        <v>1550</v>
      </c>
    </row>
    <row r="258" spans="1:10" ht="14.4" hidden="1">
      <c r="A258" s="380" t="s">
        <v>1174</v>
      </c>
      <c r="B258" s="380" t="s">
        <v>1172</v>
      </c>
      <c r="C258" s="381" t="s">
        <v>2406</v>
      </c>
      <c r="D258" s="380" t="s">
        <v>2387</v>
      </c>
      <c r="E258" s="382" t="s">
        <v>2388</v>
      </c>
      <c r="F258" s="282" t="s">
        <v>2407</v>
      </c>
      <c r="G258" s="282" t="s">
        <v>2364</v>
      </c>
      <c r="J258" s="282" t="s">
        <v>1550</v>
      </c>
    </row>
    <row r="259" spans="1:10" ht="14.4" hidden="1">
      <c r="A259" s="380" t="s">
        <v>1174</v>
      </c>
      <c r="B259" s="380" t="s">
        <v>1172</v>
      </c>
      <c r="C259" s="381" t="s">
        <v>2408</v>
      </c>
      <c r="D259" s="380" t="s">
        <v>2387</v>
      </c>
      <c r="E259" s="382" t="s">
        <v>2388</v>
      </c>
      <c r="F259" s="282" t="s">
        <v>2409</v>
      </c>
      <c r="G259" s="282" t="s">
        <v>2364</v>
      </c>
      <c r="J259" s="282" t="s">
        <v>1550</v>
      </c>
    </row>
    <row r="260" spans="1:10" ht="14.4" hidden="1">
      <c r="A260" s="380" t="s">
        <v>1174</v>
      </c>
      <c r="B260" s="380" t="s">
        <v>1172</v>
      </c>
      <c r="C260" s="381" t="s">
        <v>2410</v>
      </c>
      <c r="D260" s="380" t="s">
        <v>2387</v>
      </c>
      <c r="E260" s="382" t="s">
        <v>2388</v>
      </c>
      <c r="F260" s="282" t="s">
        <v>2411</v>
      </c>
      <c r="G260" s="282" t="s">
        <v>2364</v>
      </c>
      <c r="H260" s="282" t="s">
        <v>1548</v>
      </c>
      <c r="I260" s="383" t="s">
        <v>2412</v>
      </c>
      <c r="J260" s="282" t="s">
        <v>1550</v>
      </c>
    </row>
    <row r="261" spans="1:10" ht="14.4" hidden="1">
      <c r="A261" s="380" t="s">
        <v>1174</v>
      </c>
      <c r="B261" s="380" t="s">
        <v>1172</v>
      </c>
      <c r="C261" s="381" t="s">
        <v>2413</v>
      </c>
      <c r="D261" s="380" t="s">
        <v>2387</v>
      </c>
      <c r="E261" s="382" t="s">
        <v>2388</v>
      </c>
      <c r="F261" s="282" t="s">
        <v>2414</v>
      </c>
      <c r="G261" s="282" t="s">
        <v>2364</v>
      </c>
      <c r="J261" s="282" t="s">
        <v>1550</v>
      </c>
    </row>
    <row r="262" spans="1:10" ht="14.4" hidden="1">
      <c r="A262" s="380" t="s">
        <v>1174</v>
      </c>
      <c r="B262" s="380" t="s">
        <v>1172</v>
      </c>
      <c r="C262" s="381" t="s">
        <v>2415</v>
      </c>
      <c r="D262" s="380" t="s">
        <v>2387</v>
      </c>
      <c r="E262" s="382" t="s">
        <v>2388</v>
      </c>
      <c r="F262" s="282" t="s">
        <v>2416</v>
      </c>
      <c r="G262" s="282" t="s">
        <v>2364</v>
      </c>
      <c r="J262" s="282" t="s">
        <v>1550</v>
      </c>
    </row>
    <row r="263" spans="1:10" ht="14.4" hidden="1">
      <c r="A263" s="380" t="s">
        <v>1174</v>
      </c>
      <c r="B263" s="380" t="s">
        <v>1172</v>
      </c>
      <c r="C263" s="381" t="s">
        <v>2417</v>
      </c>
      <c r="D263" s="380" t="s">
        <v>2387</v>
      </c>
      <c r="E263" s="382" t="s">
        <v>2388</v>
      </c>
      <c r="F263" s="282" t="s">
        <v>2418</v>
      </c>
      <c r="G263" s="282" t="s">
        <v>2364</v>
      </c>
      <c r="J263" s="282" t="s">
        <v>1550</v>
      </c>
    </row>
    <row r="264" spans="1:10" ht="14.4" hidden="1">
      <c r="A264" s="380" t="s">
        <v>1174</v>
      </c>
      <c r="B264" s="380" t="s">
        <v>1172</v>
      </c>
      <c r="C264" s="381" t="s">
        <v>2419</v>
      </c>
      <c r="D264" s="380" t="s">
        <v>2387</v>
      </c>
      <c r="E264" s="382" t="s">
        <v>2388</v>
      </c>
      <c r="F264" s="282" t="s">
        <v>2420</v>
      </c>
      <c r="G264" s="282" t="s">
        <v>2364</v>
      </c>
      <c r="J264" s="282" t="s">
        <v>1550</v>
      </c>
    </row>
    <row r="265" spans="1:10" ht="14.4" hidden="1">
      <c r="A265" s="380" t="s">
        <v>1174</v>
      </c>
      <c r="B265" s="380" t="s">
        <v>1172</v>
      </c>
      <c r="C265" s="381" t="s">
        <v>2421</v>
      </c>
      <c r="D265" s="380" t="s">
        <v>2387</v>
      </c>
      <c r="E265" s="382" t="s">
        <v>2388</v>
      </c>
      <c r="F265" s="282" t="s">
        <v>2422</v>
      </c>
      <c r="G265" s="282" t="s">
        <v>2364</v>
      </c>
      <c r="J265" s="282" t="s">
        <v>1550</v>
      </c>
    </row>
    <row r="266" spans="1:10" ht="14.4" hidden="1">
      <c r="A266" s="380" t="s">
        <v>1174</v>
      </c>
      <c r="B266" s="380" t="s">
        <v>1172</v>
      </c>
      <c r="C266" s="381" t="s">
        <v>2423</v>
      </c>
      <c r="D266" s="380" t="s">
        <v>2387</v>
      </c>
      <c r="E266" s="382" t="s">
        <v>2388</v>
      </c>
      <c r="F266" s="282" t="s">
        <v>2424</v>
      </c>
      <c r="G266" s="282" t="s">
        <v>2364</v>
      </c>
      <c r="J266" s="282" t="s">
        <v>1550</v>
      </c>
    </row>
    <row r="267" spans="1:10" ht="14.4" hidden="1">
      <c r="A267" s="380" t="s">
        <v>1174</v>
      </c>
      <c r="B267" s="380" t="s">
        <v>1172</v>
      </c>
      <c r="C267" s="381" t="s">
        <v>2425</v>
      </c>
      <c r="D267" s="380" t="s">
        <v>2387</v>
      </c>
      <c r="E267" s="382" t="s">
        <v>2388</v>
      </c>
      <c r="F267" s="282" t="s">
        <v>2426</v>
      </c>
      <c r="G267" s="282" t="s">
        <v>2364</v>
      </c>
      <c r="J267" s="282" t="s">
        <v>1550</v>
      </c>
    </row>
    <row r="268" spans="1:10" ht="14.4" hidden="1">
      <c r="A268" s="380" t="s">
        <v>1174</v>
      </c>
      <c r="B268" s="380" t="s">
        <v>1172</v>
      </c>
      <c r="C268" s="381" t="s">
        <v>2427</v>
      </c>
      <c r="D268" s="380" t="s">
        <v>2428</v>
      </c>
      <c r="E268" s="382" t="s">
        <v>2429</v>
      </c>
      <c r="F268" s="282" t="s">
        <v>2430</v>
      </c>
      <c r="G268" s="282" t="s">
        <v>2364</v>
      </c>
      <c r="J268" s="282" t="s">
        <v>1550</v>
      </c>
    </row>
    <row r="269" spans="1:10" ht="14.4" hidden="1">
      <c r="A269" s="380" t="s">
        <v>1174</v>
      </c>
      <c r="B269" s="380" t="s">
        <v>1172</v>
      </c>
      <c r="C269" s="381" t="s">
        <v>2431</v>
      </c>
      <c r="D269" s="380" t="s">
        <v>2432</v>
      </c>
      <c r="E269" s="382" t="s">
        <v>2433</v>
      </c>
      <c r="F269" s="282" t="s">
        <v>2434</v>
      </c>
      <c r="G269" s="282" t="s">
        <v>2364</v>
      </c>
      <c r="J269" s="282" t="s">
        <v>1550</v>
      </c>
    </row>
    <row r="270" spans="1:10" ht="14.4" hidden="1">
      <c r="A270" s="380" t="s">
        <v>1174</v>
      </c>
      <c r="B270" s="380" t="s">
        <v>1172</v>
      </c>
      <c r="C270" s="381" t="s">
        <v>2435</v>
      </c>
      <c r="D270" s="380" t="s">
        <v>2436</v>
      </c>
      <c r="E270" s="382" t="s">
        <v>2437</v>
      </c>
      <c r="F270" s="282" t="s">
        <v>2438</v>
      </c>
      <c r="G270" s="282" t="s">
        <v>2364</v>
      </c>
      <c r="J270" s="282" t="s">
        <v>1550</v>
      </c>
    </row>
    <row r="271" spans="1:10" ht="14.4" hidden="1">
      <c r="A271" s="380" t="s">
        <v>1174</v>
      </c>
      <c r="B271" s="380" t="s">
        <v>1172</v>
      </c>
      <c r="C271" s="381" t="s">
        <v>2439</v>
      </c>
      <c r="D271" s="380" t="s">
        <v>2440</v>
      </c>
      <c r="E271" s="382" t="s">
        <v>2441</v>
      </c>
      <c r="F271" s="282" t="s">
        <v>2442</v>
      </c>
      <c r="G271" s="282" t="s">
        <v>2364</v>
      </c>
      <c r="J271" s="282" t="s">
        <v>1550</v>
      </c>
    </row>
    <row r="272" spans="1:10" ht="14.4" hidden="1">
      <c r="A272" s="380" t="s">
        <v>1174</v>
      </c>
      <c r="B272" s="380" t="s">
        <v>1172</v>
      </c>
      <c r="C272" s="381" t="s">
        <v>2443</v>
      </c>
      <c r="D272" s="380" t="s">
        <v>2444</v>
      </c>
      <c r="E272" s="382" t="s">
        <v>2445</v>
      </c>
      <c r="F272" s="282" t="s">
        <v>2446</v>
      </c>
      <c r="G272" s="282" t="s">
        <v>2364</v>
      </c>
      <c r="J272" s="282" t="s">
        <v>1550</v>
      </c>
    </row>
    <row r="273" spans="1:10" ht="14.4" hidden="1">
      <c r="A273" s="380" t="s">
        <v>1174</v>
      </c>
      <c r="B273" s="380" t="s">
        <v>1172</v>
      </c>
      <c r="C273" s="381" t="s">
        <v>2447</v>
      </c>
      <c r="D273" s="380" t="s">
        <v>2448</v>
      </c>
      <c r="E273" s="382" t="s">
        <v>2449</v>
      </c>
      <c r="F273" s="282" t="s">
        <v>2450</v>
      </c>
      <c r="G273" s="282" t="s">
        <v>2364</v>
      </c>
      <c r="J273" s="282" t="s">
        <v>1550</v>
      </c>
    </row>
    <row r="274" spans="1:10" ht="14.4" hidden="1">
      <c r="A274" s="380" t="s">
        <v>1174</v>
      </c>
      <c r="B274" s="380" t="s">
        <v>1172</v>
      </c>
      <c r="C274" s="381" t="s">
        <v>2451</v>
      </c>
      <c r="D274" s="380" t="s">
        <v>2452</v>
      </c>
      <c r="E274" s="382" t="s">
        <v>2453</v>
      </c>
      <c r="F274" s="282" t="s">
        <v>2454</v>
      </c>
      <c r="G274" s="282" t="s">
        <v>2364</v>
      </c>
      <c r="J274" s="282" t="s">
        <v>1550</v>
      </c>
    </row>
    <row r="275" spans="1:10" ht="14.4" hidden="1">
      <c r="A275" s="380" t="s">
        <v>1174</v>
      </c>
      <c r="B275" s="380" t="s">
        <v>1172</v>
      </c>
      <c r="C275" s="381" t="s">
        <v>2455</v>
      </c>
      <c r="D275" s="380" t="s">
        <v>2456</v>
      </c>
      <c r="E275" s="382" t="s">
        <v>2457</v>
      </c>
      <c r="F275" s="282" t="s">
        <v>2458</v>
      </c>
      <c r="G275" s="282" t="s">
        <v>2364</v>
      </c>
      <c r="J275" s="282" t="s">
        <v>1550</v>
      </c>
    </row>
    <row r="276" spans="1:10" ht="14.4" hidden="1">
      <c r="A276" s="380" t="s">
        <v>1174</v>
      </c>
      <c r="B276" s="380" t="s">
        <v>1172</v>
      </c>
      <c r="C276" s="381" t="s">
        <v>2459</v>
      </c>
      <c r="D276" s="380" t="s">
        <v>2460</v>
      </c>
      <c r="E276" s="382" t="s">
        <v>2461</v>
      </c>
      <c r="F276" s="282" t="s">
        <v>2462</v>
      </c>
      <c r="G276" s="282" t="s">
        <v>2364</v>
      </c>
      <c r="J276" s="282" t="s">
        <v>1550</v>
      </c>
    </row>
    <row r="277" spans="1:10" ht="14.4" hidden="1">
      <c r="A277" s="380" t="s">
        <v>1174</v>
      </c>
      <c r="B277" s="380" t="s">
        <v>1172</v>
      </c>
      <c r="C277" s="381" t="s">
        <v>2463</v>
      </c>
      <c r="D277" s="380" t="s">
        <v>2464</v>
      </c>
      <c r="E277" s="382" t="s">
        <v>2465</v>
      </c>
      <c r="F277" s="282" t="s">
        <v>2466</v>
      </c>
      <c r="G277" s="282" t="s">
        <v>2364</v>
      </c>
      <c r="J277" s="282" t="s">
        <v>1550</v>
      </c>
    </row>
    <row r="278" spans="1:10" ht="14.4" hidden="1">
      <c r="A278" s="380" t="s">
        <v>1174</v>
      </c>
      <c r="B278" s="380" t="s">
        <v>1172</v>
      </c>
      <c r="C278" s="381" t="s">
        <v>2467</v>
      </c>
      <c r="D278" s="380" t="s">
        <v>2468</v>
      </c>
      <c r="E278" s="382" t="s">
        <v>2469</v>
      </c>
      <c r="F278" s="282" t="s">
        <v>2470</v>
      </c>
      <c r="G278" s="282" t="s">
        <v>2364</v>
      </c>
      <c r="J278" s="282" t="s">
        <v>1550</v>
      </c>
    </row>
    <row r="279" spans="1:10" ht="14.4" hidden="1">
      <c r="A279" s="380" t="s">
        <v>1174</v>
      </c>
      <c r="B279" s="380" t="s">
        <v>1172</v>
      </c>
      <c r="C279" s="381" t="s">
        <v>2471</v>
      </c>
      <c r="D279" s="380" t="s">
        <v>2472</v>
      </c>
      <c r="E279" s="382" t="s">
        <v>2473</v>
      </c>
      <c r="F279" s="282" t="s">
        <v>2474</v>
      </c>
      <c r="G279" s="282" t="s">
        <v>2364</v>
      </c>
      <c r="J279" s="282" t="s">
        <v>1550</v>
      </c>
    </row>
    <row r="280" spans="1:10" ht="14.4" hidden="1">
      <c r="A280" s="380" t="s">
        <v>1174</v>
      </c>
      <c r="B280" s="380" t="s">
        <v>1172</v>
      </c>
      <c r="C280" s="381" t="s">
        <v>2475</v>
      </c>
      <c r="D280" s="380" t="s">
        <v>2476</v>
      </c>
      <c r="E280" s="382" t="s">
        <v>2477</v>
      </c>
      <c r="F280" s="282" t="s">
        <v>2478</v>
      </c>
      <c r="G280" s="282" t="s">
        <v>2364</v>
      </c>
      <c r="J280" s="282" t="s">
        <v>1550</v>
      </c>
    </row>
    <row r="281" spans="1:10" ht="14.4" hidden="1">
      <c r="A281" s="380" t="s">
        <v>1174</v>
      </c>
      <c r="B281" s="380" t="s">
        <v>1172</v>
      </c>
      <c r="C281" s="381" t="s">
        <v>2479</v>
      </c>
      <c r="D281" s="380" t="s">
        <v>2480</v>
      </c>
      <c r="E281" s="382" t="s">
        <v>2481</v>
      </c>
      <c r="F281" s="282" t="s">
        <v>2482</v>
      </c>
      <c r="G281" s="282" t="s">
        <v>2364</v>
      </c>
      <c r="J281" s="282" t="s">
        <v>1550</v>
      </c>
    </row>
    <row r="282" spans="1:10" ht="14.4" hidden="1">
      <c r="A282" s="380" t="s">
        <v>1174</v>
      </c>
      <c r="B282" s="380" t="s">
        <v>1172</v>
      </c>
      <c r="C282" s="381" t="s">
        <v>2483</v>
      </c>
      <c r="D282" s="380" t="s">
        <v>2484</v>
      </c>
      <c r="E282" s="382" t="s">
        <v>2485</v>
      </c>
      <c r="F282" s="282" t="s">
        <v>2486</v>
      </c>
      <c r="G282" s="282" t="s">
        <v>2364</v>
      </c>
      <c r="J282" s="282" t="s">
        <v>1550</v>
      </c>
    </row>
    <row r="283" spans="1:10" ht="14.4" hidden="1">
      <c r="A283" s="380" t="s">
        <v>1174</v>
      </c>
      <c r="B283" s="380" t="s">
        <v>1172</v>
      </c>
      <c r="C283" s="381" t="s">
        <v>2487</v>
      </c>
      <c r="D283" s="380" t="s">
        <v>2488</v>
      </c>
      <c r="E283" s="382" t="s">
        <v>2489</v>
      </c>
      <c r="F283" s="282" t="s">
        <v>2490</v>
      </c>
      <c r="G283" s="282" t="s">
        <v>2364</v>
      </c>
      <c r="J283" s="282" t="s">
        <v>1550</v>
      </c>
    </row>
    <row r="284" spans="1:10" ht="14.4" hidden="1">
      <c r="A284" s="380" t="s">
        <v>1174</v>
      </c>
      <c r="B284" s="380" t="s">
        <v>1172</v>
      </c>
      <c r="C284" s="381" t="s">
        <v>2491</v>
      </c>
      <c r="D284" s="380" t="s">
        <v>2492</v>
      </c>
      <c r="E284" s="382" t="s">
        <v>2493</v>
      </c>
      <c r="F284" s="282" t="s">
        <v>2494</v>
      </c>
      <c r="G284" s="282" t="s">
        <v>2364</v>
      </c>
      <c r="J284" s="282" t="s">
        <v>1550</v>
      </c>
    </row>
    <row r="285" spans="1:10" ht="14.4" hidden="1">
      <c r="A285" s="380" t="s">
        <v>1174</v>
      </c>
      <c r="B285" s="380" t="s">
        <v>1172</v>
      </c>
      <c r="C285" s="381" t="s">
        <v>2495</v>
      </c>
      <c r="D285" s="380" t="s">
        <v>2496</v>
      </c>
      <c r="E285" s="382" t="s">
        <v>2497</v>
      </c>
      <c r="F285" s="282" t="s">
        <v>2498</v>
      </c>
      <c r="G285" s="282" t="s">
        <v>2364</v>
      </c>
      <c r="J285" s="282" t="s">
        <v>1550</v>
      </c>
    </row>
    <row r="286" spans="1:10" ht="14.4" hidden="1">
      <c r="A286" s="380" t="s">
        <v>1174</v>
      </c>
      <c r="B286" s="380" t="s">
        <v>1172</v>
      </c>
      <c r="C286" s="381" t="s">
        <v>2499</v>
      </c>
      <c r="D286" s="380" t="s">
        <v>2500</v>
      </c>
      <c r="E286" s="382" t="s">
        <v>2501</v>
      </c>
      <c r="F286" s="282" t="s">
        <v>2502</v>
      </c>
      <c r="G286" s="282" t="s">
        <v>2503</v>
      </c>
      <c r="J286" s="282" t="s">
        <v>1550</v>
      </c>
    </row>
    <row r="287" spans="1:10" ht="14.4" hidden="1">
      <c r="A287" s="380" t="s">
        <v>1174</v>
      </c>
      <c r="B287" s="380" t="s">
        <v>1172</v>
      </c>
      <c r="C287" s="381" t="s">
        <v>2504</v>
      </c>
      <c r="D287" s="380" t="s">
        <v>2505</v>
      </c>
      <c r="E287" s="382" t="s">
        <v>2506</v>
      </c>
      <c r="F287" s="282" t="s">
        <v>2507</v>
      </c>
      <c r="G287" s="282" t="s">
        <v>2508</v>
      </c>
      <c r="J287" s="282" t="s">
        <v>1550</v>
      </c>
    </row>
    <row r="288" spans="1:10" ht="14.4" hidden="1">
      <c r="A288" s="380" t="s">
        <v>1174</v>
      </c>
      <c r="B288" s="380" t="s">
        <v>1172</v>
      </c>
      <c r="C288" s="381" t="s">
        <v>2509</v>
      </c>
      <c r="D288" s="380" t="s">
        <v>2505</v>
      </c>
      <c r="E288" s="382" t="s">
        <v>2506</v>
      </c>
      <c r="F288" s="282" t="s">
        <v>2510</v>
      </c>
      <c r="G288" s="282" t="s">
        <v>2508</v>
      </c>
      <c r="J288" s="282" t="s">
        <v>1550</v>
      </c>
    </row>
    <row r="289" spans="1:10" ht="14.4" hidden="1">
      <c r="A289" s="380" t="s">
        <v>1174</v>
      </c>
      <c r="B289" s="380" t="s">
        <v>1172</v>
      </c>
      <c r="C289" s="381" t="s">
        <v>2511</v>
      </c>
      <c r="D289" s="380" t="s">
        <v>2505</v>
      </c>
      <c r="E289" s="382" t="s">
        <v>2506</v>
      </c>
      <c r="F289" s="282" t="s">
        <v>2512</v>
      </c>
      <c r="G289" s="282" t="s">
        <v>2508</v>
      </c>
      <c r="J289" s="282" t="s">
        <v>1550</v>
      </c>
    </row>
    <row r="290" spans="1:10" ht="14.4" hidden="1">
      <c r="A290" s="380" t="s">
        <v>1174</v>
      </c>
      <c r="B290" s="380" t="s">
        <v>1172</v>
      </c>
      <c r="C290" s="381" t="s">
        <v>2513</v>
      </c>
      <c r="D290" s="380" t="s">
        <v>2505</v>
      </c>
      <c r="E290" s="382" t="s">
        <v>2506</v>
      </c>
      <c r="F290" s="282" t="s">
        <v>2514</v>
      </c>
      <c r="G290" s="282" t="s">
        <v>2508</v>
      </c>
      <c r="J290" s="282" t="s">
        <v>1550</v>
      </c>
    </row>
    <row r="291" spans="1:10" ht="14.4" hidden="1">
      <c r="A291" s="380" t="s">
        <v>1174</v>
      </c>
      <c r="B291" s="380" t="s">
        <v>1172</v>
      </c>
      <c r="C291" s="381" t="s">
        <v>2515</v>
      </c>
      <c r="D291" s="380" t="s">
        <v>2505</v>
      </c>
      <c r="E291" s="382" t="s">
        <v>2506</v>
      </c>
      <c r="F291" s="282" t="s">
        <v>2516</v>
      </c>
      <c r="G291" s="282" t="s">
        <v>2508</v>
      </c>
      <c r="J291" s="282" t="s">
        <v>1550</v>
      </c>
    </row>
    <row r="292" spans="1:10" ht="14.4" hidden="1">
      <c r="A292" s="380" t="s">
        <v>1174</v>
      </c>
      <c r="B292" s="380" t="s">
        <v>1172</v>
      </c>
      <c r="C292" s="381" t="s">
        <v>2517</v>
      </c>
      <c r="D292" s="380" t="s">
        <v>2505</v>
      </c>
      <c r="E292" s="382" t="s">
        <v>2506</v>
      </c>
      <c r="F292" s="282" t="s">
        <v>2508</v>
      </c>
      <c r="G292" s="282" t="s">
        <v>2508</v>
      </c>
      <c r="J292" s="282" t="s">
        <v>1550</v>
      </c>
    </row>
    <row r="293" spans="1:10" ht="14.4" hidden="1">
      <c r="A293" s="380" t="s">
        <v>1174</v>
      </c>
      <c r="B293" s="380" t="s">
        <v>1172</v>
      </c>
      <c r="C293" s="381" t="s">
        <v>2518</v>
      </c>
      <c r="D293" s="380" t="s">
        <v>2505</v>
      </c>
      <c r="E293" s="382" t="s">
        <v>2506</v>
      </c>
      <c r="F293" s="282" t="s">
        <v>2519</v>
      </c>
      <c r="G293" s="282" t="s">
        <v>2508</v>
      </c>
      <c r="J293" s="282" t="s">
        <v>1550</v>
      </c>
    </row>
    <row r="294" spans="1:10" ht="14.4" hidden="1">
      <c r="A294" s="380" t="s">
        <v>1174</v>
      </c>
      <c r="B294" s="380" t="s">
        <v>1172</v>
      </c>
      <c r="C294" s="381" t="s">
        <v>2520</v>
      </c>
      <c r="D294" s="380" t="s">
        <v>2521</v>
      </c>
      <c r="E294" s="382" t="s">
        <v>2522</v>
      </c>
      <c r="F294" s="282" t="s">
        <v>2523</v>
      </c>
      <c r="G294" s="282" t="s">
        <v>2524</v>
      </c>
      <c r="J294" s="282" t="s">
        <v>1550</v>
      </c>
    </row>
    <row r="295" spans="1:10" ht="14.4" hidden="1">
      <c r="A295" s="380" t="s">
        <v>1174</v>
      </c>
      <c r="B295" s="380" t="s">
        <v>1172</v>
      </c>
      <c r="C295" s="381" t="s">
        <v>2525</v>
      </c>
      <c r="D295" s="380" t="s">
        <v>2521</v>
      </c>
      <c r="E295" s="382" t="s">
        <v>2522</v>
      </c>
      <c r="F295" s="282" t="s">
        <v>2526</v>
      </c>
      <c r="G295" s="282" t="s">
        <v>2524</v>
      </c>
      <c r="J295" s="282" t="s">
        <v>1550</v>
      </c>
    </row>
    <row r="296" spans="1:10" ht="14.4" hidden="1">
      <c r="A296" s="380" t="s">
        <v>1174</v>
      </c>
      <c r="B296" s="380" t="s">
        <v>1172</v>
      </c>
      <c r="C296" s="381" t="s">
        <v>2527</v>
      </c>
      <c r="D296" s="380" t="s">
        <v>2521</v>
      </c>
      <c r="E296" s="382" t="s">
        <v>2522</v>
      </c>
      <c r="F296" s="282" t="s">
        <v>2528</v>
      </c>
      <c r="G296" s="282" t="s">
        <v>2524</v>
      </c>
      <c r="J296" s="282" t="s">
        <v>1550</v>
      </c>
    </row>
    <row r="297" spans="1:10" ht="14.4" hidden="1">
      <c r="A297" s="380" t="s">
        <v>1174</v>
      </c>
      <c r="B297" s="380" t="s">
        <v>1172</v>
      </c>
      <c r="C297" s="381" t="s">
        <v>2529</v>
      </c>
      <c r="D297" s="380" t="s">
        <v>2530</v>
      </c>
      <c r="E297" s="382" t="s">
        <v>2531</v>
      </c>
      <c r="F297" s="282" t="s">
        <v>2532</v>
      </c>
      <c r="G297" s="282" t="s">
        <v>2533</v>
      </c>
      <c r="J297" s="282" t="s">
        <v>1550</v>
      </c>
    </row>
    <row r="298" spans="1:10" ht="14.4" hidden="1">
      <c r="A298" s="380" t="s">
        <v>1174</v>
      </c>
      <c r="B298" s="380" t="s">
        <v>1172</v>
      </c>
      <c r="C298" s="381" t="s">
        <v>2534</v>
      </c>
      <c r="D298" s="380" t="s">
        <v>2521</v>
      </c>
      <c r="E298" s="382" t="s">
        <v>2522</v>
      </c>
      <c r="F298" s="282" t="s">
        <v>2533</v>
      </c>
      <c r="G298" s="282" t="s">
        <v>2533</v>
      </c>
      <c r="J298" s="282" t="s">
        <v>1550</v>
      </c>
    </row>
    <row r="299" spans="1:10" ht="14.4" hidden="1">
      <c r="A299" s="380" t="s">
        <v>1174</v>
      </c>
      <c r="B299" s="380" t="s">
        <v>1172</v>
      </c>
      <c r="C299" s="381" t="s">
        <v>2535</v>
      </c>
      <c r="D299" s="380" t="s">
        <v>2536</v>
      </c>
      <c r="E299" s="382" t="s">
        <v>2537</v>
      </c>
      <c r="F299" s="282" t="s">
        <v>2538</v>
      </c>
      <c r="G299" s="282" t="s">
        <v>2533</v>
      </c>
      <c r="J299" s="282" t="s">
        <v>1550</v>
      </c>
    </row>
    <row r="300" spans="1:10" ht="14.4" hidden="1">
      <c r="A300" s="380" t="s">
        <v>1174</v>
      </c>
      <c r="B300" s="380" t="s">
        <v>1172</v>
      </c>
      <c r="C300" s="381" t="s">
        <v>2539</v>
      </c>
      <c r="D300" s="380" t="s">
        <v>2540</v>
      </c>
      <c r="E300" s="382" t="s">
        <v>2541</v>
      </c>
      <c r="F300" s="282" t="s">
        <v>2542</v>
      </c>
      <c r="G300" s="282" t="s">
        <v>2533</v>
      </c>
      <c r="J300" s="282" t="s">
        <v>1550</v>
      </c>
    </row>
    <row r="301" spans="1:10" ht="14.4" hidden="1">
      <c r="A301" s="380" t="s">
        <v>1174</v>
      </c>
      <c r="B301" s="380" t="s">
        <v>1172</v>
      </c>
      <c r="C301" s="381" t="s">
        <v>2543</v>
      </c>
      <c r="D301" s="380" t="s">
        <v>2544</v>
      </c>
      <c r="E301" s="382" t="s">
        <v>2545</v>
      </c>
      <c r="F301" s="282" t="s">
        <v>2546</v>
      </c>
      <c r="G301" s="282" t="s">
        <v>2547</v>
      </c>
      <c r="H301" s="282" t="s">
        <v>1548</v>
      </c>
      <c r="I301" s="385" t="s">
        <v>2548</v>
      </c>
      <c r="J301" s="282" t="s">
        <v>1550</v>
      </c>
    </row>
    <row r="302" spans="1:10" ht="14.4" hidden="1">
      <c r="A302" s="380" t="s">
        <v>1174</v>
      </c>
      <c r="B302" s="380" t="s">
        <v>1172</v>
      </c>
      <c r="C302" s="381" t="s">
        <v>2549</v>
      </c>
      <c r="D302" s="380" t="s">
        <v>2544</v>
      </c>
      <c r="E302" s="382" t="s">
        <v>2545</v>
      </c>
      <c r="F302" s="282" t="s">
        <v>2550</v>
      </c>
      <c r="G302" s="282" t="s">
        <v>2547</v>
      </c>
      <c r="J302" s="282" t="s">
        <v>1550</v>
      </c>
    </row>
    <row r="303" spans="1:10" ht="14.4" hidden="1">
      <c r="A303" s="380" t="s">
        <v>1174</v>
      </c>
      <c r="B303" s="380" t="s">
        <v>1172</v>
      </c>
      <c r="C303" s="381" t="s">
        <v>2551</v>
      </c>
      <c r="D303" s="380" t="s">
        <v>2544</v>
      </c>
      <c r="E303" s="382" t="s">
        <v>2545</v>
      </c>
      <c r="F303" s="282" t="s">
        <v>2552</v>
      </c>
      <c r="G303" s="282" t="s">
        <v>2547</v>
      </c>
      <c r="J303" s="282" t="s">
        <v>1550</v>
      </c>
    </row>
    <row r="304" spans="1:10" ht="14.4" hidden="1">
      <c r="A304" s="380" t="s">
        <v>1174</v>
      </c>
      <c r="B304" s="380" t="s">
        <v>1172</v>
      </c>
      <c r="C304" s="381" t="s">
        <v>2553</v>
      </c>
      <c r="D304" s="380" t="s">
        <v>2554</v>
      </c>
      <c r="E304" s="382" t="s">
        <v>2555</v>
      </c>
      <c r="F304" s="282" t="s">
        <v>2556</v>
      </c>
      <c r="G304" s="282" t="s">
        <v>2557</v>
      </c>
      <c r="J304" s="282" t="s">
        <v>1550</v>
      </c>
    </row>
    <row r="305" spans="1:10" ht="14.4" hidden="1">
      <c r="A305" s="380" t="s">
        <v>1174</v>
      </c>
      <c r="B305" s="380" t="s">
        <v>1172</v>
      </c>
      <c r="C305" s="381" t="s">
        <v>2558</v>
      </c>
      <c r="D305" s="380" t="s">
        <v>2559</v>
      </c>
      <c r="E305" s="382" t="s">
        <v>2560</v>
      </c>
      <c r="F305" s="282" t="s">
        <v>2561</v>
      </c>
      <c r="G305" s="282" t="s">
        <v>2557</v>
      </c>
      <c r="J305" s="282" t="s">
        <v>1550</v>
      </c>
    </row>
    <row r="306" spans="1:10" ht="14.4" hidden="1">
      <c r="A306" s="380" t="s">
        <v>1174</v>
      </c>
      <c r="B306" s="380" t="s">
        <v>1172</v>
      </c>
      <c r="C306" s="381" t="s">
        <v>2562</v>
      </c>
      <c r="D306" s="380" t="s">
        <v>2563</v>
      </c>
      <c r="E306" s="382" t="s">
        <v>2564</v>
      </c>
      <c r="F306" s="282" t="s">
        <v>2565</v>
      </c>
      <c r="G306" s="282" t="s">
        <v>2557</v>
      </c>
      <c r="J306" s="282" t="s">
        <v>1550</v>
      </c>
    </row>
    <row r="307" spans="1:10" ht="14.4" hidden="1">
      <c r="A307" s="380" t="s">
        <v>1174</v>
      </c>
      <c r="B307" s="380" t="s">
        <v>1172</v>
      </c>
      <c r="C307" s="381" t="s">
        <v>2566</v>
      </c>
      <c r="D307" s="380" t="s">
        <v>2563</v>
      </c>
      <c r="E307" s="382" t="s">
        <v>2564</v>
      </c>
      <c r="F307" s="282" t="s">
        <v>2557</v>
      </c>
      <c r="G307" s="282" t="s">
        <v>2557</v>
      </c>
      <c r="J307" s="282" t="s">
        <v>1550</v>
      </c>
    </row>
    <row r="308" spans="1:10" ht="14.4" hidden="1">
      <c r="A308" s="380" t="s">
        <v>1174</v>
      </c>
      <c r="B308" s="380" t="s">
        <v>1172</v>
      </c>
      <c r="C308" s="381" t="s">
        <v>2567</v>
      </c>
      <c r="D308" s="380" t="s">
        <v>2563</v>
      </c>
      <c r="E308" s="382" t="s">
        <v>2564</v>
      </c>
      <c r="F308" s="282" t="s">
        <v>2568</v>
      </c>
      <c r="G308" s="282" t="s">
        <v>2557</v>
      </c>
      <c r="J308" s="282" t="s">
        <v>1550</v>
      </c>
    </row>
    <row r="309" spans="1:10" ht="14.4" hidden="1">
      <c r="A309" s="380" t="s">
        <v>1174</v>
      </c>
      <c r="B309" s="380" t="s">
        <v>1172</v>
      </c>
      <c r="C309" s="381" t="s">
        <v>2569</v>
      </c>
      <c r="D309" s="380" t="s">
        <v>2563</v>
      </c>
      <c r="E309" s="382" t="s">
        <v>2564</v>
      </c>
      <c r="F309" s="282" t="s">
        <v>2570</v>
      </c>
      <c r="G309" s="282" t="s">
        <v>2557</v>
      </c>
      <c r="J309" s="282" t="s">
        <v>1550</v>
      </c>
    </row>
    <row r="310" spans="1:10" ht="14.4" hidden="1">
      <c r="A310" s="380" t="s">
        <v>1174</v>
      </c>
      <c r="B310" s="380" t="s">
        <v>1172</v>
      </c>
      <c r="C310" s="381" t="s">
        <v>2571</v>
      </c>
      <c r="D310" s="380" t="s">
        <v>2563</v>
      </c>
      <c r="E310" s="382" t="s">
        <v>2564</v>
      </c>
      <c r="F310" s="282" t="s">
        <v>2572</v>
      </c>
      <c r="G310" s="282" t="s">
        <v>2557</v>
      </c>
      <c r="J310" s="282" t="s">
        <v>1550</v>
      </c>
    </row>
    <row r="311" spans="1:10" ht="14.4" hidden="1">
      <c r="A311" s="380" t="s">
        <v>1174</v>
      </c>
      <c r="B311" s="380" t="s">
        <v>1172</v>
      </c>
      <c r="C311" s="381" t="s">
        <v>2573</v>
      </c>
      <c r="D311" s="380" t="s">
        <v>2563</v>
      </c>
      <c r="E311" s="382" t="s">
        <v>2564</v>
      </c>
      <c r="F311" s="282" t="s">
        <v>2574</v>
      </c>
      <c r="G311" s="282" t="s">
        <v>2557</v>
      </c>
      <c r="J311" s="282" t="s">
        <v>1550</v>
      </c>
    </row>
    <row r="312" spans="1:10" ht="14.4" hidden="1">
      <c r="A312" s="380" t="s">
        <v>1174</v>
      </c>
      <c r="B312" s="380" t="s">
        <v>1172</v>
      </c>
      <c r="C312" s="381" t="s">
        <v>2575</v>
      </c>
      <c r="D312" s="380" t="s">
        <v>2563</v>
      </c>
      <c r="E312" s="382" t="s">
        <v>2564</v>
      </c>
      <c r="F312" s="282" t="s">
        <v>2576</v>
      </c>
      <c r="G312" s="282" t="s">
        <v>2557</v>
      </c>
      <c r="J312" s="282" t="s">
        <v>1550</v>
      </c>
    </row>
    <row r="313" spans="1:10" ht="14.4" hidden="1">
      <c r="A313" s="380" t="s">
        <v>1174</v>
      </c>
      <c r="B313" s="380" t="s">
        <v>1172</v>
      </c>
      <c r="C313" s="381" t="s">
        <v>2577</v>
      </c>
      <c r="D313" s="380" t="s">
        <v>2563</v>
      </c>
      <c r="E313" s="382" t="s">
        <v>2564</v>
      </c>
      <c r="F313" s="282" t="s">
        <v>2578</v>
      </c>
      <c r="G313" s="282" t="s">
        <v>2557</v>
      </c>
      <c r="J313" s="282" t="s">
        <v>1550</v>
      </c>
    </row>
    <row r="314" spans="1:10" ht="14.4" hidden="1">
      <c r="A314" s="380" t="s">
        <v>1174</v>
      </c>
      <c r="B314" s="380" t="s">
        <v>1172</v>
      </c>
      <c r="C314" s="381" t="s">
        <v>2579</v>
      </c>
      <c r="D314" s="380" t="s">
        <v>2580</v>
      </c>
      <c r="E314" s="382" t="s">
        <v>2581</v>
      </c>
      <c r="F314" s="282" t="s">
        <v>2582</v>
      </c>
      <c r="G314" s="282" t="s">
        <v>2557</v>
      </c>
      <c r="J314" s="282" t="s">
        <v>1550</v>
      </c>
    </row>
    <row r="315" spans="1:10" ht="14.4" hidden="1">
      <c r="A315" s="380" t="s">
        <v>1174</v>
      </c>
      <c r="B315" s="380" t="s">
        <v>1172</v>
      </c>
      <c r="C315" s="381" t="s">
        <v>2583</v>
      </c>
      <c r="D315" s="380" t="s">
        <v>2584</v>
      </c>
      <c r="E315" s="382" t="s">
        <v>2585</v>
      </c>
      <c r="F315" s="282" t="s">
        <v>2586</v>
      </c>
      <c r="G315" s="282" t="s">
        <v>2557</v>
      </c>
      <c r="J315" s="282" t="s">
        <v>1550</v>
      </c>
    </row>
    <row r="316" spans="1:10" ht="14.4" hidden="1">
      <c r="A316" s="380" t="s">
        <v>1174</v>
      </c>
      <c r="B316" s="380" t="s">
        <v>1172</v>
      </c>
      <c r="C316" s="381" t="s">
        <v>2587</v>
      </c>
      <c r="D316" s="380" t="s">
        <v>2588</v>
      </c>
      <c r="E316" s="382" t="s">
        <v>2589</v>
      </c>
      <c r="F316" s="282" t="s">
        <v>2590</v>
      </c>
      <c r="G316" s="282" t="s">
        <v>2557</v>
      </c>
      <c r="J316" s="282" t="s">
        <v>1550</v>
      </c>
    </row>
    <row r="317" spans="1:10" ht="14.4" hidden="1">
      <c r="A317" s="380" t="s">
        <v>1174</v>
      </c>
      <c r="B317" s="380" t="s">
        <v>1172</v>
      </c>
      <c r="C317" s="381" t="s">
        <v>2591</v>
      </c>
      <c r="D317" s="380" t="s">
        <v>2592</v>
      </c>
      <c r="E317" s="382" t="s">
        <v>2593</v>
      </c>
      <c r="F317" s="282" t="s">
        <v>2594</v>
      </c>
      <c r="G317" s="282" t="s">
        <v>2557</v>
      </c>
      <c r="J317" s="282" t="s">
        <v>1550</v>
      </c>
    </row>
    <row r="318" spans="1:10" ht="14.4" hidden="1">
      <c r="A318" s="380" t="s">
        <v>1174</v>
      </c>
      <c r="B318" s="380" t="s">
        <v>1172</v>
      </c>
      <c r="C318" s="381" t="s">
        <v>2595</v>
      </c>
      <c r="D318" s="380" t="s">
        <v>2596</v>
      </c>
      <c r="E318" s="382" t="s">
        <v>2597</v>
      </c>
      <c r="F318" s="282" t="s">
        <v>2598</v>
      </c>
      <c r="G318" s="282" t="s">
        <v>2557</v>
      </c>
      <c r="J318" s="282" t="s">
        <v>1550</v>
      </c>
    </row>
    <row r="319" spans="1:10" ht="14.4" hidden="1">
      <c r="A319" s="380" t="s">
        <v>1174</v>
      </c>
      <c r="B319" s="380" t="s">
        <v>1172</v>
      </c>
      <c r="C319" s="381" t="s">
        <v>2599</v>
      </c>
      <c r="D319" s="380" t="s">
        <v>2600</v>
      </c>
      <c r="E319" s="382" t="s">
        <v>2601</v>
      </c>
      <c r="F319" s="282" t="s">
        <v>2602</v>
      </c>
      <c r="G319" s="282" t="s">
        <v>2557</v>
      </c>
      <c r="J319" s="282" t="s">
        <v>1550</v>
      </c>
    </row>
    <row r="320" spans="1:10" ht="14.4" hidden="1">
      <c r="A320" s="380" t="s">
        <v>1174</v>
      </c>
      <c r="B320" s="380" t="s">
        <v>1172</v>
      </c>
      <c r="C320" s="381" t="s">
        <v>2603</v>
      </c>
      <c r="D320" s="380" t="s">
        <v>2604</v>
      </c>
      <c r="E320" s="382" t="s">
        <v>2605</v>
      </c>
      <c r="F320" s="282" t="s">
        <v>2606</v>
      </c>
      <c r="G320" s="282" t="s">
        <v>2557</v>
      </c>
      <c r="J320" s="282" t="s">
        <v>1550</v>
      </c>
    </row>
    <row r="321" spans="1:10" ht="14.4" hidden="1">
      <c r="A321" s="380" t="s">
        <v>1174</v>
      </c>
      <c r="B321" s="380" t="s">
        <v>1172</v>
      </c>
      <c r="C321" s="381" t="s">
        <v>2607</v>
      </c>
      <c r="D321" s="380" t="s">
        <v>2608</v>
      </c>
      <c r="E321" s="382" t="s">
        <v>2609</v>
      </c>
      <c r="F321" s="282" t="s">
        <v>2610</v>
      </c>
      <c r="G321" s="282" t="s">
        <v>2611</v>
      </c>
      <c r="J321" s="282" t="s">
        <v>1550</v>
      </c>
    </row>
    <row r="322" spans="1:10" ht="14.4" hidden="1">
      <c r="A322" s="380" t="s">
        <v>1174</v>
      </c>
      <c r="B322" s="380" t="s">
        <v>1172</v>
      </c>
      <c r="C322" s="381" t="s">
        <v>2612</v>
      </c>
      <c r="D322" s="380" t="s">
        <v>2613</v>
      </c>
      <c r="E322" s="382" t="s">
        <v>2614</v>
      </c>
      <c r="F322" s="282" t="s">
        <v>2615</v>
      </c>
      <c r="G322" s="282" t="s">
        <v>2611</v>
      </c>
      <c r="J322" s="282" t="s">
        <v>1550</v>
      </c>
    </row>
    <row r="323" spans="1:10" ht="14.4" hidden="1">
      <c r="A323" s="380" t="s">
        <v>1174</v>
      </c>
      <c r="B323" s="380" t="s">
        <v>1172</v>
      </c>
      <c r="C323" s="381" t="s">
        <v>2616</v>
      </c>
      <c r="D323" s="380" t="s">
        <v>2617</v>
      </c>
      <c r="E323" s="382" t="s">
        <v>2618</v>
      </c>
      <c r="F323" s="282" t="s">
        <v>2619</v>
      </c>
      <c r="G323" s="282" t="s">
        <v>2611</v>
      </c>
      <c r="J323" s="282" t="s">
        <v>1550</v>
      </c>
    </row>
    <row r="324" spans="1:10" ht="14.4" hidden="1">
      <c r="A324" s="380" t="s">
        <v>1174</v>
      </c>
      <c r="B324" s="380" t="s">
        <v>1172</v>
      </c>
      <c r="C324" s="381" t="s">
        <v>2620</v>
      </c>
      <c r="D324" s="380" t="s">
        <v>2621</v>
      </c>
      <c r="E324" s="382" t="s">
        <v>2622</v>
      </c>
      <c r="F324" s="282" t="s">
        <v>2623</v>
      </c>
      <c r="G324" s="282" t="s">
        <v>2611</v>
      </c>
      <c r="J324" s="282" t="s">
        <v>1550</v>
      </c>
    </row>
    <row r="325" spans="1:10" ht="14.4" hidden="1">
      <c r="A325" s="380" t="s">
        <v>1174</v>
      </c>
      <c r="B325" s="380" t="s">
        <v>1172</v>
      </c>
      <c r="C325" s="381" t="s">
        <v>2624</v>
      </c>
      <c r="D325" s="380" t="s">
        <v>2621</v>
      </c>
      <c r="E325" s="382" t="s">
        <v>2622</v>
      </c>
      <c r="F325" s="282" t="s">
        <v>2625</v>
      </c>
      <c r="G325" s="282" t="s">
        <v>2611</v>
      </c>
      <c r="J325" s="282" t="s">
        <v>1550</v>
      </c>
    </row>
    <row r="326" spans="1:10" ht="14.4" hidden="1">
      <c r="A326" s="380" t="s">
        <v>1174</v>
      </c>
      <c r="B326" s="380" t="s">
        <v>1172</v>
      </c>
      <c r="C326" s="381" t="s">
        <v>2626</v>
      </c>
      <c r="D326" s="380" t="s">
        <v>2621</v>
      </c>
      <c r="E326" s="382" t="s">
        <v>2622</v>
      </c>
      <c r="F326" s="282" t="s">
        <v>2627</v>
      </c>
      <c r="G326" s="282" t="s">
        <v>2611</v>
      </c>
      <c r="J326" s="282" t="s">
        <v>1550</v>
      </c>
    </row>
    <row r="327" spans="1:10" ht="14.4" hidden="1">
      <c r="A327" s="380" t="s">
        <v>1174</v>
      </c>
      <c r="B327" s="380" t="s">
        <v>1172</v>
      </c>
      <c r="C327" s="381" t="s">
        <v>2628</v>
      </c>
      <c r="D327" s="380" t="s">
        <v>2621</v>
      </c>
      <c r="E327" s="382" t="s">
        <v>2622</v>
      </c>
      <c r="F327" s="282" t="s">
        <v>2611</v>
      </c>
      <c r="G327" s="282" t="s">
        <v>2611</v>
      </c>
      <c r="H327" s="282" t="s">
        <v>1548</v>
      </c>
      <c r="J327" s="282" t="s">
        <v>1550</v>
      </c>
    </row>
    <row r="328" spans="1:10" ht="14.4" hidden="1">
      <c r="A328" s="380" t="s">
        <v>1174</v>
      </c>
      <c r="B328" s="380" t="s">
        <v>1172</v>
      </c>
      <c r="C328" s="381" t="s">
        <v>2629</v>
      </c>
      <c r="D328" s="380" t="s">
        <v>2621</v>
      </c>
      <c r="E328" s="382" t="s">
        <v>2622</v>
      </c>
      <c r="F328" s="282" t="s">
        <v>2630</v>
      </c>
      <c r="G328" s="282" t="s">
        <v>2611</v>
      </c>
      <c r="J328" s="282" t="s">
        <v>1550</v>
      </c>
    </row>
    <row r="329" spans="1:10" ht="14.4" hidden="1">
      <c r="A329" s="380" t="s">
        <v>1174</v>
      </c>
      <c r="B329" s="380" t="s">
        <v>1172</v>
      </c>
      <c r="C329" s="381" t="s">
        <v>2631</v>
      </c>
      <c r="D329" s="380" t="s">
        <v>2621</v>
      </c>
      <c r="E329" s="382" t="s">
        <v>2622</v>
      </c>
      <c r="F329" s="282" t="s">
        <v>2632</v>
      </c>
      <c r="G329" s="282" t="s">
        <v>2611</v>
      </c>
      <c r="J329" s="282" t="s">
        <v>1550</v>
      </c>
    </row>
    <row r="330" spans="1:10" ht="14.4" hidden="1">
      <c r="A330" s="380" t="s">
        <v>1174</v>
      </c>
      <c r="B330" s="380" t="s">
        <v>1172</v>
      </c>
      <c r="C330" s="381" t="s">
        <v>2633</v>
      </c>
      <c r="D330" s="380" t="s">
        <v>2621</v>
      </c>
      <c r="E330" s="382" t="s">
        <v>2622</v>
      </c>
      <c r="F330" s="282" t="s">
        <v>2634</v>
      </c>
      <c r="G330" s="282" t="s">
        <v>2611</v>
      </c>
      <c r="J330" s="282" t="s">
        <v>1550</v>
      </c>
    </row>
    <row r="331" spans="1:10" ht="14.4" hidden="1">
      <c r="A331" s="380" t="s">
        <v>1174</v>
      </c>
      <c r="B331" s="380" t="s">
        <v>1172</v>
      </c>
      <c r="C331" s="381" t="s">
        <v>2635</v>
      </c>
      <c r="D331" s="380" t="s">
        <v>2621</v>
      </c>
      <c r="E331" s="382" t="s">
        <v>2622</v>
      </c>
      <c r="F331" s="282" t="s">
        <v>2636</v>
      </c>
      <c r="G331" s="282" t="s">
        <v>2611</v>
      </c>
      <c r="J331" s="282" t="s">
        <v>1550</v>
      </c>
    </row>
    <row r="332" spans="1:10" ht="14.4" hidden="1">
      <c r="A332" s="380" t="s">
        <v>1174</v>
      </c>
      <c r="B332" s="380" t="s">
        <v>1172</v>
      </c>
      <c r="C332" s="381" t="s">
        <v>2637</v>
      </c>
      <c r="D332" s="380" t="s">
        <v>2621</v>
      </c>
      <c r="E332" s="382" t="s">
        <v>2622</v>
      </c>
      <c r="F332" s="282" t="s">
        <v>2638</v>
      </c>
      <c r="G332" s="282" t="s">
        <v>2611</v>
      </c>
      <c r="J332" s="282" t="s">
        <v>1550</v>
      </c>
    </row>
    <row r="333" spans="1:10" ht="14.4" hidden="1">
      <c r="A333" s="380" t="s">
        <v>1174</v>
      </c>
      <c r="B333" s="380" t="s">
        <v>1172</v>
      </c>
      <c r="C333" s="381" t="s">
        <v>2639</v>
      </c>
      <c r="D333" s="380" t="s">
        <v>2621</v>
      </c>
      <c r="E333" s="382" t="s">
        <v>2622</v>
      </c>
      <c r="F333" s="282" t="s">
        <v>2640</v>
      </c>
      <c r="G333" s="282" t="s">
        <v>2611</v>
      </c>
      <c r="J333" s="282" t="s">
        <v>1550</v>
      </c>
    </row>
    <row r="334" spans="1:10" ht="14.4" hidden="1">
      <c r="A334" s="380" t="s">
        <v>1174</v>
      </c>
      <c r="B334" s="380" t="s">
        <v>1172</v>
      </c>
      <c r="C334" s="381" t="s">
        <v>2641</v>
      </c>
      <c r="D334" s="380" t="s">
        <v>2621</v>
      </c>
      <c r="E334" s="382" t="s">
        <v>2622</v>
      </c>
      <c r="F334" s="282" t="s">
        <v>2642</v>
      </c>
      <c r="G334" s="282" t="s">
        <v>2611</v>
      </c>
      <c r="J334" s="282" t="s">
        <v>1550</v>
      </c>
    </row>
    <row r="335" spans="1:10" ht="14.4" hidden="1">
      <c r="A335" s="380" t="s">
        <v>1174</v>
      </c>
      <c r="B335" s="380" t="s">
        <v>1172</v>
      </c>
      <c r="C335" s="381" t="s">
        <v>2643</v>
      </c>
      <c r="D335" s="380" t="s">
        <v>2644</v>
      </c>
      <c r="E335" s="382" t="s">
        <v>2645</v>
      </c>
      <c r="F335" s="282" t="s">
        <v>2646</v>
      </c>
      <c r="G335" s="282" t="s">
        <v>2611</v>
      </c>
      <c r="J335" s="282" t="s">
        <v>1550</v>
      </c>
    </row>
    <row r="336" spans="1:10" ht="14.4" hidden="1">
      <c r="A336" s="380" t="s">
        <v>1174</v>
      </c>
      <c r="B336" s="380" t="s">
        <v>1172</v>
      </c>
      <c r="C336" s="381" t="s">
        <v>2647</v>
      </c>
      <c r="D336" s="380" t="s">
        <v>2648</v>
      </c>
      <c r="E336" s="382" t="s">
        <v>2649</v>
      </c>
      <c r="F336" s="282" t="s">
        <v>2650</v>
      </c>
      <c r="G336" s="282" t="s">
        <v>2611</v>
      </c>
      <c r="J336" s="282" t="s">
        <v>1550</v>
      </c>
    </row>
    <row r="337" spans="1:10" ht="14.4" hidden="1">
      <c r="A337" s="380" t="s">
        <v>1174</v>
      </c>
      <c r="B337" s="380" t="s">
        <v>1172</v>
      </c>
      <c r="C337" s="381" t="s">
        <v>2651</v>
      </c>
      <c r="D337" s="380" t="s">
        <v>2652</v>
      </c>
      <c r="E337" s="382" t="s">
        <v>2653</v>
      </c>
      <c r="F337" s="282" t="s">
        <v>2654</v>
      </c>
      <c r="G337" s="282" t="s">
        <v>2611</v>
      </c>
      <c r="J337" s="282" t="s">
        <v>1550</v>
      </c>
    </row>
    <row r="338" spans="1:10" ht="14.4" hidden="1">
      <c r="A338" s="380" t="s">
        <v>1174</v>
      </c>
      <c r="B338" s="380" t="s">
        <v>1172</v>
      </c>
      <c r="C338" s="381" t="s">
        <v>2655</v>
      </c>
      <c r="D338" s="380" t="s">
        <v>2656</v>
      </c>
      <c r="E338" s="382" t="s">
        <v>2657</v>
      </c>
      <c r="F338" s="282" t="s">
        <v>2658</v>
      </c>
      <c r="G338" s="282" t="s">
        <v>2611</v>
      </c>
      <c r="J338" s="282" t="s">
        <v>1550</v>
      </c>
    </row>
    <row r="339" spans="1:10" ht="14.4" hidden="1">
      <c r="A339" s="380" t="s">
        <v>1174</v>
      </c>
      <c r="B339" s="380" t="s">
        <v>1172</v>
      </c>
      <c r="C339" s="381" t="s">
        <v>2659</v>
      </c>
      <c r="D339" s="380" t="s">
        <v>2660</v>
      </c>
      <c r="E339" s="382" t="s">
        <v>2661</v>
      </c>
      <c r="F339" s="282" t="s">
        <v>2662</v>
      </c>
      <c r="G339" s="282" t="s">
        <v>2663</v>
      </c>
      <c r="J339" s="282" t="s">
        <v>1550</v>
      </c>
    </row>
    <row r="340" spans="1:10" ht="14.4" hidden="1">
      <c r="A340" s="380" t="s">
        <v>1174</v>
      </c>
      <c r="B340" s="380" t="s">
        <v>1172</v>
      </c>
      <c r="C340" s="381" t="s">
        <v>2664</v>
      </c>
      <c r="D340" s="380" t="s">
        <v>2660</v>
      </c>
      <c r="E340" s="382" t="s">
        <v>2661</v>
      </c>
      <c r="F340" s="282" t="s">
        <v>2665</v>
      </c>
      <c r="G340" s="282" t="s">
        <v>2663</v>
      </c>
      <c r="J340" s="282" t="s">
        <v>1550</v>
      </c>
    </row>
    <row r="341" spans="1:10" ht="14.4" hidden="1">
      <c r="A341" s="380" t="s">
        <v>1174</v>
      </c>
      <c r="B341" s="380" t="s">
        <v>1172</v>
      </c>
      <c r="C341" s="381" t="s">
        <v>2666</v>
      </c>
      <c r="D341" s="380" t="s">
        <v>2660</v>
      </c>
      <c r="E341" s="382" t="s">
        <v>2661</v>
      </c>
      <c r="F341" s="282" t="s">
        <v>2667</v>
      </c>
      <c r="G341" s="282" t="s">
        <v>2663</v>
      </c>
      <c r="J341" s="282" t="s">
        <v>1550</v>
      </c>
    </row>
    <row r="342" spans="1:10" ht="14.4" hidden="1">
      <c r="A342" s="380" t="s">
        <v>1174</v>
      </c>
      <c r="B342" s="380" t="s">
        <v>1172</v>
      </c>
      <c r="C342" s="381" t="s">
        <v>2668</v>
      </c>
      <c r="D342" s="380" t="s">
        <v>2660</v>
      </c>
      <c r="E342" s="382" t="s">
        <v>2661</v>
      </c>
      <c r="F342" s="282" t="s">
        <v>2669</v>
      </c>
      <c r="G342" s="282" t="s">
        <v>2663</v>
      </c>
      <c r="J342" s="282" t="s">
        <v>1550</v>
      </c>
    </row>
    <row r="343" spans="1:10" ht="14.4" hidden="1">
      <c r="A343" s="380" t="s">
        <v>1174</v>
      </c>
      <c r="B343" s="380" t="s">
        <v>1172</v>
      </c>
      <c r="C343" s="381" t="s">
        <v>2670</v>
      </c>
      <c r="D343" s="380" t="s">
        <v>2660</v>
      </c>
      <c r="E343" s="382" t="s">
        <v>2661</v>
      </c>
      <c r="F343" s="282" t="s">
        <v>2671</v>
      </c>
      <c r="G343" s="282" t="s">
        <v>2663</v>
      </c>
      <c r="J343" s="282" t="s">
        <v>1550</v>
      </c>
    </row>
    <row r="344" spans="1:10" ht="14.4" hidden="1">
      <c r="A344" s="380" t="s">
        <v>1174</v>
      </c>
      <c r="B344" s="380" t="s">
        <v>1172</v>
      </c>
      <c r="C344" s="381" t="s">
        <v>2672</v>
      </c>
      <c r="D344" s="380" t="s">
        <v>2660</v>
      </c>
      <c r="E344" s="382" t="s">
        <v>2661</v>
      </c>
      <c r="F344" s="282" t="s">
        <v>2673</v>
      </c>
      <c r="G344" s="282" t="s">
        <v>2663</v>
      </c>
      <c r="J344" s="282" t="s">
        <v>1550</v>
      </c>
    </row>
    <row r="345" spans="1:10" ht="14.4" hidden="1">
      <c r="A345" s="380" t="s">
        <v>1174</v>
      </c>
      <c r="B345" s="380" t="s">
        <v>1172</v>
      </c>
      <c r="C345" s="381" t="s">
        <v>2674</v>
      </c>
      <c r="D345" s="380" t="s">
        <v>2660</v>
      </c>
      <c r="E345" s="382" t="s">
        <v>2661</v>
      </c>
      <c r="F345" s="282" t="s">
        <v>2675</v>
      </c>
      <c r="G345" s="282" t="s">
        <v>2663</v>
      </c>
      <c r="J345" s="282" t="s">
        <v>1550</v>
      </c>
    </row>
    <row r="346" spans="1:10" ht="14.4" hidden="1">
      <c r="A346" s="380" t="s">
        <v>1174</v>
      </c>
      <c r="B346" s="380" t="s">
        <v>1172</v>
      </c>
      <c r="C346" s="381" t="s">
        <v>2676</v>
      </c>
      <c r="D346" s="380" t="s">
        <v>2660</v>
      </c>
      <c r="E346" s="382" t="s">
        <v>2661</v>
      </c>
      <c r="F346" s="282" t="s">
        <v>2677</v>
      </c>
      <c r="G346" s="282" t="s">
        <v>2663</v>
      </c>
      <c r="J346" s="282" t="s">
        <v>1550</v>
      </c>
    </row>
    <row r="347" spans="1:10" ht="14.4" hidden="1">
      <c r="A347" s="380" t="s">
        <v>1174</v>
      </c>
      <c r="B347" s="380" t="s">
        <v>1172</v>
      </c>
      <c r="C347" s="381" t="s">
        <v>2678</v>
      </c>
      <c r="D347" s="380" t="s">
        <v>2660</v>
      </c>
      <c r="E347" s="382" t="s">
        <v>2661</v>
      </c>
      <c r="F347" s="282" t="s">
        <v>2679</v>
      </c>
      <c r="G347" s="282" t="s">
        <v>2663</v>
      </c>
      <c r="J347" s="282" t="s">
        <v>1550</v>
      </c>
    </row>
    <row r="348" spans="1:10" ht="14.4" hidden="1">
      <c r="A348" s="380" t="s">
        <v>1174</v>
      </c>
      <c r="B348" s="380" t="s">
        <v>1172</v>
      </c>
      <c r="C348" s="381" t="s">
        <v>2680</v>
      </c>
      <c r="D348" s="380" t="s">
        <v>2660</v>
      </c>
      <c r="E348" s="382" t="s">
        <v>2661</v>
      </c>
      <c r="F348" s="282" t="s">
        <v>2681</v>
      </c>
      <c r="G348" s="282" t="s">
        <v>2663</v>
      </c>
      <c r="J348" s="282" t="s">
        <v>1550</v>
      </c>
    </row>
    <row r="349" spans="1:10" ht="14.4" hidden="1">
      <c r="A349" s="380" t="s">
        <v>1174</v>
      </c>
      <c r="B349" s="380" t="s">
        <v>1172</v>
      </c>
      <c r="C349" s="381" t="s">
        <v>2682</v>
      </c>
      <c r="D349" s="380" t="s">
        <v>2660</v>
      </c>
      <c r="E349" s="382" t="s">
        <v>2661</v>
      </c>
      <c r="F349" s="282" t="s">
        <v>2683</v>
      </c>
      <c r="G349" s="282" t="s">
        <v>2663</v>
      </c>
      <c r="J349" s="282" t="s">
        <v>1550</v>
      </c>
    </row>
    <row r="350" spans="1:10" ht="14.4" hidden="1">
      <c r="A350" s="380" t="s">
        <v>1174</v>
      </c>
      <c r="B350" s="380" t="s">
        <v>1172</v>
      </c>
      <c r="C350" s="381" t="s">
        <v>2684</v>
      </c>
      <c r="D350" s="380" t="s">
        <v>2660</v>
      </c>
      <c r="E350" s="382" t="s">
        <v>2661</v>
      </c>
      <c r="F350" s="282" t="s">
        <v>2663</v>
      </c>
      <c r="G350" s="282" t="s">
        <v>2663</v>
      </c>
      <c r="J350" s="282" t="s">
        <v>1550</v>
      </c>
    </row>
    <row r="351" spans="1:10" ht="14.4" hidden="1">
      <c r="A351" s="380" t="s">
        <v>1174</v>
      </c>
      <c r="B351" s="380" t="s">
        <v>1172</v>
      </c>
      <c r="C351" s="381" t="s">
        <v>2685</v>
      </c>
      <c r="D351" s="380" t="s">
        <v>2660</v>
      </c>
      <c r="E351" s="382" t="s">
        <v>2661</v>
      </c>
      <c r="F351" s="282" t="s">
        <v>2686</v>
      </c>
      <c r="G351" s="282" t="s">
        <v>2663</v>
      </c>
      <c r="J351" s="282" t="s">
        <v>1550</v>
      </c>
    </row>
    <row r="352" spans="1:10" ht="14.4" hidden="1">
      <c r="A352" s="380" t="s">
        <v>1174</v>
      </c>
      <c r="B352" s="380" t="s">
        <v>1172</v>
      </c>
      <c r="C352" s="381" t="s">
        <v>2687</v>
      </c>
      <c r="D352" s="380" t="s">
        <v>2660</v>
      </c>
      <c r="E352" s="382" t="s">
        <v>2661</v>
      </c>
      <c r="F352" s="282" t="s">
        <v>2688</v>
      </c>
      <c r="G352" s="282" t="s">
        <v>2663</v>
      </c>
      <c r="J352" s="282" t="s">
        <v>1550</v>
      </c>
    </row>
    <row r="353" spans="1:10" ht="14.4" hidden="1">
      <c r="A353" s="380" t="s">
        <v>1174</v>
      </c>
      <c r="B353" s="380" t="s">
        <v>1172</v>
      </c>
      <c r="C353" s="381" t="s">
        <v>2689</v>
      </c>
      <c r="D353" s="380" t="s">
        <v>2660</v>
      </c>
      <c r="E353" s="382" t="s">
        <v>2661</v>
      </c>
      <c r="F353" s="282" t="s">
        <v>2690</v>
      </c>
      <c r="G353" s="282" t="s">
        <v>2663</v>
      </c>
      <c r="J353" s="282" t="s">
        <v>1550</v>
      </c>
    </row>
    <row r="354" spans="1:10" ht="14.4" hidden="1">
      <c r="A354" s="380" t="s">
        <v>1174</v>
      </c>
      <c r="B354" s="380" t="s">
        <v>1172</v>
      </c>
      <c r="C354" s="381" t="s">
        <v>2691</v>
      </c>
      <c r="D354" s="380" t="s">
        <v>2660</v>
      </c>
      <c r="E354" s="382" t="s">
        <v>2661</v>
      </c>
      <c r="F354" s="282" t="s">
        <v>2692</v>
      </c>
      <c r="G354" s="282" t="s">
        <v>2663</v>
      </c>
      <c r="J354" s="282" t="s">
        <v>1550</v>
      </c>
    </row>
    <row r="355" spans="1:10" ht="14.4" hidden="1">
      <c r="A355" s="380" t="s">
        <v>1174</v>
      </c>
      <c r="B355" s="380" t="s">
        <v>1172</v>
      </c>
      <c r="C355" s="381" t="s">
        <v>2693</v>
      </c>
      <c r="D355" s="380" t="s">
        <v>2660</v>
      </c>
      <c r="E355" s="382" t="s">
        <v>2661</v>
      </c>
      <c r="F355" s="282" t="s">
        <v>2694</v>
      </c>
      <c r="G355" s="282" t="s">
        <v>2663</v>
      </c>
      <c r="J355" s="282" t="s">
        <v>1550</v>
      </c>
    </row>
    <row r="356" spans="1:10" ht="14.4" hidden="1">
      <c r="A356" s="380" t="s">
        <v>1174</v>
      </c>
      <c r="B356" s="380" t="s">
        <v>1172</v>
      </c>
      <c r="C356" s="381" t="s">
        <v>2695</v>
      </c>
      <c r="D356" s="380" t="s">
        <v>2660</v>
      </c>
      <c r="E356" s="382" t="s">
        <v>2661</v>
      </c>
      <c r="F356" s="282" t="s">
        <v>2696</v>
      </c>
      <c r="G356" s="282" t="s">
        <v>2663</v>
      </c>
      <c r="J356" s="282" t="s">
        <v>1550</v>
      </c>
    </row>
    <row r="357" spans="1:10" ht="14.4" hidden="1">
      <c r="A357" s="380" t="s">
        <v>1174</v>
      </c>
      <c r="B357" s="380" t="s">
        <v>1172</v>
      </c>
      <c r="C357" s="381" t="s">
        <v>2697</v>
      </c>
      <c r="D357" s="380" t="s">
        <v>2660</v>
      </c>
      <c r="E357" s="382" t="s">
        <v>2661</v>
      </c>
      <c r="F357" s="282" t="s">
        <v>2698</v>
      </c>
      <c r="G357" s="282" t="s">
        <v>2663</v>
      </c>
      <c r="J357" s="282" t="s">
        <v>1550</v>
      </c>
    </row>
    <row r="358" spans="1:10" ht="14.4" hidden="1">
      <c r="A358" s="380" t="s">
        <v>1174</v>
      </c>
      <c r="B358" s="380" t="s">
        <v>1172</v>
      </c>
      <c r="C358" s="381" t="s">
        <v>2699</v>
      </c>
      <c r="D358" s="380" t="s">
        <v>2660</v>
      </c>
      <c r="E358" s="382" t="s">
        <v>2661</v>
      </c>
      <c r="F358" s="282" t="s">
        <v>2700</v>
      </c>
      <c r="G358" s="282" t="s">
        <v>2663</v>
      </c>
      <c r="J358" s="282" t="s">
        <v>1550</v>
      </c>
    </row>
    <row r="359" spans="1:10" ht="14.4" hidden="1">
      <c r="A359" s="380" t="s">
        <v>1174</v>
      </c>
      <c r="B359" s="380" t="s">
        <v>1172</v>
      </c>
      <c r="C359" s="381" t="s">
        <v>2701</v>
      </c>
      <c r="D359" s="380" t="s">
        <v>2702</v>
      </c>
      <c r="E359" s="382" t="s">
        <v>2703</v>
      </c>
      <c r="F359" s="282" t="s">
        <v>2704</v>
      </c>
      <c r="G359" s="282" t="s">
        <v>2663</v>
      </c>
      <c r="J359" s="282" t="s">
        <v>1550</v>
      </c>
    </row>
    <row r="360" spans="1:10" ht="14.4" hidden="1">
      <c r="A360" s="380" t="s">
        <v>1174</v>
      </c>
      <c r="B360" s="380" t="s">
        <v>1172</v>
      </c>
      <c r="C360" s="381" t="s">
        <v>2705</v>
      </c>
      <c r="D360" s="380" t="s">
        <v>2706</v>
      </c>
      <c r="E360" s="382" t="s">
        <v>2707</v>
      </c>
      <c r="F360" s="282" t="s">
        <v>2708</v>
      </c>
      <c r="G360" s="282" t="s">
        <v>2663</v>
      </c>
      <c r="J360" s="282" t="s">
        <v>1550</v>
      </c>
    </row>
    <row r="361" spans="1:10" ht="14.4" hidden="1">
      <c r="A361" s="380" t="s">
        <v>1174</v>
      </c>
      <c r="B361" s="380" t="s">
        <v>1172</v>
      </c>
      <c r="C361" s="381" t="s">
        <v>2709</v>
      </c>
      <c r="D361" s="380" t="s">
        <v>2710</v>
      </c>
      <c r="E361" s="382" t="s">
        <v>2711</v>
      </c>
      <c r="F361" s="282" t="s">
        <v>2712</v>
      </c>
      <c r="G361" s="282" t="s">
        <v>2663</v>
      </c>
      <c r="J361" s="282" t="s">
        <v>1550</v>
      </c>
    </row>
    <row r="362" spans="1:10" ht="14.4" hidden="1">
      <c r="A362" s="380" t="s">
        <v>1174</v>
      </c>
      <c r="B362" s="380" t="s">
        <v>1172</v>
      </c>
      <c r="C362" s="381" t="s">
        <v>2713</v>
      </c>
      <c r="D362" s="380" t="s">
        <v>2714</v>
      </c>
      <c r="E362" s="382" t="s">
        <v>2715</v>
      </c>
      <c r="F362" s="282" t="s">
        <v>2716</v>
      </c>
      <c r="G362" s="282" t="s">
        <v>2717</v>
      </c>
      <c r="J362" s="282" t="s">
        <v>1550</v>
      </c>
    </row>
    <row r="363" spans="1:10" ht="14.4" hidden="1">
      <c r="A363" s="380" t="s">
        <v>1174</v>
      </c>
      <c r="B363" s="380" t="s">
        <v>1172</v>
      </c>
      <c r="C363" s="381" t="s">
        <v>2718</v>
      </c>
      <c r="D363" s="380" t="s">
        <v>2714</v>
      </c>
      <c r="E363" s="382" t="s">
        <v>2715</v>
      </c>
      <c r="F363" s="282" t="s">
        <v>2719</v>
      </c>
      <c r="G363" s="282" t="s">
        <v>2717</v>
      </c>
      <c r="J363" s="282" t="s">
        <v>1550</v>
      </c>
    </row>
    <row r="364" spans="1:10" ht="14.4" hidden="1">
      <c r="A364" s="380" t="s">
        <v>1174</v>
      </c>
      <c r="B364" s="380" t="s">
        <v>1172</v>
      </c>
      <c r="C364" s="381" t="s">
        <v>2720</v>
      </c>
      <c r="D364" s="380" t="s">
        <v>2714</v>
      </c>
      <c r="E364" s="382" t="s">
        <v>2715</v>
      </c>
      <c r="F364" s="282" t="s">
        <v>2721</v>
      </c>
      <c r="G364" s="282" t="s">
        <v>2717</v>
      </c>
      <c r="J364" s="282" t="s">
        <v>1550</v>
      </c>
    </row>
    <row r="365" spans="1:10" ht="14.4" hidden="1">
      <c r="A365" s="380" t="s">
        <v>1174</v>
      </c>
      <c r="B365" s="380" t="s">
        <v>1172</v>
      </c>
      <c r="C365" s="381" t="s">
        <v>2722</v>
      </c>
      <c r="D365" s="380" t="s">
        <v>2714</v>
      </c>
      <c r="E365" s="382" t="s">
        <v>2715</v>
      </c>
      <c r="F365" s="282" t="s">
        <v>2723</v>
      </c>
      <c r="G365" s="282" t="s">
        <v>2717</v>
      </c>
      <c r="J365" s="282" t="s">
        <v>1550</v>
      </c>
    </row>
    <row r="366" spans="1:10" ht="14.4" hidden="1">
      <c r="A366" s="380" t="s">
        <v>1174</v>
      </c>
      <c r="B366" s="380" t="s">
        <v>1172</v>
      </c>
      <c r="C366" s="381" t="s">
        <v>2724</v>
      </c>
      <c r="D366" s="380" t="s">
        <v>2714</v>
      </c>
      <c r="E366" s="382" t="s">
        <v>2715</v>
      </c>
      <c r="F366" s="282" t="s">
        <v>2725</v>
      </c>
      <c r="G366" s="282" t="s">
        <v>2717</v>
      </c>
      <c r="J366" s="282" t="s">
        <v>1550</v>
      </c>
    </row>
    <row r="367" spans="1:10" ht="14.4" hidden="1">
      <c r="A367" s="380" t="s">
        <v>1174</v>
      </c>
      <c r="B367" s="380" t="s">
        <v>1172</v>
      </c>
      <c r="C367" s="381" t="s">
        <v>2726</v>
      </c>
      <c r="D367" s="380" t="s">
        <v>2714</v>
      </c>
      <c r="E367" s="382" t="s">
        <v>2715</v>
      </c>
      <c r="F367" s="282" t="s">
        <v>2727</v>
      </c>
      <c r="G367" s="282" t="s">
        <v>2717</v>
      </c>
      <c r="J367" s="282" t="s">
        <v>1550</v>
      </c>
    </row>
    <row r="368" spans="1:10" ht="14.4" hidden="1">
      <c r="A368" s="380" t="s">
        <v>1174</v>
      </c>
      <c r="B368" s="380" t="s">
        <v>1172</v>
      </c>
      <c r="C368" s="381" t="s">
        <v>2728</v>
      </c>
      <c r="D368" s="380" t="s">
        <v>2714</v>
      </c>
      <c r="E368" s="382" t="s">
        <v>2715</v>
      </c>
      <c r="F368" s="282" t="s">
        <v>2729</v>
      </c>
      <c r="G368" s="282" t="s">
        <v>2717</v>
      </c>
      <c r="J368" s="282" t="s">
        <v>1550</v>
      </c>
    </row>
    <row r="369" spans="1:10" ht="14.4" hidden="1">
      <c r="A369" s="380" t="s">
        <v>1174</v>
      </c>
      <c r="B369" s="380" t="s">
        <v>1172</v>
      </c>
      <c r="C369" s="381" t="s">
        <v>2730</v>
      </c>
      <c r="D369" s="380" t="s">
        <v>2714</v>
      </c>
      <c r="E369" s="382" t="s">
        <v>2715</v>
      </c>
      <c r="F369" s="282" t="s">
        <v>2731</v>
      </c>
      <c r="G369" s="282" t="s">
        <v>2717</v>
      </c>
      <c r="J369" s="282" t="s">
        <v>1550</v>
      </c>
    </row>
    <row r="370" spans="1:10" ht="14.4" hidden="1">
      <c r="A370" s="380" t="s">
        <v>1174</v>
      </c>
      <c r="B370" s="380" t="s">
        <v>1172</v>
      </c>
      <c r="C370" s="381" t="s">
        <v>2732</v>
      </c>
      <c r="D370" s="380" t="s">
        <v>2714</v>
      </c>
      <c r="E370" s="382" t="s">
        <v>2715</v>
      </c>
      <c r="F370" s="282" t="s">
        <v>2733</v>
      </c>
      <c r="G370" s="282" t="s">
        <v>2717</v>
      </c>
      <c r="J370" s="282" t="s">
        <v>1550</v>
      </c>
    </row>
    <row r="371" spans="1:10" ht="14.4" hidden="1">
      <c r="A371" s="380" t="s">
        <v>1174</v>
      </c>
      <c r="B371" s="380" t="s">
        <v>1172</v>
      </c>
      <c r="C371" s="381" t="s">
        <v>2734</v>
      </c>
      <c r="D371" s="380" t="s">
        <v>2714</v>
      </c>
      <c r="E371" s="382" t="s">
        <v>2715</v>
      </c>
      <c r="F371" s="282" t="s">
        <v>2735</v>
      </c>
      <c r="G371" s="282" t="s">
        <v>2717</v>
      </c>
      <c r="J371" s="282" t="s">
        <v>1550</v>
      </c>
    </row>
    <row r="372" spans="1:10" ht="14.4" hidden="1">
      <c r="A372" s="380" t="s">
        <v>1174</v>
      </c>
      <c r="B372" s="380" t="s">
        <v>1172</v>
      </c>
      <c r="C372" s="381" t="s">
        <v>2736</v>
      </c>
      <c r="D372" s="380" t="s">
        <v>2714</v>
      </c>
      <c r="E372" s="382" t="s">
        <v>2715</v>
      </c>
      <c r="F372" s="282" t="s">
        <v>2737</v>
      </c>
      <c r="G372" s="282" t="s">
        <v>2717</v>
      </c>
      <c r="J372" s="282" t="s">
        <v>1550</v>
      </c>
    </row>
    <row r="373" spans="1:10" ht="14.4" hidden="1">
      <c r="A373" s="380" t="s">
        <v>1174</v>
      </c>
      <c r="B373" s="380" t="s">
        <v>1172</v>
      </c>
      <c r="C373" s="381" t="s">
        <v>2738</v>
      </c>
      <c r="D373" s="380" t="s">
        <v>2714</v>
      </c>
      <c r="E373" s="382" t="s">
        <v>2715</v>
      </c>
      <c r="F373" s="282" t="s">
        <v>2739</v>
      </c>
      <c r="G373" s="282" t="s">
        <v>2717</v>
      </c>
      <c r="J373" s="282" t="s">
        <v>1550</v>
      </c>
    </row>
    <row r="374" spans="1:10" ht="14.4" hidden="1">
      <c r="A374" s="380" t="s">
        <v>1174</v>
      </c>
      <c r="B374" s="380" t="s">
        <v>1172</v>
      </c>
      <c r="C374" s="381" t="s">
        <v>2740</v>
      </c>
      <c r="D374" s="380" t="s">
        <v>2714</v>
      </c>
      <c r="E374" s="382" t="s">
        <v>2715</v>
      </c>
      <c r="F374" s="282" t="s">
        <v>2741</v>
      </c>
      <c r="G374" s="282" t="s">
        <v>2717</v>
      </c>
      <c r="J374" s="282" t="s">
        <v>1550</v>
      </c>
    </row>
    <row r="375" spans="1:10" ht="14.4" hidden="1">
      <c r="A375" s="380" t="s">
        <v>1174</v>
      </c>
      <c r="B375" s="380" t="s">
        <v>1172</v>
      </c>
      <c r="C375" s="381" t="s">
        <v>2742</v>
      </c>
      <c r="D375" s="380" t="s">
        <v>2714</v>
      </c>
      <c r="E375" s="382" t="s">
        <v>2715</v>
      </c>
      <c r="F375" s="282" t="s">
        <v>2743</v>
      </c>
      <c r="G375" s="282" t="s">
        <v>2717</v>
      </c>
      <c r="J375" s="282" t="s">
        <v>1550</v>
      </c>
    </row>
    <row r="376" spans="1:10" ht="14.4" hidden="1">
      <c r="A376" s="380" t="s">
        <v>1174</v>
      </c>
      <c r="B376" s="380" t="s">
        <v>1172</v>
      </c>
      <c r="C376" s="381" t="s">
        <v>2744</v>
      </c>
      <c r="D376" s="380" t="s">
        <v>2714</v>
      </c>
      <c r="E376" s="382" t="s">
        <v>2715</v>
      </c>
      <c r="F376" s="282" t="s">
        <v>2745</v>
      </c>
      <c r="G376" s="282" t="s">
        <v>2717</v>
      </c>
      <c r="J376" s="282" t="s">
        <v>1550</v>
      </c>
    </row>
    <row r="377" spans="1:10" ht="14.4" hidden="1">
      <c r="A377" s="380" t="s">
        <v>1174</v>
      </c>
      <c r="B377" s="380" t="s">
        <v>1172</v>
      </c>
      <c r="C377" s="381" t="s">
        <v>2746</v>
      </c>
      <c r="D377" s="380" t="s">
        <v>2714</v>
      </c>
      <c r="E377" s="382" t="s">
        <v>2715</v>
      </c>
      <c r="F377" s="282" t="s">
        <v>2747</v>
      </c>
      <c r="G377" s="282" t="s">
        <v>2717</v>
      </c>
      <c r="J377" s="282" t="s">
        <v>1550</v>
      </c>
    </row>
    <row r="378" spans="1:10" ht="14.4" hidden="1">
      <c r="A378" s="380" t="s">
        <v>1174</v>
      </c>
      <c r="B378" s="380" t="s">
        <v>1172</v>
      </c>
      <c r="C378" s="381" t="s">
        <v>2748</v>
      </c>
      <c r="D378" s="380" t="s">
        <v>2714</v>
      </c>
      <c r="E378" s="382" t="s">
        <v>2715</v>
      </c>
      <c r="F378" s="282" t="s">
        <v>2749</v>
      </c>
      <c r="G378" s="282" t="s">
        <v>2717</v>
      </c>
      <c r="J378" s="282" t="s">
        <v>1550</v>
      </c>
    </row>
    <row r="379" spans="1:10" ht="14.4" hidden="1">
      <c r="A379" s="380" t="s">
        <v>1174</v>
      </c>
      <c r="B379" s="380" t="s">
        <v>1172</v>
      </c>
      <c r="C379" s="381" t="s">
        <v>2750</v>
      </c>
      <c r="D379" s="380" t="s">
        <v>2714</v>
      </c>
      <c r="E379" s="382" t="s">
        <v>2715</v>
      </c>
      <c r="F379" s="282" t="s">
        <v>2751</v>
      </c>
      <c r="G379" s="282" t="s">
        <v>2717</v>
      </c>
      <c r="J379" s="282" t="s">
        <v>1550</v>
      </c>
    </row>
    <row r="380" spans="1:10" ht="14.4" hidden="1">
      <c r="A380" s="380" t="s">
        <v>1174</v>
      </c>
      <c r="B380" s="380" t="s">
        <v>1172</v>
      </c>
      <c r="C380" s="381" t="s">
        <v>2752</v>
      </c>
      <c r="D380" s="380" t="s">
        <v>2714</v>
      </c>
      <c r="E380" s="382" t="s">
        <v>2715</v>
      </c>
      <c r="F380" s="282" t="s">
        <v>2753</v>
      </c>
      <c r="G380" s="282" t="s">
        <v>2717</v>
      </c>
      <c r="J380" s="282" t="s">
        <v>1550</v>
      </c>
    </row>
    <row r="381" spans="1:10" ht="14.4" hidden="1">
      <c r="A381" s="380" t="s">
        <v>1174</v>
      </c>
      <c r="B381" s="380" t="s">
        <v>1172</v>
      </c>
      <c r="C381" s="381" t="s">
        <v>2754</v>
      </c>
      <c r="D381" s="380" t="s">
        <v>2714</v>
      </c>
      <c r="E381" s="382" t="s">
        <v>2715</v>
      </c>
      <c r="F381" s="282" t="s">
        <v>2755</v>
      </c>
      <c r="G381" s="282" t="s">
        <v>2717</v>
      </c>
      <c r="J381" s="282" t="s">
        <v>1550</v>
      </c>
    </row>
    <row r="382" spans="1:10" ht="14.4" hidden="1">
      <c r="A382" s="380" t="s">
        <v>1174</v>
      </c>
      <c r="B382" s="380" t="s">
        <v>1172</v>
      </c>
      <c r="C382" s="381" t="s">
        <v>2756</v>
      </c>
      <c r="D382" s="380" t="s">
        <v>2714</v>
      </c>
      <c r="E382" s="382" t="s">
        <v>2715</v>
      </c>
      <c r="F382" s="282" t="s">
        <v>2757</v>
      </c>
      <c r="G382" s="282" t="s">
        <v>2717</v>
      </c>
      <c r="J382" s="282" t="s">
        <v>1550</v>
      </c>
    </row>
    <row r="383" spans="1:10" ht="14.4" hidden="1">
      <c r="A383" s="380" t="s">
        <v>1174</v>
      </c>
      <c r="B383" s="380" t="s">
        <v>1172</v>
      </c>
      <c r="C383" s="381" t="s">
        <v>2758</v>
      </c>
      <c r="D383" s="380" t="s">
        <v>2714</v>
      </c>
      <c r="E383" s="382" t="s">
        <v>2715</v>
      </c>
      <c r="F383" s="282" t="s">
        <v>2759</v>
      </c>
      <c r="G383" s="282" t="s">
        <v>2717</v>
      </c>
      <c r="J383" s="282" t="s">
        <v>1550</v>
      </c>
    </row>
    <row r="384" spans="1:10" ht="14.4" hidden="1">
      <c r="A384" s="380" t="s">
        <v>1174</v>
      </c>
      <c r="B384" s="380" t="s">
        <v>1172</v>
      </c>
      <c r="C384" s="381" t="s">
        <v>2760</v>
      </c>
      <c r="D384" s="380" t="s">
        <v>2714</v>
      </c>
      <c r="E384" s="382" t="s">
        <v>2715</v>
      </c>
      <c r="F384" s="282" t="s">
        <v>2761</v>
      </c>
      <c r="G384" s="282" t="s">
        <v>2717</v>
      </c>
      <c r="J384" s="282" t="s">
        <v>1550</v>
      </c>
    </row>
    <row r="385" spans="1:10" ht="14.4" hidden="1">
      <c r="A385" s="380" t="s">
        <v>1174</v>
      </c>
      <c r="B385" s="380" t="s">
        <v>1172</v>
      </c>
      <c r="C385" s="381" t="s">
        <v>2762</v>
      </c>
      <c r="D385" s="380" t="s">
        <v>2714</v>
      </c>
      <c r="E385" s="382" t="s">
        <v>2715</v>
      </c>
      <c r="F385" s="282" t="s">
        <v>2763</v>
      </c>
      <c r="G385" s="282" t="s">
        <v>2717</v>
      </c>
      <c r="J385" s="282" t="s">
        <v>1550</v>
      </c>
    </row>
    <row r="386" spans="1:10" ht="14.4" hidden="1">
      <c r="A386" s="380" t="s">
        <v>1174</v>
      </c>
      <c r="B386" s="380" t="s">
        <v>1172</v>
      </c>
      <c r="C386" s="381" t="s">
        <v>2764</v>
      </c>
      <c r="D386" s="380" t="s">
        <v>2714</v>
      </c>
      <c r="E386" s="382" t="s">
        <v>2715</v>
      </c>
      <c r="F386" s="282" t="s">
        <v>2765</v>
      </c>
      <c r="G386" s="282" t="s">
        <v>2717</v>
      </c>
      <c r="J386" s="282" t="s">
        <v>1550</v>
      </c>
    </row>
    <row r="387" spans="1:10" ht="14.4" hidden="1">
      <c r="A387" s="380" t="s">
        <v>1174</v>
      </c>
      <c r="B387" s="380" t="s">
        <v>1172</v>
      </c>
      <c r="C387" s="381" t="s">
        <v>2766</v>
      </c>
      <c r="D387" s="380" t="s">
        <v>2714</v>
      </c>
      <c r="E387" s="382" t="s">
        <v>2715</v>
      </c>
      <c r="F387" s="282" t="s">
        <v>2717</v>
      </c>
      <c r="G387" s="282" t="s">
        <v>2717</v>
      </c>
      <c r="H387" s="282" t="s">
        <v>1548</v>
      </c>
      <c r="J387" s="282" t="s">
        <v>1550</v>
      </c>
    </row>
    <row r="388" spans="1:10" ht="14.4" hidden="1">
      <c r="A388" s="380" t="s">
        <v>1174</v>
      </c>
      <c r="B388" s="380" t="s">
        <v>1172</v>
      </c>
      <c r="C388" s="381" t="s">
        <v>2767</v>
      </c>
      <c r="D388" s="380" t="s">
        <v>2714</v>
      </c>
      <c r="E388" s="382" t="s">
        <v>2715</v>
      </c>
      <c r="F388" s="282" t="s">
        <v>2768</v>
      </c>
      <c r="G388" s="282" t="s">
        <v>2717</v>
      </c>
      <c r="J388" s="282" t="s">
        <v>1550</v>
      </c>
    </row>
    <row r="389" spans="1:10" ht="14.4" hidden="1">
      <c r="A389" s="380" t="s">
        <v>1174</v>
      </c>
      <c r="B389" s="380" t="s">
        <v>1172</v>
      </c>
      <c r="C389" s="381" t="s">
        <v>2769</v>
      </c>
      <c r="D389" s="380" t="s">
        <v>2714</v>
      </c>
      <c r="E389" s="382" t="s">
        <v>2715</v>
      </c>
      <c r="F389" s="282" t="s">
        <v>2770</v>
      </c>
      <c r="G389" s="282" t="s">
        <v>2717</v>
      </c>
      <c r="J389" s="282" t="s">
        <v>1550</v>
      </c>
    </row>
    <row r="390" spans="1:10" ht="14.4" hidden="1">
      <c r="A390" s="380" t="s">
        <v>1174</v>
      </c>
      <c r="B390" s="380" t="s">
        <v>1172</v>
      </c>
      <c r="C390" s="381" t="s">
        <v>2771</v>
      </c>
      <c r="D390" s="380" t="s">
        <v>2714</v>
      </c>
      <c r="E390" s="382" t="s">
        <v>2715</v>
      </c>
      <c r="F390" s="282" t="s">
        <v>2772</v>
      </c>
      <c r="G390" s="282" t="s">
        <v>2717</v>
      </c>
      <c r="J390" s="282" t="s">
        <v>1550</v>
      </c>
    </row>
    <row r="391" spans="1:10" ht="14.4" hidden="1">
      <c r="A391" s="380" t="s">
        <v>1174</v>
      </c>
      <c r="B391" s="380" t="s">
        <v>1172</v>
      </c>
      <c r="C391" s="381" t="s">
        <v>2773</v>
      </c>
      <c r="D391" s="380" t="s">
        <v>2714</v>
      </c>
      <c r="E391" s="382" t="s">
        <v>2715</v>
      </c>
      <c r="F391" s="282" t="s">
        <v>2774</v>
      </c>
      <c r="G391" s="282" t="s">
        <v>2717</v>
      </c>
      <c r="J391" s="282" t="s">
        <v>1550</v>
      </c>
    </row>
    <row r="392" spans="1:10" ht="14.4" hidden="1">
      <c r="A392" s="380" t="s">
        <v>1174</v>
      </c>
      <c r="B392" s="380" t="s">
        <v>1172</v>
      </c>
      <c r="C392" s="381" t="s">
        <v>2775</v>
      </c>
      <c r="D392" s="380" t="s">
        <v>2714</v>
      </c>
      <c r="E392" s="382" t="s">
        <v>2715</v>
      </c>
      <c r="F392" s="282" t="s">
        <v>2776</v>
      </c>
      <c r="G392" s="282" t="s">
        <v>2717</v>
      </c>
      <c r="J392" s="282" t="s">
        <v>1550</v>
      </c>
    </row>
    <row r="393" spans="1:10" ht="14.4" hidden="1">
      <c r="A393" s="380" t="s">
        <v>1174</v>
      </c>
      <c r="B393" s="380" t="s">
        <v>1172</v>
      </c>
      <c r="C393" s="381" t="s">
        <v>2777</v>
      </c>
      <c r="D393" s="380" t="s">
        <v>2714</v>
      </c>
      <c r="E393" s="382" t="s">
        <v>2715</v>
      </c>
      <c r="F393" s="282" t="s">
        <v>2778</v>
      </c>
      <c r="G393" s="282" t="s">
        <v>2717</v>
      </c>
      <c r="J393" s="282" t="s">
        <v>1550</v>
      </c>
    </row>
    <row r="394" spans="1:10" ht="14.4" hidden="1">
      <c r="A394" s="380" t="s">
        <v>1174</v>
      </c>
      <c r="B394" s="380" t="s">
        <v>1172</v>
      </c>
      <c r="C394" s="381" t="s">
        <v>2779</v>
      </c>
      <c r="D394" s="380" t="s">
        <v>2714</v>
      </c>
      <c r="E394" s="382" t="s">
        <v>2715</v>
      </c>
      <c r="F394" s="282" t="s">
        <v>2780</v>
      </c>
      <c r="G394" s="282" t="s">
        <v>2717</v>
      </c>
      <c r="J394" s="282" t="s">
        <v>1550</v>
      </c>
    </row>
    <row r="395" spans="1:10" ht="14.4" hidden="1">
      <c r="A395" s="380" t="s">
        <v>1174</v>
      </c>
      <c r="B395" s="380" t="s">
        <v>1172</v>
      </c>
      <c r="C395" s="381" t="s">
        <v>2781</v>
      </c>
      <c r="D395" s="380" t="s">
        <v>2714</v>
      </c>
      <c r="E395" s="382" t="s">
        <v>2715</v>
      </c>
      <c r="F395" s="282" t="s">
        <v>2782</v>
      </c>
      <c r="G395" s="282" t="s">
        <v>2717</v>
      </c>
      <c r="J395" s="282" t="s">
        <v>1550</v>
      </c>
    </row>
    <row r="396" spans="1:10" ht="14.4" hidden="1">
      <c r="A396" s="380" t="s">
        <v>1174</v>
      </c>
      <c r="B396" s="380" t="s">
        <v>1172</v>
      </c>
      <c r="C396" s="381" t="s">
        <v>2783</v>
      </c>
      <c r="D396" s="380" t="s">
        <v>2714</v>
      </c>
      <c r="E396" s="382" t="s">
        <v>2715</v>
      </c>
      <c r="F396" s="282" t="s">
        <v>2784</v>
      </c>
      <c r="G396" s="282" t="s">
        <v>2717</v>
      </c>
      <c r="J396" s="282" t="s">
        <v>1550</v>
      </c>
    </row>
    <row r="397" spans="1:10" ht="14.4" hidden="1">
      <c r="A397" s="380" t="s">
        <v>1174</v>
      </c>
      <c r="B397" s="380" t="s">
        <v>1172</v>
      </c>
      <c r="C397" s="381" t="s">
        <v>2785</v>
      </c>
      <c r="D397" s="380" t="s">
        <v>2714</v>
      </c>
      <c r="E397" s="382" t="s">
        <v>2715</v>
      </c>
      <c r="F397" s="282" t="s">
        <v>2786</v>
      </c>
      <c r="G397" s="282" t="s">
        <v>2717</v>
      </c>
      <c r="J397" s="282" t="s">
        <v>1550</v>
      </c>
    </row>
    <row r="398" spans="1:10" ht="14.4" hidden="1">
      <c r="A398" s="380" t="s">
        <v>1174</v>
      </c>
      <c r="B398" s="380" t="s">
        <v>1172</v>
      </c>
      <c r="C398" s="381" t="s">
        <v>2787</v>
      </c>
      <c r="D398" s="380" t="s">
        <v>2714</v>
      </c>
      <c r="E398" s="382" t="s">
        <v>2715</v>
      </c>
      <c r="F398" s="282" t="s">
        <v>2788</v>
      </c>
      <c r="G398" s="282" t="s">
        <v>2717</v>
      </c>
      <c r="J398" s="282" t="s">
        <v>1550</v>
      </c>
    </row>
    <row r="399" spans="1:10" ht="14.4" hidden="1">
      <c r="A399" s="380" t="s">
        <v>1174</v>
      </c>
      <c r="B399" s="380" t="s">
        <v>1172</v>
      </c>
      <c r="C399" s="381" t="s">
        <v>2789</v>
      </c>
      <c r="D399" s="380" t="s">
        <v>2714</v>
      </c>
      <c r="E399" s="382" t="s">
        <v>2715</v>
      </c>
      <c r="F399" s="282" t="s">
        <v>2790</v>
      </c>
      <c r="G399" s="282" t="s">
        <v>2717</v>
      </c>
      <c r="J399" s="282" t="s">
        <v>1550</v>
      </c>
    </row>
    <row r="400" spans="1:10" ht="14.4" hidden="1">
      <c r="A400" s="380" t="s">
        <v>1174</v>
      </c>
      <c r="B400" s="380" t="s">
        <v>1172</v>
      </c>
      <c r="C400" s="381" t="s">
        <v>2791</v>
      </c>
      <c r="D400" s="380" t="s">
        <v>2714</v>
      </c>
      <c r="E400" s="382" t="s">
        <v>2715</v>
      </c>
      <c r="F400" s="282" t="s">
        <v>2792</v>
      </c>
      <c r="G400" s="282" t="s">
        <v>2717</v>
      </c>
      <c r="J400" s="282" t="s">
        <v>1550</v>
      </c>
    </row>
    <row r="401" spans="1:10" ht="14.4" hidden="1">
      <c r="A401" s="380" t="s">
        <v>1174</v>
      </c>
      <c r="B401" s="380" t="s">
        <v>1172</v>
      </c>
      <c r="C401" s="381" t="s">
        <v>2793</v>
      </c>
      <c r="D401" s="380" t="s">
        <v>2714</v>
      </c>
      <c r="E401" s="382" t="s">
        <v>2715</v>
      </c>
      <c r="F401" s="282" t="s">
        <v>2794</v>
      </c>
      <c r="G401" s="282" t="s">
        <v>2717</v>
      </c>
      <c r="J401" s="282" t="s">
        <v>1550</v>
      </c>
    </row>
    <row r="402" spans="1:10" ht="14.4" hidden="1">
      <c r="A402" s="380" t="s">
        <v>1174</v>
      </c>
      <c r="B402" s="380" t="s">
        <v>1172</v>
      </c>
      <c r="C402" s="381" t="s">
        <v>2795</v>
      </c>
      <c r="D402" s="380" t="s">
        <v>2714</v>
      </c>
      <c r="E402" s="382" t="s">
        <v>2715</v>
      </c>
      <c r="F402" s="282" t="s">
        <v>2796</v>
      </c>
      <c r="G402" s="282" t="s">
        <v>2717</v>
      </c>
      <c r="H402" s="282" t="s">
        <v>1548</v>
      </c>
      <c r="J402" s="282" t="s">
        <v>1550</v>
      </c>
    </row>
    <row r="403" spans="1:10" ht="14.4" hidden="1">
      <c r="A403" s="380" t="s">
        <v>1174</v>
      </c>
      <c r="B403" s="380" t="s">
        <v>1172</v>
      </c>
      <c r="C403" s="381" t="s">
        <v>2797</v>
      </c>
      <c r="D403" s="380" t="s">
        <v>2798</v>
      </c>
      <c r="E403" s="382" t="s">
        <v>2799</v>
      </c>
      <c r="F403" s="282" t="s">
        <v>2800</v>
      </c>
      <c r="G403" s="282" t="s">
        <v>2801</v>
      </c>
      <c r="J403" s="282" t="s">
        <v>1550</v>
      </c>
    </row>
    <row r="404" spans="1:10" ht="14.4" hidden="1">
      <c r="A404" s="380" t="s">
        <v>1174</v>
      </c>
      <c r="B404" s="380" t="s">
        <v>1172</v>
      </c>
      <c r="C404" s="381" t="s">
        <v>2802</v>
      </c>
      <c r="D404" s="380" t="s">
        <v>2803</v>
      </c>
      <c r="E404" s="382" t="s">
        <v>2804</v>
      </c>
      <c r="F404" s="282" t="s">
        <v>2805</v>
      </c>
      <c r="G404" s="282" t="s">
        <v>2801</v>
      </c>
      <c r="J404" s="282" t="s">
        <v>1550</v>
      </c>
    </row>
    <row r="405" spans="1:10" ht="14.4" hidden="1">
      <c r="A405" s="380" t="s">
        <v>1174</v>
      </c>
      <c r="B405" s="380" t="s">
        <v>1172</v>
      </c>
      <c r="C405" s="381" t="s">
        <v>2806</v>
      </c>
      <c r="D405" s="380" t="s">
        <v>2807</v>
      </c>
      <c r="E405" s="382" t="s">
        <v>2808</v>
      </c>
      <c r="F405" s="282" t="s">
        <v>2809</v>
      </c>
      <c r="G405" s="282" t="s">
        <v>2801</v>
      </c>
      <c r="J405" s="282" t="s">
        <v>1550</v>
      </c>
    </row>
    <row r="406" spans="1:10" ht="14.4" hidden="1">
      <c r="A406" s="380" t="s">
        <v>1174</v>
      </c>
      <c r="B406" s="380" t="s">
        <v>1172</v>
      </c>
      <c r="C406" s="381" t="s">
        <v>2810</v>
      </c>
      <c r="D406" s="380" t="s">
        <v>2811</v>
      </c>
      <c r="E406" s="382" t="s">
        <v>2812</v>
      </c>
      <c r="F406" s="282" t="s">
        <v>2813</v>
      </c>
      <c r="G406" s="282" t="s">
        <v>2801</v>
      </c>
      <c r="J406" s="282" t="s">
        <v>1550</v>
      </c>
    </row>
    <row r="407" spans="1:10" ht="14.4" hidden="1">
      <c r="A407" s="380" t="s">
        <v>1174</v>
      </c>
      <c r="B407" s="380" t="s">
        <v>1172</v>
      </c>
      <c r="C407" s="381" t="s">
        <v>2814</v>
      </c>
      <c r="D407" s="380" t="s">
        <v>2815</v>
      </c>
      <c r="E407" s="382" t="s">
        <v>2816</v>
      </c>
      <c r="F407" s="282" t="s">
        <v>2817</v>
      </c>
      <c r="G407" s="282" t="s">
        <v>2801</v>
      </c>
      <c r="J407" s="282" t="s">
        <v>1550</v>
      </c>
    </row>
    <row r="408" spans="1:10" ht="14.4" hidden="1">
      <c r="A408" s="380" t="s">
        <v>1174</v>
      </c>
      <c r="B408" s="380" t="s">
        <v>1172</v>
      </c>
      <c r="C408" s="381" t="s">
        <v>2818</v>
      </c>
      <c r="D408" s="380" t="s">
        <v>2819</v>
      </c>
      <c r="E408" s="382" t="s">
        <v>2820</v>
      </c>
      <c r="F408" s="282" t="s">
        <v>2821</v>
      </c>
      <c r="G408" s="282" t="s">
        <v>2801</v>
      </c>
      <c r="J408" s="282" t="s">
        <v>1550</v>
      </c>
    </row>
    <row r="409" spans="1:10" ht="14.4" hidden="1">
      <c r="A409" s="380" t="s">
        <v>1174</v>
      </c>
      <c r="B409" s="380" t="s">
        <v>1172</v>
      </c>
      <c r="C409" s="381" t="s">
        <v>2822</v>
      </c>
      <c r="D409" s="380" t="s">
        <v>2823</v>
      </c>
      <c r="E409" s="382" t="s">
        <v>2824</v>
      </c>
      <c r="F409" s="282" t="s">
        <v>2825</v>
      </c>
      <c r="G409" s="282" t="s">
        <v>2801</v>
      </c>
      <c r="J409" s="282" t="s">
        <v>1550</v>
      </c>
    </row>
    <row r="410" spans="1:10" ht="14.4" hidden="1">
      <c r="A410" s="380" t="s">
        <v>1174</v>
      </c>
      <c r="B410" s="380" t="s">
        <v>1172</v>
      </c>
      <c r="C410" s="381" t="s">
        <v>2826</v>
      </c>
      <c r="D410" s="380" t="s">
        <v>2827</v>
      </c>
      <c r="E410" s="382" t="s">
        <v>2828</v>
      </c>
      <c r="F410" s="282" t="s">
        <v>2829</v>
      </c>
      <c r="G410" s="282" t="s">
        <v>2801</v>
      </c>
      <c r="J410" s="282" t="s">
        <v>1550</v>
      </c>
    </row>
    <row r="411" spans="1:10" ht="14.4" hidden="1">
      <c r="A411" s="380" t="s">
        <v>1174</v>
      </c>
      <c r="B411" s="380" t="s">
        <v>1172</v>
      </c>
      <c r="C411" s="381" t="s">
        <v>2830</v>
      </c>
      <c r="D411" s="380" t="s">
        <v>2831</v>
      </c>
      <c r="E411" s="382" t="s">
        <v>2832</v>
      </c>
      <c r="F411" s="282" t="s">
        <v>2833</v>
      </c>
      <c r="G411" s="282" t="s">
        <v>2801</v>
      </c>
      <c r="J411" s="282" t="s">
        <v>1550</v>
      </c>
    </row>
    <row r="412" spans="1:10" ht="14.4" hidden="1">
      <c r="A412" s="380" t="s">
        <v>1174</v>
      </c>
      <c r="B412" s="380" t="s">
        <v>1172</v>
      </c>
      <c r="C412" s="381" t="s">
        <v>2834</v>
      </c>
      <c r="D412" s="380" t="s">
        <v>2835</v>
      </c>
      <c r="E412" s="382" t="s">
        <v>2836</v>
      </c>
      <c r="F412" s="282" t="s">
        <v>2837</v>
      </c>
      <c r="G412" s="282" t="s">
        <v>2801</v>
      </c>
      <c r="J412" s="282" t="s">
        <v>1550</v>
      </c>
    </row>
    <row r="413" spans="1:10" ht="14.4" hidden="1">
      <c r="A413" s="380" t="s">
        <v>1174</v>
      </c>
      <c r="B413" s="380" t="s">
        <v>1172</v>
      </c>
      <c r="C413" s="381" t="s">
        <v>2838</v>
      </c>
      <c r="D413" s="380" t="s">
        <v>2839</v>
      </c>
      <c r="E413" s="382" t="s">
        <v>2840</v>
      </c>
      <c r="F413" s="282" t="s">
        <v>2841</v>
      </c>
      <c r="G413" s="282" t="s">
        <v>2801</v>
      </c>
      <c r="J413" s="282" t="s">
        <v>1550</v>
      </c>
    </row>
    <row r="414" spans="1:10" ht="14.4" hidden="1">
      <c r="A414" s="380" t="s">
        <v>1174</v>
      </c>
      <c r="B414" s="380" t="s">
        <v>1172</v>
      </c>
      <c r="C414" s="381" t="s">
        <v>2842</v>
      </c>
      <c r="D414" s="380" t="s">
        <v>2843</v>
      </c>
      <c r="E414" s="382" t="s">
        <v>2844</v>
      </c>
      <c r="F414" s="282" t="s">
        <v>2845</v>
      </c>
      <c r="G414" s="282" t="s">
        <v>2801</v>
      </c>
      <c r="J414" s="282" t="s">
        <v>1550</v>
      </c>
    </row>
    <row r="415" spans="1:10" ht="14.4" hidden="1">
      <c r="A415" s="380" t="s">
        <v>1174</v>
      </c>
      <c r="B415" s="380" t="s">
        <v>1172</v>
      </c>
      <c r="C415" s="381" t="s">
        <v>2846</v>
      </c>
      <c r="D415" s="380" t="s">
        <v>2847</v>
      </c>
      <c r="E415" s="382" t="s">
        <v>2848</v>
      </c>
      <c r="F415" s="282" t="s">
        <v>2849</v>
      </c>
      <c r="G415" s="282" t="s">
        <v>2801</v>
      </c>
      <c r="J415" s="282" t="s">
        <v>1550</v>
      </c>
    </row>
    <row r="416" spans="1:10" ht="14.4" hidden="1">
      <c r="A416" s="380" t="s">
        <v>1174</v>
      </c>
      <c r="B416" s="380" t="s">
        <v>1172</v>
      </c>
      <c r="C416" s="381" t="s">
        <v>2850</v>
      </c>
      <c r="D416" s="380" t="s">
        <v>2851</v>
      </c>
      <c r="E416" s="382" t="s">
        <v>2852</v>
      </c>
      <c r="F416" s="282" t="s">
        <v>2853</v>
      </c>
      <c r="G416" s="282" t="s">
        <v>2801</v>
      </c>
      <c r="J416" s="282" t="s">
        <v>1550</v>
      </c>
    </row>
    <row r="417" spans="1:10" ht="14.4" hidden="1">
      <c r="A417" s="380" t="s">
        <v>1174</v>
      </c>
      <c r="B417" s="380" t="s">
        <v>1172</v>
      </c>
      <c r="C417" s="381" t="s">
        <v>2854</v>
      </c>
      <c r="D417" s="380" t="s">
        <v>2855</v>
      </c>
      <c r="E417" s="382" t="s">
        <v>2856</v>
      </c>
      <c r="F417" s="282" t="s">
        <v>2857</v>
      </c>
      <c r="G417" s="282" t="s">
        <v>2801</v>
      </c>
      <c r="J417" s="282" t="s">
        <v>1550</v>
      </c>
    </row>
    <row r="418" spans="1:10" ht="14.4" hidden="1">
      <c r="A418" s="380" t="s">
        <v>1174</v>
      </c>
      <c r="B418" s="380" t="s">
        <v>1172</v>
      </c>
      <c r="C418" s="381" t="s">
        <v>2858</v>
      </c>
      <c r="D418" s="380" t="s">
        <v>2859</v>
      </c>
      <c r="E418" s="382" t="s">
        <v>2860</v>
      </c>
      <c r="F418" s="282" t="s">
        <v>2861</v>
      </c>
      <c r="G418" s="282" t="s">
        <v>2801</v>
      </c>
      <c r="J418" s="282" t="s">
        <v>1550</v>
      </c>
    </row>
    <row r="419" spans="1:10" ht="14.4" hidden="1">
      <c r="A419" s="380" t="s">
        <v>1174</v>
      </c>
      <c r="B419" s="380" t="s">
        <v>1172</v>
      </c>
      <c r="C419" s="381" t="s">
        <v>2862</v>
      </c>
      <c r="D419" s="380" t="s">
        <v>2863</v>
      </c>
      <c r="E419" s="382" t="s">
        <v>2864</v>
      </c>
      <c r="F419" s="282" t="s">
        <v>2865</v>
      </c>
      <c r="G419" s="282" t="s">
        <v>2801</v>
      </c>
      <c r="J419" s="282" t="s">
        <v>1550</v>
      </c>
    </row>
    <row r="420" spans="1:10" ht="14.4" hidden="1">
      <c r="A420" s="380" t="s">
        <v>1174</v>
      </c>
      <c r="B420" s="380" t="s">
        <v>1172</v>
      </c>
      <c r="C420" s="381" t="s">
        <v>2866</v>
      </c>
      <c r="D420" s="380" t="s">
        <v>2867</v>
      </c>
      <c r="E420" s="382" t="s">
        <v>2868</v>
      </c>
      <c r="F420" s="282" t="s">
        <v>2869</v>
      </c>
      <c r="G420" s="282" t="s">
        <v>2801</v>
      </c>
      <c r="J420" s="282" t="s">
        <v>1550</v>
      </c>
    </row>
    <row r="421" spans="1:10" ht="14.4" hidden="1">
      <c r="A421" s="380" t="s">
        <v>1174</v>
      </c>
      <c r="B421" s="380" t="s">
        <v>1172</v>
      </c>
      <c r="C421" s="381" t="s">
        <v>2870</v>
      </c>
      <c r="D421" s="380" t="s">
        <v>2871</v>
      </c>
      <c r="E421" s="382" t="s">
        <v>2872</v>
      </c>
      <c r="F421" s="282" t="s">
        <v>2873</v>
      </c>
      <c r="G421" s="282" t="s">
        <v>2801</v>
      </c>
      <c r="J421" s="282" t="s">
        <v>1550</v>
      </c>
    </row>
    <row r="422" spans="1:10" ht="14.4" hidden="1">
      <c r="A422" s="380" t="s">
        <v>1174</v>
      </c>
      <c r="B422" s="380" t="s">
        <v>1172</v>
      </c>
      <c r="C422" s="381" t="s">
        <v>2874</v>
      </c>
      <c r="D422" s="380" t="s">
        <v>2875</v>
      </c>
      <c r="E422" s="382" t="s">
        <v>2876</v>
      </c>
      <c r="F422" s="282" t="s">
        <v>2877</v>
      </c>
      <c r="G422" s="282" t="s">
        <v>2801</v>
      </c>
      <c r="J422" s="282" t="s">
        <v>1550</v>
      </c>
    </row>
    <row r="423" spans="1:10" ht="14.4" hidden="1">
      <c r="A423" s="380" t="s">
        <v>1174</v>
      </c>
      <c r="B423" s="380" t="s">
        <v>1172</v>
      </c>
      <c r="C423" s="381" t="s">
        <v>2878</v>
      </c>
      <c r="D423" s="380" t="s">
        <v>2879</v>
      </c>
      <c r="E423" s="382" t="s">
        <v>2880</v>
      </c>
      <c r="F423" s="282" t="s">
        <v>2881</v>
      </c>
      <c r="G423" s="282" t="s">
        <v>2801</v>
      </c>
      <c r="J423" s="282" t="s">
        <v>1550</v>
      </c>
    </row>
    <row r="424" spans="1:10" ht="14.4" hidden="1">
      <c r="A424" s="380" t="s">
        <v>1174</v>
      </c>
      <c r="B424" s="380" t="s">
        <v>1172</v>
      </c>
      <c r="C424" s="381" t="s">
        <v>2882</v>
      </c>
      <c r="D424" s="380" t="s">
        <v>2883</v>
      </c>
      <c r="E424" s="382" t="s">
        <v>2884</v>
      </c>
      <c r="F424" s="282" t="s">
        <v>2885</v>
      </c>
      <c r="G424" s="282" t="s">
        <v>2801</v>
      </c>
      <c r="J424" s="282" t="s">
        <v>1550</v>
      </c>
    </row>
    <row r="425" spans="1:10" ht="14.4" hidden="1">
      <c r="A425" s="380" t="s">
        <v>1174</v>
      </c>
      <c r="B425" s="380" t="s">
        <v>1172</v>
      </c>
      <c r="C425" s="381" t="s">
        <v>2886</v>
      </c>
      <c r="D425" s="380" t="s">
        <v>2887</v>
      </c>
      <c r="E425" s="382" t="s">
        <v>2888</v>
      </c>
      <c r="F425" s="282" t="s">
        <v>2889</v>
      </c>
      <c r="G425" s="282" t="s">
        <v>2801</v>
      </c>
      <c r="J425" s="282" t="s">
        <v>1550</v>
      </c>
    </row>
    <row r="426" spans="1:10" ht="14.4" hidden="1">
      <c r="A426" s="380" t="s">
        <v>1174</v>
      </c>
      <c r="B426" s="380" t="s">
        <v>1172</v>
      </c>
      <c r="C426" s="381" t="s">
        <v>2890</v>
      </c>
      <c r="D426" s="380" t="s">
        <v>2891</v>
      </c>
      <c r="E426" s="382" t="s">
        <v>2892</v>
      </c>
      <c r="F426" s="282" t="s">
        <v>2893</v>
      </c>
      <c r="G426" s="282" t="s">
        <v>2801</v>
      </c>
      <c r="J426" s="282" t="s">
        <v>1550</v>
      </c>
    </row>
    <row r="427" spans="1:10" ht="14.4" hidden="1">
      <c r="A427" s="380" t="s">
        <v>1174</v>
      </c>
      <c r="B427" s="380" t="s">
        <v>1172</v>
      </c>
      <c r="C427" s="381" t="s">
        <v>2894</v>
      </c>
      <c r="D427" s="380" t="s">
        <v>2895</v>
      </c>
      <c r="E427" s="382" t="s">
        <v>2896</v>
      </c>
      <c r="F427" s="282" t="s">
        <v>2897</v>
      </c>
      <c r="G427" s="282" t="s">
        <v>2801</v>
      </c>
      <c r="J427" s="282" t="s">
        <v>1550</v>
      </c>
    </row>
    <row r="428" spans="1:10" ht="14.4" hidden="1">
      <c r="A428" s="380" t="s">
        <v>1174</v>
      </c>
      <c r="B428" s="380" t="s">
        <v>1172</v>
      </c>
      <c r="C428" s="381" t="s">
        <v>2898</v>
      </c>
      <c r="D428" s="380" t="s">
        <v>2899</v>
      </c>
      <c r="E428" s="382" t="s">
        <v>2900</v>
      </c>
      <c r="F428" s="282" t="s">
        <v>2901</v>
      </c>
      <c r="G428" s="282" t="s">
        <v>2801</v>
      </c>
      <c r="J428" s="282" t="s">
        <v>1550</v>
      </c>
    </row>
    <row r="429" spans="1:10" ht="14.4" hidden="1">
      <c r="A429" s="380" t="s">
        <v>1174</v>
      </c>
      <c r="B429" s="380" t="s">
        <v>1172</v>
      </c>
      <c r="C429" s="381" t="s">
        <v>2902</v>
      </c>
      <c r="D429" s="380" t="s">
        <v>2903</v>
      </c>
      <c r="E429" s="382" t="s">
        <v>2904</v>
      </c>
      <c r="F429" s="282" t="s">
        <v>2905</v>
      </c>
      <c r="G429" s="282" t="s">
        <v>2801</v>
      </c>
      <c r="J429" s="282" t="s">
        <v>1550</v>
      </c>
    </row>
    <row r="430" spans="1:10" ht="14.4" hidden="1">
      <c r="A430" s="380" t="s">
        <v>1174</v>
      </c>
      <c r="B430" s="380" t="s">
        <v>1172</v>
      </c>
      <c r="C430" s="381" t="s">
        <v>2906</v>
      </c>
      <c r="D430" s="380" t="s">
        <v>2907</v>
      </c>
      <c r="E430" s="382" t="s">
        <v>2908</v>
      </c>
      <c r="F430" s="282" t="s">
        <v>2909</v>
      </c>
      <c r="G430" s="282" t="s">
        <v>2910</v>
      </c>
      <c r="J430" s="282" t="s">
        <v>1550</v>
      </c>
    </row>
    <row r="431" spans="1:10" ht="14.4" hidden="1">
      <c r="A431" s="380" t="s">
        <v>1174</v>
      </c>
      <c r="B431" s="380" t="s">
        <v>1172</v>
      </c>
      <c r="C431" s="381" t="s">
        <v>2911</v>
      </c>
      <c r="D431" s="380" t="s">
        <v>2912</v>
      </c>
      <c r="E431" s="382" t="s">
        <v>2913</v>
      </c>
      <c r="F431" s="282" t="s">
        <v>2914</v>
      </c>
      <c r="G431" s="282" t="s">
        <v>2910</v>
      </c>
      <c r="J431" s="282" t="s">
        <v>1550</v>
      </c>
    </row>
    <row r="432" spans="1:10" ht="14.4" hidden="1">
      <c r="A432" s="380" t="s">
        <v>1174</v>
      </c>
      <c r="B432" s="380" t="s">
        <v>1172</v>
      </c>
      <c r="C432" s="381" t="s">
        <v>2915</v>
      </c>
      <c r="D432" s="380" t="s">
        <v>2912</v>
      </c>
      <c r="E432" s="382" t="s">
        <v>2913</v>
      </c>
      <c r="F432" s="282" t="s">
        <v>2910</v>
      </c>
      <c r="G432" s="282" t="s">
        <v>2910</v>
      </c>
      <c r="J432" s="282" t="s">
        <v>1550</v>
      </c>
    </row>
    <row r="433" spans="1:10" ht="14.4" hidden="1">
      <c r="A433" s="380" t="s">
        <v>1174</v>
      </c>
      <c r="B433" s="380" t="s">
        <v>1172</v>
      </c>
      <c r="C433" s="381" t="s">
        <v>2916</v>
      </c>
      <c r="D433" s="380" t="s">
        <v>2917</v>
      </c>
      <c r="E433" s="382" t="s">
        <v>2918</v>
      </c>
      <c r="F433" s="282" t="s">
        <v>2919</v>
      </c>
      <c r="G433" s="282" t="s">
        <v>2910</v>
      </c>
      <c r="J433" s="282" t="s">
        <v>1550</v>
      </c>
    </row>
    <row r="434" spans="1:10" ht="14.4" hidden="1">
      <c r="A434" s="380" t="s">
        <v>1174</v>
      </c>
      <c r="B434" s="380" t="s">
        <v>1172</v>
      </c>
      <c r="C434" s="381" t="s">
        <v>2920</v>
      </c>
      <c r="D434" s="380" t="s">
        <v>2921</v>
      </c>
      <c r="E434" s="382" t="s">
        <v>2922</v>
      </c>
      <c r="F434" s="282" t="s">
        <v>2923</v>
      </c>
      <c r="G434" s="282" t="s">
        <v>2910</v>
      </c>
      <c r="J434" s="282" t="s">
        <v>1550</v>
      </c>
    </row>
    <row r="435" spans="1:10" ht="14.4" hidden="1">
      <c r="A435" s="380" t="s">
        <v>1174</v>
      </c>
      <c r="B435" s="380" t="s">
        <v>1172</v>
      </c>
      <c r="C435" s="381" t="s">
        <v>2924</v>
      </c>
      <c r="D435" s="380" t="s">
        <v>2925</v>
      </c>
      <c r="E435" s="382" t="s">
        <v>2926</v>
      </c>
      <c r="F435" s="282" t="s">
        <v>2927</v>
      </c>
      <c r="G435" s="282" t="s">
        <v>2910</v>
      </c>
      <c r="J435" s="282" t="s">
        <v>1550</v>
      </c>
    </row>
    <row r="436" spans="1:10" ht="14.4" hidden="1">
      <c r="A436" s="380" t="s">
        <v>1174</v>
      </c>
      <c r="B436" s="380" t="s">
        <v>1172</v>
      </c>
      <c r="C436" s="381" t="s">
        <v>2928</v>
      </c>
      <c r="D436" s="380" t="s">
        <v>2929</v>
      </c>
      <c r="E436" s="382" t="s">
        <v>2930</v>
      </c>
      <c r="F436" s="282" t="s">
        <v>2931</v>
      </c>
      <c r="G436" s="282" t="s">
        <v>2910</v>
      </c>
      <c r="J436" s="282" t="s">
        <v>1550</v>
      </c>
    </row>
    <row r="437" spans="1:10" ht="14.4" hidden="1">
      <c r="A437" s="380" t="s">
        <v>1174</v>
      </c>
      <c r="B437" s="380" t="s">
        <v>1172</v>
      </c>
      <c r="C437" s="381" t="s">
        <v>2932</v>
      </c>
      <c r="D437" s="380" t="s">
        <v>2933</v>
      </c>
      <c r="E437" s="382" t="s">
        <v>2934</v>
      </c>
      <c r="F437" s="282" t="s">
        <v>2935</v>
      </c>
      <c r="G437" s="282" t="s">
        <v>2910</v>
      </c>
      <c r="J437" s="282" t="s">
        <v>1550</v>
      </c>
    </row>
    <row r="438" spans="1:10" ht="14.4" hidden="1">
      <c r="A438" s="380" t="s">
        <v>1174</v>
      </c>
      <c r="B438" s="380" t="s">
        <v>1172</v>
      </c>
      <c r="C438" s="381" t="s">
        <v>2936</v>
      </c>
      <c r="D438" s="380" t="s">
        <v>2937</v>
      </c>
      <c r="E438" s="382" t="s">
        <v>2938</v>
      </c>
      <c r="F438" s="282" t="s">
        <v>2939</v>
      </c>
      <c r="G438" s="282" t="s">
        <v>2910</v>
      </c>
      <c r="J438" s="282" t="s">
        <v>1550</v>
      </c>
    </row>
    <row r="439" spans="1:10" ht="14.4" hidden="1">
      <c r="A439" s="380" t="s">
        <v>1174</v>
      </c>
      <c r="B439" s="380" t="s">
        <v>1172</v>
      </c>
      <c r="C439" s="381" t="s">
        <v>2940</v>
      </c>
      <c r="D439" s="380" t="s">
        <v>2941</v>
      </c>
      <c r="E439" s="382" t="s">
        <v>2942</v>
      </c>
      <c r="F439" s="282" t="s">
        <v>2943</v>
      </c>
      <c r="G439" s="282" t="s">
        <v>2944</v>
      </c>
      <c r="J439" s="282" t="s">
        <v>1550</v>
      </c>
    </row>
    <row r="440" spans="1:10" ht="14.4" hidden="1">
      <c r="A440" s="380" t="s">
        <v>1174</v>
      </c>
      <c r="B440" s="380" t="s">
        <v>1172</v>
      </c>
      <c r="C440" s="381" t="s">
        <v>2945</v>
      </c>
      <c r="D440" s="380" t="s">
        <v>2946</v>
      </c>
      <c r="E440" s="382" t="s">
        <v>2947</v>
      </c>
      <c r="F440" s="282" t="s">
        <v>2948</v>
      </c>
      <c r="G440" s="282" t="s">
        <v>2944</v>
      </c>
      <c r="J440" s="282" t="s">
        <v>1550</v>
      </c>
    </row>
    <row r="441" spans="1:10" ht="14.4" hidden="1">
      <c r="A441" s="380" t="s">
        <v>1174</v>
      </c>
      <c r="B441" s="380" t="s">
        <v>1172</v>
      </c>
      <c r="C441" s="381" t="s">
        <v>2949</v>
      </c>
      <c r="D441" s="380" t="s">
        <v>2950</v>
      </c>
      <c r="E441" s="382" t="s">
        <v>2951</v>
      </c>
      <c r="F441" s="282" t="s">
        <v>2952</v>
      </c>
      <c r="G441" s="282" t="s">
        <v>2953</v>
      </c>
      <c r="J441" s="282" t="s">
        <v>1550</v>
      </c>
    </row>
    <row r="442" spans="1:10" ht="14.4" hidden="1">
      <c r="A442" s="380" t="s">
        <v>1174</v>
      </c>
      <c r="B442" s="380" t="s">
        <v>1172</v>
      </c>
      <c r="C442" s="381" t="s">
        <v>2954</v>
      </c>
      <c r="D442" s="380" t="s">
        <v>2955</v>
      </c>
      <c r="E442" s="382" t="s">
        <v>2956</v>
      </c>
      <c r="F442" s="282" t="s">
        <v>2957</v>
      </c>
      <c r="G442" s="282" t="s">
        <v>2958</v>
      </c>
      <c r="J442" s="282" t="s">
        <v>1550</v>
      </c>
    </row>
    <row r="443" spans="1:10" ht="14.4" hidden="1">
      <c r="A443" s="380" t="s">
        <v>1174</v>
      </c>
      <c r="B443" s="380" t="s">
        <v>1172</v>
      </c>
      <c r="C443" s="381" t="s">
        <v>2959</v>
      </c>
      <c r="D443" s="380" t="s">
        <v>2960</v>
      </c>
      <c r="E443" s="382" t="s">
        <v>2961</v>
      </c>
      <c r="F443" s="282" t="s">
        <v>2962</v>
      </c>
      <c r="G443" s="282" t="s">
        <v>2963</v>
      </c>
      <c r="J443" s="282" t="s">
        <v>1550</v>
      </c>
    </row>
    <row r="444" spans="1:10" ht="14.4" hidden="1">
      <c r="A444" s="380" t="s">
        <v>1174</v>
      </c>
      <c r="B444" s="380" t="s">
        <v>1172</v>
      </c>
      <c r="C444" s="381" t="s">
        <v>2964</v>
      </c>
      <c r="D444" s="380" t="s">
        <v>2965</v>
      </c>
      <c r="E444" s="382" t="s">
        <v>2966</v>
      </c>
      <c r="F444" s="282" t="s">
        <v>2967</v>
      </c>
      <c r="G444" s="282" t="s">
        <v>2963</v>
      </c>
      <c r="J444" s="282" t="s">
        <v>1550</v>
      </c>
    </row>
    <row r="445" spans="1:10" ht="14.4" hidden="1">
      <c r="A445" s="380" t="s">
        <v>1174</v>
      </c>
      <c r="B445" s="380" t="s">
        <v>1172</v>
      </c>
      <c r="C445" s="381" t="s">
        <v>2968</v>
      </c>
      <c r="D445" s="380" t="s">
        <v>2969</v>
      </c>
      <c r="E445" s="382" t="s">
        <v>2970</v>
      </c>
      <c r="F445" s="282" t="s">
        <v>2971</v>
      </c>
      <c r="G445" s="282" t="s">
        <v>2963</v>
      </c>
      <c r="J445" s="282" t="s">
        <v>1550</v>
      </c>
    </row>
    <row r="446" spans="1:10" ht="14.4" hidden="1">
      <c r="A446" s="380" t="s">
        <v>1174</v>
      </c>
      <c r="B446" s="380" t="s">
        <v>1172</v>
      </c>
      <c r="C446" s="381" t="s">
        <v>2972</v>
      </c>
      <c r="D446" s="380" t="s">
        <v>2973</v>
      </c>
      <c r="E446" s="382" t="s">
        <v>2974</v>
      </c>
      <c r="F446" s="282" t="s">
        <v>2975</v>
      </c>
      <c r="G446" s="282" t="s">
        <v>2963</v>
      </c>
      <c r="J446" s="282" t="s">
        <v>1550</v>
      </c>
    </row>
    <row r="447" spans="1:10" ht="14.4" hidden="1">
      <c r="A447" s="380" t="s">
        <v>1174</v>
      </c>
      <c r="B447" s="380" t="s">
        <v>1172</v>
      </c>
      <c r="C447" s="381" t="s">
        <v>2976</v>
      </c>
      <c r="D447" s="380" t="s">
        <v>2977</v>
      </c>
      <c r="E447" s="382" t="s">
        <v>2978</v>
      </c>
      <c r="F447" s="282" t="s">
        <v>2979</v>
      </c>
      <c r="G447" s="282" t="s">
        <v>2963</v>
      </c>
      <c r="J447" s="282" t="s">
        <v>1550</v>
      </c>
    </row>
    <row r="448" spans="1:10" ht="14.4" hidden="1">
      <c r="A448" s="380" t="s">
        <v>1174</v>
      </c>
      <c r="B448" s="380" t="s">
        <v>1172</v>
      </c>
      <c r="C448" s="381" t="s">
        <v>2980</v>
      </c>
      <c r="D448" s="380" t="s">
        <v>2981</v>
      </c>
      <c r="E448" s="382" t="s">
        <v>2982</v>
      </c>
      <c r="F448" s="282" t="s">
        <v>2983</v>
      </c>
      <c r="G448" s="282" t="s">
        <v>2963</v>
      </c>
      <c r="J448" s="282" t="s">
        <v>1550</v>
      </c>
    </row>
    <row r="449" spans="1:10" ht="14.4" hidden="1">
      <c r="A449" s="380" t="s">
        <v>1174</v>
      </c>
      <c r="B449" s="380" t="s">
        <v>1172</v>
      </c>
      <c r="C449" s="381" t="s">
        <v>2984</v>
      </c>
      <c r="D449" s="380" t="s">
        <v>2985</v>
      </c>
      <c r="E449" s="382" t="s">
        <v>2986</v>
      </c>
      <c r="F449" s="282" t="s">
        <v>2987</v>
      </c>
      <c r="G449" s="282" t="s">
        <v>2963</v>
      </c>
      <c r="J449" s="282" t="s">
        <v>1550</v>
      </c>
    </row>
    <row r="450" spans="1:10" ht="14.4" hidden="1">
      <c r="A450" s="380" t="s">
        <v>1174</v>
      </c>
      <c r="B450" s="380" t="s">
        <v>1172</v>
      </c>
      <c r="C450" s="381" t="s">
        <v>2988</v>
      </c>
      <c r="D450" s="380" t="s">
        <v>2989</v>
      </c>
      <c r="E450" s="382" t="s">
        <v>2990</v>
      </c>
      <c r="F450" s="282" t="s">
        <v>2991</v>
      </c>
      <c r="G450" s="282" t="s">
        <v>2963</v>
      </c>
      <c r="J450" s="282" t="s">
        <v>1550</v>
      </c>
    </row>
    <row r="451" spans="1:10" ht="14.4" hidden="1">
      <c r="A451" s="380" t="s">
        <v>1174</v>
      </c>
      <c r="B451" s="380" t="s">
        <v>1172</v>
      </c>
      <c r="C451" s="381" t="s">
        <v>2992</v>
      </c>
      <c r="D451" s="380" t="s">
        <v>2993</v>
      </c>
      <c r="E451" s="382" t="s">
        <v>2994</v>
      </c>
      <c r="F451" s="282" t="s">
        <v>2995</v>
      </c>
      <c r="G451" s="282" t="s">
        <v>2963</v>
      </c>
      <c r="J451" s="282" t="s">
        <v>1550</v>
      </c>
    </row>
    <row r="452" spans="1:10" ht="14.4" hidden="1">
      <c r="A452" s="380" t="s">
        <v>1174</v>
      </c>
      <c r="B452" s="380" t="s">
        <v>1172</v>
      </c>
      <c r="C452" s="381" t="s">
        <v>2996</v>
      </c>
      <c r="D452" s="380" t="s">
        <v>2997</v>
      </c>
      <c r="E452" s="382" t="s">
        <v>2998</v>
      </c>
      <c r="F452" s="282" t="s">
        <v>2999</v>
      </c>
      <c r="G452" s="282" t="s">
        <v>2963</v>
      </c>
      <c r="J452" s="282" t="s">
        <v>1550</v>
      </c>
    </row>
    <row r="453" spans="1:10" ht="14.4" hidden="1">
      <c r="A453" s="380" t="s">
        <v>1174</v>
      </c>
      <c r="B453" s="380" t="s">
        <v>1172</v>
      </c>
      <c r="C453" s="381" t="s">
        <v>3000</v>
      </c>
      <c r="D453" s="380" t="s">
        <v>3001</v>
      </c>
      <c r="E453" s="382" t="s">
        <v>3002</v>
      </c>
      <c r="F453" s="282" t="s">
        <v>3003</v>
      </c>
      <c r="G453" s="282" t="s">
        <v>2963</v>
      </c>
      <c r="J453" s="282" t="s">
        <v>1550</v>
      </c>
    </row>
    <row r="454" spans="1:10" ht="14.4" hidden="1">
      <c r="A454" s="380" t="s">
        <v>1174</v>
      </c>
      <c r="B454" s="380" t="s">
        <v>1172</v>
      </c>
      <c r="C454" s="381" t="s">
        <v>3004</v>
      </c>
      <c r="D454" s="380" t="s">
        <v>3005</v>
      </c>
      <c r="E454" s="382" t="s">
        <v>3006</v>
      </c>
      <c r="F454" s="282" t="s">
        <v>3007</v>
      </c>
      <c r="G454" s="282" t="s">
        <v>2963</v>
      </c>
      <c r="J454" s="282" t="s">
        <v>1550</v>
      </c>
    </row>
    <row r="455" spans="1:10" ht="14.4" hidden="1">
      <c r="A455" s="380" t="s">
        <v>1174</v>
      </c>
      <c r="B455" s="380" t="s">
        <v>1172</v>
      </c>
      <c r="C455" s="381" t="s">
        <v>3008</v>
      </c>
      <c r="D455" s="380" t="s">
        <v>3009</v>
      </c>
      <c r="E455" s="382" t="s">
        <v>3010</v>
      </c>
      <c r="F455" s="282" t="s">
        <v>3011</v>
      </c>
      <c r="G455" s="282" t="s">
        <v>2963</v>
      </c>
      <c r="J455" s="282" t="s">
        <v>1550</v>
      </c>
    </row>
    <row r="456" spans="1:10" ht="14.4" hidden="1">
      <c r="A456" s="380" t="s">
        <v>1174</v>
      </c>
      <c r="B456" s="380" t="s">
        <v>1172</v>
      </c>
      <c r="C456" s="381" t="s">
        <v>3012</v>
      </c>
      <c r="D456" s="380" t="s">
        <v>3013</v>
      </c>
      <c r="E456" s="382" t="s">
        <v>3014</v>
      </c>
      <c r="F456" s="282" t="s">
        <v>3015</v>
      </c>
      <c r="G456" s="282" t="s">
        <v>2963</v>
      </c>
      <c r="J456" s="282" t="s">
        <v>1550</v>
      </c>
    </row>
    <row r="457" spans="1:10" ht="14.4" hidden="1">
      <c r="A457" s="380" t="s">
        <v>1174</v>
      </c>
      <c r="B457" s="380" t="s">
        <v>1172</v>
      </c>
      <c r="C457" s="381" t="s">
        <v>3016</v>
      </c>
      <c r="D457" s="380" t="s">
        <v>3017</v>
      </c>
      <c r="E457" s="382" t="s">
        <v>3018</v>
      </c>
      <c r="F457" s="282" t="s">
        <v>3019</v>
      </c>
      <c r="G457" s="282" t="s">
        <v>2963</v>
      </c>
      <c r="J457" s="282" t="s">
        <v>1550</v>
      </c>
    </row>
    <row r="458" spans="1:10" ht="14.4" hidden="1">
      <c r="A458" s="380" t="s">
        <v>1174</v>
      </c>
      <c r="B458" s="380" t="s">
        <v>1172</v>
      </c>
      <c r="C458" s="381" t="s">
        <v>3020</v>
      </c>
      <c r="D458" s="380" t="s">
        <v>3021</v>
      </c>
      <c r="E458" s="382" t="s">
        <v>3022</v>
      </c>
      <c r="F458" s="282" t="s">
        <v>3023</v>
      </c>
      <c r="G458" s="282" t="s">
        <v>2963</v>
      </c>
      <c r="J458" s="282" t="s">
        <v>1550</v>
      </c>
    </row>
    <row r="459" spans="1:10" ht="14.4" hidden="1">
      <c r="A459" s="380" t="s">
        <v>1174</v>
      </c>
      <c r="B459" s="380" t="s">
        <v>1172</v>
      </c>
      <c r="C459" s="381" t="s">
        <v>3024</v>
      </c>
      <c r="D459" s="380" t="s">
        <v>3025</v>
      </c>
      <c r="E459" s="382" t="s">
        <v>3026</v>
      </c>
      <c r="F459" s="282" t="s">
        <v>3027</v>
      </c>
      <c r="G459" s="282" t="s">
        <v>2963</v>
      </c>
      <c r="J459" s="282" t="s">
        <v>1550</v>
      </c>
    </row>
    <row r="460" spans="1:10" ht="14.4" hidden="1">
      <c r="A460" s="380" t="s">
        <v>1174</v>
      </c>
      <c r="B460" s="380" t="s">
        <v>1172</v>
      </c>
      <c r="C460" s="381" t="s">
        <v>3028</v>
      </c>
      <c r="D460" s="380" t="s">
        <v>3029</v>
      </c>
      <c r="E460" s="382" t="s">
        <v>3030</v>
      </c>
      <c r="F460" s="282" t="s">
        <v>3031</v>
      </c>
      <c r="G460" s="282" t="s">
        <v>2963</v>
      </c>
      <c r="J460" s="282" t="s">
        <v>1550</v>
      </c>
    </row>
    <row r="461" spans="1:10" ht="14.4" hidden="1">
      <c r="A461" s="380" t="s">
        <v>1174</v>
      </c>
      <c r="B461" s="380" t="s">
        <v>1172</v>
      </c>
      <c r="C461" s="381" t="s">
        <v>3032</v>
      </c>
      <c r="D461" s="380" t="s">
        <v>3033</v>
      </c>
      <c r="E461" s="382" t="s">
        <v>3034</v>
      </c>
      <c r="F461" s="282" t="s">
        <v>3035</v>
      </c>
      <c r="G461" s="282" t="s">
        <v>2963</v>
      </c>
      <c r="J461" s="282" t="s">
        <v>1550</v>
      </c>
    </row>
    <row r="462" spans="1:10" ht="14.4" hidden="1">
      <c r="A462" s="380" t="s">
        <v>1174</v>
      </c>
      <c r="B462" s="380" t="s">
        <v>1172</v>
      </c>
      <c r="C462" s="381" t="s">
        <v>3036</v>
      </c>
      <c r="D462" s="380" t="s">
        <v>3037</v>
      </c>
      <c r="E462" s="382" t="s">
        <v>3038</v>
      </c>
      <c r="F462" s="282" t="s">
        <v>3039</v>
      </c>
      <c r="G462" s="282" t="s">
        <v>2963</v>
      </c>
      <c r="J462" s="282" t="s">
        <v>1550</v>
      </c>
    </row>
    <row r="463" spans="1:10" ht="14.4" hidden="1">
      <c r="A463" s="380" t="s">
        <v>1174</v>
      </c>
      <c r="B463" s="380" t="s">
        <v>1172</v>
      </c>
      <c r="C463" s="381" t="s">
        <v>3040</v>
      </c>
      <c r="D463" s="380" t="s">
        <v>3037</v>
      </c>
      <c r="E463" s="382" t="s">
        <v>3038</v>
      </c>
      <c r="F463" s="282" t="s">
        <v>3041</v>
      </c>
      <c r="G463" s="282" t="s">
        <v>2963</v>
      </c>
      <c r="J463" s="282" t="s">
        <v>1550</v>
      </c>
    </row>
    <row r="464" spans="1:10" ht="14.4" hidden="1">
      <c r="A464" s="380" t="s">
        <v>1174</v>
      </c>
      <c r="B464" s="380" t="s">
        <v>1172</v>
      </c>
      <c r="C464" s="381" t="s">
        <v>3042</v>
      </c>
      <c r="D464" s="380" t="s">
        <v>3043</v>
      </c>
      <c r="E464" s="382" t="s">
        <v>3044</v>
      </c>
      <c r="F464" s="282" t="s">
        <v>3045</v>
      </c>
      <c r="G464" s="282" t="s">
        <v>2963</v>
      </c>
      <c r="J464" s="282" t="s">
        <v>1550</v>
      </c>
    </row>
    <row r="465" spans="1:10" ht="14.4" hidden="1">
      <c r="A465" s="380" t="s">
        <v>1174</v>
      </c>
      <c r="B465" s="380" t="s">
        <v>1172</v>
      </c>
      <c r="C465" s="381" t="s">
        <v>3046</v>
      </c>
      <c r="D465" s="380" t="s">
        <v>3047</v>
      </c>
      <c r="E465" s="382" t="s">
        <v>3048</v>
      </c>
      <c r="F465" s="282" t="s">
        <v>3049</v>
      </c>
      <c r="G465" s="282" t="s">
        <v>2963</v>
      </c>
      <c r="J465" s="282" t="s">
        <v>1550</v>
      </c>
    </row>
    <row r="466" spans="1:10" ht="14.4" hidden="1">
      <c r="A466" s="380" t="s">
        <v>1174</v>
      </c>
      <c r="B466" s="380" t="s">
        <v>1172</v>
      </c>
      <c r="C466" s="381" t="s">
        <v>3050</v>
      </c>
      <c r="D466" s="380" t="s">
        <v>3051</v>
      </c>
      <c r="E466" s="382" t="s">
        <v>3052</v>
      </c>
      <c r="F466" s="282" t="s">
        <v>3053</v>
      </c>
      <c r="G466" s="282" t="s">
        <v>2963</v>
      </c>
      <c r="J466" s="282" t="s">
        <v>1550</v>
      </c>
    </row>
    <row r="467" spans="1:10" ht="14.4" hidden="1">
      <c r="A467" s="380" t="s">
        <v>1174</v>
      </c>
      <c r="B467" s="380" t="s">
        <v>1172</v>
      </c>
      <c r="C467" s="381" t="s">
        <v>3054</v>
      </c>
      <c r="D467" s="380" t="s">
        <v>3055</v>
      </c>
      <c r="E467" s="386" t="s">
        <v>3056</v>
      </c>
      <c r="F467" s="282" t="s">
        <v>3057</v>
      </c>
      <c r="G467" s="282" t="s">
        <v>2963</v>
      </c>
      <c r="J467" s="282" t="s">
        <v>1550</v>
      </c>
    </row>
    <row r="468" spans="1:10" ht="14.4" hidden="1">
      <c r="A468" s="380" t="s">
        <v>1174</v>
      </c>
      <c r="B468" s="380" t="s">
        <v>1172</v>
      </c>
      <c r="C468" s="381" t="s">
        <v>3058</v>
      </c>
      <c r="D468" s="380" t="s">
        <v>3059</v>
      </c>
      <c r="E468" s="382" t="s">
        <v>3060</v>
      </c>
      <c r="F468" s="282" t="s">
        <v>3061</v>
      </c>
      <c r="G468" s="282" t="s">
        <v>2963</v>
      </c>
      <c r="J468" s="282" t="s">
        <v>1550</v>
      </c>
    </row>
    <row r="469" spans="1:10" ht="14.4" hidden="1">
      <c r="A469" s="380" t="s">
        <v>1174</v>
      </c>
      <c r="B469" s="380" t="s">
        <v>1172</v>
      </c>
      <c r="C469" s="381" t="s">
        <v>3062</v>
      </c>
      <c r="D469" s="380" t="s">
        <v>3063</v>
      </c>
      <c r="E469" s="382" t="s">
        <v>3064</v>
      </c>
      <c r="F469" s="282" t="s">
        <v>3065</v>
      </c>
      <c r="G469" s="282" t="s">
        <v>2963</v>
      </c>
      <c r="J469" s="282" t="s">
        <v>1550</v>
      </c>
    </row>
    <row r="470" spans="1:10" ht="14.4" hidden="1">
      <c r="A470" s="380" t="s">
        <v>1174</v>
      </c>
      <c r="B470" s="380" t="s">
        <v>1172</v>
      </c>
      <c r="C470" s="381" t="s">
        <v>3066</v>
      </c>
      <c r="D470" s="380" t="s">
        <v>3067</v>
      </c>
      <c r="E470" s="382" t="s">
        <v>3068</v>
      </c>
      <c r="F470" s="282" t="s">
        <v>3069</v>
      </c>
      <c r="G470" s="282" t="s">
        <v>2963</v>
      </c>
      <c r="J470" s="282" t="s">
        <v>1550</v>
      </c>
    </row>
    <row r="471" spans="1:10" ht="14.4" hidden="1">
      <c r="A471" s="380" t="s">
        <v>1174</v>
      </c>
      <c r="B471" s="380" t="s">
        <v>1172</v>
      </c>
      <c r="C471" s="381" t="s">
        <v>3070</v>
      </c>
      <c r="D471" s="380" t="s">
        <v>3071</v>
      </c>
      <c r="E471" s="382" t="s">
        <v>3072</v>
      </c>
      <c r="F471" s="282" t="s">
        <v>3073</v>
      </c>
      <c r="G471" s="282" t="s">
        <v>2963</v>
      </c>
      <c r="J471" s="282" t="s">
        <v>1550</v>
      </c>
    </row>
    <row r="472" spans="1:10" ht="14.4" hidden="1">
      <c r="A472" s="380" t="s">
        <v>1174</v>
      </c>
      <c r="B472" s="380" t="s">
        <v>1172</v>
      </c>
      <c r="C472" s="381" t="s">
        <v>3074</v>
      </c>
      <c r="D472" s="380" t="s">
        <v>3075</v>
      </c>
      <c r="E472" s="382" t="s">
        <v>3076</v>
      </c>
      <c r="F472" s="282" t="s">
        <v>3077</v>
      </c>
      <c r="G472" s="282" t="s">
        <v>2963</v>
      </c>
      <c r="J472" s="282" t="s">
        <v>1550</v>
      </c>
    </row>
    <row r="473" spans="1:10" ht="14.4" hidden="1">
      <c r="A473" s="380" t="s">
        <v>1174</v>
      </c>
      <c r="B473" s="380" t="s">
        <v>1172</v>
      </c>
      <c r="C473" s="381" t="s">
        <v>3078</v>
      </c>
      <c r="D473" s="380" t="s">
        <v>3079</v>
      </c>
      <c r="E473" s="382" t="s">
        <v>3080</v>
      </c>
      <c r="F473" s="282" t="s">
        <v>3081</v>
      </c>
      <c r="G473" s="282" t="s">
        <v>2963</v>
      </c>
      <c r="J473" s="282" t="s">
        <v>1550</v>
      </c>
    </row>
    <row r="474" spans="1:10" ht="14.4" hidden="1">
      <c r="A474" s="380" t="s">
        <v>1174</v>
      </c>
      <c r="B474" s="380" t="s">
        <v>1172</v>
      </c>
      <c r="C474" s="381" t="s">
        <v>3082</v>
      </c>
      <c r="D474" s="380" t="s">
        <v>3083</v>
      </c>
      <c r="E474" s="382" t="s">
        <v>3084</v>
      </c>
      <c r="F474" s="282" t="s">
        <v>3085</v>
      </c>
      <c r="G474" s="282" t="s">
        <v>2963</v>
      </c>
      <c r="J474" s="282" t="s">
        <v>1550</v>
      </c>
    </row>
    <row r="475" spans="1:10" ht="14.4" hidden="1">
      <c r="A475" s="380" t="s">
        <v>1174</v>
      </c>
      <c r="B475" s="380" t="s">
        <v>1172</v>
      </c>
      <c r="C475" s="381" t="s">
        <v>3086</v>
      </c>
      <c r="D475" s="380" t="s">
        <v>3087</v>
      </c>
      <c r="E475" s="382" t="s">
        <v>3088</v>
      </c>
      <c r="F475" s="282" t="s">
        <v>3089</v>
      </c>
      <c r="G475" s="282" t="s">
        <v>3089</v>
      </c>
      <c r="J475" s="282" t="s">
        <v>1550</v>
      </c>
    </row>
    <row r="476" spans="1:10" ht="14.4" hidden="1">
      <c r="A476" s="380" t="s">
        <v>1174</v>
      </c>
      <c r="B476" s="380" t="s">
        <v>1172</v>
      </c>
      <c r="C476" s="381" t="s">
        <v>3090</v>
      </c>
      <c r="D476" s="380" t="s">
        <v>3091</v>
      </c>
      <c r="E476" s="382" t="s">
        <v>3092</v>
      </c>
      <c r="F476" s="282" t="s">
        <v>3093</v>
      </c>
      <c r="G476" s="282" t="s">
        <v>3093</v>
      </c>
      <c r="J476" s="282" t="s">
        <v>1550</v>
      </c>
    </row>
    <row r="477" spans="1:10" ht="14.4" hidden="1">
      <c r="A477" s="380" t="s">
        <v>1174</v>
      </c>
      <c r="B477" s="380" t="s">
        <v>1172</v>
      </c>
      <c r="C477" s="381" t="s">
        <v>3094</v>
      </c>
      <c r="D477" s="380" t="s">
        <v>3095</v>
      </c>
      <c r="E477" s="382" t="s">
        <v>3096</v>
      </c>
      <c r="F477" s="282" t="s">
        <v>3097</v>
      </c>
      <c r="G477" s="282" t="s">
        <v>3098</v>
      </c>
      <c r="J477" s="282" t="s">
        <v>1550</v>
      </c>
    </row>
    <row r="478" spans="1:10" ht="14.4" hidden="1">
      <c r="A478" s="380" t="s">
        <v>1174</v>
      </c>
      <c r="B478" s="380" t="s">
        <v>1172</v>
      </c>
      <c r="C478" s="381" t="s">
        <v>3099</v>
      </c>
      <c r="D478" s="380" t="s">
        <v>3100</v>
      </c>
      <c r="E478" s="382" t="s">
        <v>3101</v>
      </c>
      <c r="F478" s="282" t="s">
        <v>3102</v>
      </c>
      <c r="G478" s="282" t="s">
        <v>3103</v>
      </c>
      <c r="J478" s="282" t="s">
        <v>1550</v>
      </c>
    </row>
    <row r="479" spans="1:10" ht="14.4" hidden="1">
      <c r="A479" s="380" t="s">
        <v>1174</v>
      </c>
      <c r="B479" s="380" t="s">
        <v>1172</v>
      </c>
      <c r="C479" s="381" t="s">
        <v>3104</v>
      </c>
      <c r="D479" s="380" t="s">
        <v>3105</v>
      </c>
      <c r="E479" s="382" t="s">
        <v>3106</v>
      </c>
      <c r="F479" s="282" t="s">
        <v>3107</v>
      </c>
      <c r="G479" s="282" t="s">
        <v>3103</v>
      </c>
      <c r="J479" s="282" t="s">
        <v>1550</v>
      </c>
    </row>
    <row r="480" spans="1:10" ht="14.4" hidden="1">
      <c r="A480" s="380" t="s">
        <v>1174</v>
      </c>
      <c r="B480" s="380" t="s">
        <v>1172</v>
      </c>
      <c r="C480" s="381" t="s">
        <v>3108</v>
      </c>
      <c r="D480" s="380" t="s">
        <v>3109</v>
      </c>
      <c r="E480" s="382" t="s">
        <v>3110</v>
      </c>
      <c r="F480" s="282" t="s">
        <v>3111</v>
      </c>
      <c r="G480" s="282" t="s">
        <v>3103</v>
      </c>
      <c r="J480" s="282" t="s">
        <v>1550</v>
      </c>
    </row>
    <row r="481" spans="1:10" ht="14.4" hidden="1">
      <c r="A481" s="380" t="s">
        <v>1174</v>
      </c>
      <c r="B481" s="380" t="s">
        <v>1172</v>
      </c>
      <c r="C481" s="381" t="s">
        <v>3112</v>
      </c>
      <c r="D481" s="380" t="s">
        <v>3113</v>
      </c>
      <c r="E481" s="382" t="s">
        <v>3114</v>
      </c>
      <c r="F481" s="282" t="s">
        <v>3115</v>
      </c>
      <c r="G481" s="282" t="s">
        <v>3103</v>
      </c>
      <c r="J481" s="282" t="s">
        <v>1550</v>
      </c>
    </row>
    <row r="482" spans="1:10" ht="14.4" hidden="1">
      <c r="A482" s="380" t="s">
        <v>1174</v>
      </c>
      <c r="B482" s="380" t="s">
        <v>1172</v>
      </c>
      <c r="C482" s="381" t="s">
        <v>3116</v>
      </c>
      <c r="D482" s="380" t="s">
        <v>3117</v>
      </c>
      <c r="E482" s="386" t="s">
        <v>3118</v>
      </c>
      <c r="F482" s="282" t="s">
        <v>3119</v>
      </c>
      <c r="G482" s="282" t="s">
        <v>3103</v>
      </c>
      <c r="J482" s="282" t="s">
        <v>1550</v>
      </c>
    </row>
    <row r="483" spans="1:10" ht="14.4" hidden="1">
      <c r="A483" s="380" t="s">
        <v>1174</v>
      </c>
      <c r="B483" s="380" t="s">
        <v>1172</v>
      </c>
      <c r="C483" s="381" t="s">
        <v>3120</v>
      </c>
      <c r="D483" s="380" t="s">
        <v>3121</v>
      </c>
      <c r="E483" s="382" t="s">
        <v>3122</v>
      </c>
      <c r="F483" s="282" t="s">
        <v>3123</v>
      </c>
      <c r="G483" s="282" t="s">
        <v>3103</v>
      </c>
      <c r="J483" s="282" t="s">
        <v>1550</v>
      </c>
    </row>
    <row r="484" spans="1:10" ht="14.4" hidden="1">
      <c r="A484" s="380" t="s">
        <v>1174</v>
      </c>
      <c r="B484" s="380" t="s">
        <v>1172</v>
      </c>
      <c r="C484" s="381" t="s">
        <v>3124</v>
      </c>
      <c r="D484" s="380" t="s">
        <v>3125</v>
      </c>
      <c r="E484" s="382" t="s">
        <v>3126</v>
      </c>
      <c r="F484" s="282" t="s">
        <v>3127</v>
      </c>
      <c r="G484" s="282" t="s">
        <v>3103</v>
      </c>
      <c r="J484" s="282" t="s">
        <v>1550</v>
      </c>
    </row>
    <row r="485" spans="1:10" ht="14.4" hidden="1">
      <c r="A485" s="380" t="s">
        <v>1174</v>
      </c>
      <c r="B485" s="380" t="s">
        <v>1172</v>
      </c>
      <c r="C485" s="381" t="s">
        <v>3128</v>
      </c>
      <c r="D485" s="380" t="s">
        <v>3129</v>
      </c>
      <c r="E485" s="382" t="s">
        <v>3130</v>
      </c>
      <c r="F485" s="282" t="s">
        <v>3131</v>
      </c>
      <c r="G485" s="282" t="s">
        <v>3103</v>
      </c>
      <c r="J485" s="282" t="s">
        <v>1550</v>
      </c>
    </row>
    <row r="486" spans="1:10" ht="14.4" hidden="1">
      <c r="A486" s="380" t="s">
        <v>1174</v>
      </c>
      <c r="B486" s="380" t="s">
        <v>1172</v>
      </c>
      <c r="C486" s="381" t="s">
        <v>3132</v>
      </c>
      <c r="D486" s="380" t="s">
        <v>3133</v>
      </c>
      <c r="E486" s="382" t="s">
        <v>3134</v>
      </c>
      <c r="F486" s="282" t="s">
        <v>3135</v>
      </c>
      <c r="G486" s="282" t="s">
        <v>3103</v>
      </c>
      <c r="J486" s="282" t="s">
        <v>1550</v>
      </c>
    </row>
    <row r="487" spans="1:10" ht="14.4" hidden="1">
      <c r="A487" s="380" t="s">
        <v>1174</v>
      </c>
      <c r="B487" s="380" t="s">
        <v>1172</v>
      </c>
      <c r="C487" s="381" t="s">
        <v>3136</v>
      </c>
      <c r="D487" s="380" t="s">
        <v>3137</v>
      </c>
      <c r="E487" s="382" t="s">
        <v>3138</v>
      </c>
      <c r="F487" s="282" t="s">
        <v>3139</v>
      </c>
      <c r="G487" s="282" t="s">
        <v>3103</v>
      </c>
      <c r="J487" s="282" t="s">
        <v>1550</v>
      </c>
    </row>
    <row r="488" spans="1:10" ht="14.4" hidden="1">
      <c r="A488" s="380" t="s">
        <v>1174</v>
      </c>
      <c r="B488" s="380" t="s">
        <v>1172</v>
      </c>
      <c r="C488" s="381" t="s">
        <v>3140</v>
      </c>
      <c r="D488" s="380" t="s">
        <v>3141</v>
      </c>
      <c r="E488" s="382" t="s">
        <v>3142</v>
      </c>
      <c r="F488" s="282" t="s">
        <v>3143</v>
      </c>
      <c r="G488" s="282" t="s">
        <v>3103</v>
      </c>
      <c r="J488" s="282" t="s">
        <v>1550</v>
      </c>
    </row>
    <row r="489" spans="1:10" ht="14.4" hidden="1">
      <c r="A489" s="380" t="s">
        <v>1174</v>
      </c>
      <c r="B489" s="380" t="s">
        <v>1172</v>
      </c>
      <c r="C489" s="381" t="s">
        <v>3144</v>
      </c>
      <c r="D489" s="380" t="s">
        <v>3145</v>
      </c>
      <c r="E489" s="382" t="s">
        <v>3146</v>
      </c>
      <c r="F489" s="282" t="s">
        <v>3147</v>
      </c>
      <c r="G489" s="282" t="s">
        <v>3103</v>
      </c>
      <c r="J489" s="282" t="s">
        <v>1550</v>
      </c>
    </row>
    <row r="490" spans="1:10" ht="14.4" hidden="1">
      <c r="A490" s="380" t="s">
        <v>1174</v>
      </c>
      <c r="B490" s="380" t="s">
        <v>1172</v>
      </c>
      <c r="C490" s="381" t="s">
        <v>3148</v>
      </c>
      <c r="D490" s="380" t="s">
        <v>3149</v>
      </c>
      <c r="E490" s="382" t="s">
        <v>3150</v>
      </c>
      <c r="F490" s="282" t="s">
        <v>3151</v>
      </c>
      <c r="G490" s="282" t="s">
        <v>3103</v>
      </c>
      <c r="J490" s="282" t="s">
        <v>1550</v>
      </c>
    </row>
    <row r="491" spans="1:10" ht="14.4" hidden="1">
      <c r="A491" s="380" t="s">
        <v>1174</v>
      </c>
      <c r="B491" s="380" t="s">
        <v>1172</v>
      </c>
      <c r="C491" s="381" t="s">
        <v>3152</v>
      </c>
      <c r="D491" s="380" t="s">
        <v>3153</v>
      </c>
      <c r="E491" s="382" t="s">
        <v>3154</v>
      </c>
      <c r="F491" s="282" t="s">
        <v>3155</v>
      </c>
      <c r="G491" s="282" t="s">
        <v>3103</v>
      </c>
      <c r="J491" s="282" t="s">
        <v>1550</v>
      </c>
    </row>
    <row r="492" spans="1:10" ht="14.4" hidden="1">
      <c r="A492" s="380" t="s">
        <v>1174</v>
      </c>
      <c r="B492" s="380" t="s">
        <v>1172</v>
      </c>
      <c r="C492" s="381" t="s">
        <v>3156</v>
      </c>
      <c r="D492" s="380" t="s">
        <v>3157</v>
      </c>
      <c r="E492" s="382" t="s">
        <v>3158</v>
      </c>
      <c r="F492" s="282" t="s">
        <v>3159</v>
      </c>
      <c r="G492" s="282" t="s">
        <v>3103</v>
      </c>
      <c r="J492" s="282" t="s">
        <v>1550</v>
      </c>
    </row>
    <row r="493" spans="1:10" ht="13.95" hidden="1" customHeight="1">
      <c r="A493" s="380" t="s">
        <v>1174</v>
      </c>
      <c r="B493" s="380" t="s">
        <v>1172</v>
      </c>
      <c r="C493" s="381" t="s">
        <v>3160</v>
      </c>
      <c r="D493" s="380" t="s">
        <v>3161</v>
      </c>
      <c r="E493" s="72" t="s">
        <v>3162</v>
      </c>
      <c r="F493" s="282" t="s">
        <v>3163</v>
      </c>
      <c r="G493" s="282" t="s">
        <v>3103</v>
      </c>
      <c r="J493" s="384" t="s">
        <v>2284</v>
      </c>
    </row>
    <row r="494" spans="1:10" ht="13.95" hidden="1" customHeight="1">
      <c r="A494" s="380" t="s">
        <v>1174</v>
      </c>
      <c r="B494" s="380" t="s">
        <v>1172</v>
      </c>
      <c r="C494" s="381" t="s">
        <v>3164</v>
      </c>
      <c r="D494" s="380" t="s">
        <v>3165</v>
      </c>
      <c r="E494" s="72" t="s">
        <v>3166</v>
      </c>
      <c r="F494" s="282" t="s">
        <v>3167</v>
      </c>
      <c r="G494" s="282" t="s">
        <v>3103</v>
      </c>
      <c r="J494" s="384" t="s">
        <v>2284</v>
      </c>
    </row>
    <row r="495" spans="1:10" ht="13.95" hidden="1" customHeight="1">
      <c r="A495" s="380" t="s">
        <v>1174</v>
      </c>
      <c r="B495" s="380" t="s">
        <v>1172</v>
      </c>
      <c r="C495" s="381" t="s">
        <v>3168</v>
      </c>
      <c r="D495" s="380" t="s">
        <v>3169</v>
      </c>
      <c r="E495" s="72" t="s">
        <v>3170</v>
      </c>
      <c r="F495" s="282" t="s">
        <v>3171</v>
      </c>
      <c r="G495" s="282" t="s">
        <v>3103</v>
      </c>
      <c r="J495" s="384" t="s">
        <v>2284</v>
      </c>
    </row>
    <row r="496" spans="1:10" ht="14.4" hidden="1">
      <c r="A496" s="380" t="s">
        <v>1182</v>
      </c>
      <c r="B496" s="380" t="s">
        <v>1187</v>
      </c>
      <c r="C496" s="381" t="s">
        <v>3172</v>
      </c>
      <c r="D496" s="380" t="s">
        <v>3173</v>
      </c>
      <c r="E496" s="382" t="s">
        <v>3174</v>
      </c>
      <c r="F496" s="282" t="s">
        <v>3175</v>
      </c>
      <c r="G496" s="282" t="s">
        <v>3176</v>
      </c>
      <c r="J496" s="282" t="s">
        <v>1550</v>
      </c>
    </row>
    <row r="497" spans="1:10" ht="14.4" hidden="1">
      <c r="A497" s="380" t="s">
        <v>1182</v>
      </c>
      <c r="B497" s="380" t="s">
        <v>1187</v>
      </c>
      <c r="C497" s="381" t="s">
        <v>3177</v>
      </c>
      <c r="D497" s="380" t="s">
        <v>3178</v>
      </c>
      <c r="E497" s="382" t="s">
        <v>3179</v>
      </c>
      <c r="F497" s="282" t="s">
        <v>3180</v>
      </c>
      <c r="G497" s="282" t="s">
        <v>3176</v>
      </c>
      <c r="J497" s="282" t="s">
        <v>1550</v>
      </c>
    </row>
    <row r="498" spans="1:10" ht="14.4" hidden="1">
      <c r="A498" s="380" t="s">
        <v>1182</v>
      </c>
      <c r="B498" s="380" t="s">
        <v>1187</v>
      </c>
      <c r="C498" s="381" t="s">
        <v>3181</v>
      </c>
      <c r="D498" s="380" t="s">
        <v>3182</v>
      </c>
      <c r="E498" s="382" t="s">
        <v>3183</v>
      </c>
      <c r="F498" s="282" t="s">
        <v>3184</v>
      </c>
      <c r="G498" s="282" t="s">
        <v>3176</v>
      </c>
      <c r="J498" s="282" t="s">
        <v>1550</v>
      </c>
    </row>
    <row r="499" spans="1:10" ht="14.4" hidden="1">
      <c r="A499" s="380" t="s">
        <v>1182</v>
      </c>
      <c r="B499" s="380" t="s">
        <v>1187</v>
      </c>
      <c r="C499" s="381" t="s">
        <v>3185</v>
      </c>
      <c r="D499" s="380" t="s">
        <v>3186</v>
      </c>
      <c r="E499" s="382" t="s">
        <v>3187</v>
      </c>
      <c r="F499" s="282" t="s">
        <v>3188</v>
      </c>
      <c r="G499" s="282" t="s">
        <v>3176</v>
      </c>
      <c r="J499" s="282" t="s">
        <v>1550</v>
      </c>
    </row>
    <row r="500" spans="1:10" ht="14.4" hidden="1">
      <c r="A500" s="380" t="s">
        <v>1182</v>
      </c>
      <c r="B500" s="380" t="s">
        <v>1187</v>
      </c>
      <c r="C500" s="381" t="s">
        <v>3189</v>
      </c>
      <c r="D500" s="380" t="s">
        <v>3190</v>
      </c>
      <c r="E500" s="382" t="s">
        <v>3191</v>
      </c>
      <c r="F500" s="282" t="s">
        <v>3192</v>
      </c>
      <c r="G500" s="282" t="s">
        <v>3176</v>
      </c>
      <c r="J500" s="282" t="s">
        <v>1550</v>
      </c>
    </row>
    <row r="501" spans="1:10" ht="14.4" hidden="1">
      <c r="A501" s="380" t="s">
        <v>1182</v>
      </c>
      <c r="B501" s="380" t="s">
        <v>1187</v>
      </c>
      <c r="C501" s="381" t="s">
        <v>3193</v>
      </c>
      <c r="D501" s="380" t="s">
        <v>3194</v>
      </c>
      <c r="E501" s="382" t="s">
        <v>3195</v>
      </c>
      <c r="F501" s="282" t="s">
        <v>3196</v>
      </c>
      <c r="G501" s="282" t="s">
        <v>3176</v>
      </c>
      <c r="J501" s="282" t="s">
        <v>1550</v>
      </c>
    </row>
    <row r="502" spans="1:10" ht="14.4" hidden="1">
      <c r="A502" s="380" t="s">
        <v>1182</v>
      </c>
      <c r="B502" s="380" t="s">
        <v>1187</v>
      </c>
      <c r="C502" s="381" t="s">
        <v>3197</v>
      </c>
      <c r="D502" s="380" t="s">
        <v>3198</v>
      </c>
      <c r="E502" s="382" t="s">
        <v>3199</v>
      </c>
      <c r="F502" s="282" t="s">
        <v>3200</v>
      </c>
      <c r="G502" s="282" t="s">
        <v>3176</v>
      </c>
      <c r="J502" s="282" t="s">
        <v>1550</v>
      </c>
    </row>
    <row r="503" spans="1:10" ht="14.4" hidden="1">
      <c r="A503" s="380" t="s">
        <v>1182</v>
      </c>
      <c r="B503" s="380" t="s">
        <v>1187</v>
      </c>
      <c r="C503" s="381" t="s">
        <v>3201</v>
      </c>
      <c r="D503" s="380" t="s">
        <v>3202</v>
      </c>
      <c r="E503" s="382" t="s">
        <v>3203</v>
      </c>
      <c r="F503" s="282" t="s">
        <v>3204</v>
      </c>
      <c r="G503" s="282" t="s">
        <v>3176</v>
      </c>
      <c r="J503" s="282" t="s">
        <v>1550</v>
      </c>
    </row>
    <row r="504" spans="1:10" ht="14.4" hidden="1">
      <c r="A504" s="380" t="s">
        <v>1182</v>
      </c>
      <c r="B504" s="380" t="s">
        <v>1187</v>
      </c>
      <c r="C504" s="381" t="s">
        <v>3205</v>
      </c>
      <c r="D504" s="380" t="s">
        <v>3206</v>
      </c>
      <c r="E504" s="382" t="s">
        <v>3207</v>
      </c>
      <c r="F504" s="282" t="s">
        <v>3208</v>
      </c>
      <c r="G504" s="282" t="s">
        <v>3176</v>
      </c>
      <c r="J504" s="282" t="s">
        <v>1550</v>
      </c>
    </row>
    <row r="505" spans="1:10" ht="14.4" hidden="1">
      <c r="A505" s="380" t="s">
        <v>1182</v>
      </c>
      <c r="B505" s="380" t="s">
        <v>1187</v>
      </c>
      <c r="C505" s="381" t="s">
        <v>3209</v>
      </c>
      <c r="D505" s="380" t="s">
        <v>3210</v>
      </c>
      <c r="E505" s="382" t="s">
        <v>3211</v>
      </c>
      <c r="F505" s="282" t="s">
        <v>3212</v>
      </c>
      <c r="G505" s="282" t="s">
        <v>3176</v>
      </c>
      <c r="J505" s="282" t="s">
        <v>1550</v>
      </c>
    </row>
    <row r="506" spans="1:10" ht="14.4" hidden="1">
      <c r="A506" s="380" t="s">
        <v>1182</v>
      </c>
      <c r="B506" s="380" t="s">
        <v>1187</v>
      </c>
      <c r="C506" s="381" t="s">
        <v>3213</v>
      </c>
      <c r="D506" s="380" t="s">
        <v>3214</v>
      </c>
      <c r="E506" s="382" t="s">
        <v>3215</v>
      </c>
      <c r="F506" s="282" t="s">
        <v>3216</v>
      </c>
      <c r="G506" s="282" t="s">
        <v>3176</v>
      </c>
      <c r="J506" s="282" t="s">
        <v>1550</v>
      </c>
    </row>
    <row r="507" spans="1:10" ht="14.4" hidden="1">
      <c r="A507" s="380" t="s">
        <v>1182</v>
      </c>
      <c r="B507" s="380" t="s">
        <v>1187</v>
      </c>
      <c r="C507" s="381" t="s">
        <v>3217</v>
      </c>
      <c r="D507" s="380" t="s">
        <v>3218</v>
      </c>
      <c r="E507" s="382" t="s">
        <v>3219</v>
      </c>
      <c r="F507" s="282" t="s">
        <v>3220</v>
      </c>
      <c r="G507" s="282" t="s">
        <v>3176</v>
      </c>
      <c r="J507" s="282" t="s">
        <v>1550</v>
      </c>
    </row>
    <row r="508" spans="1:10" ht="14.4" hidden="1">
      <c r="A508" s="380" t="s">
        <v>1182</v>
      </c>
      <c r="B508" s="380" t="s">
        <v>1187</v>
      </c>
      <c r="C508" s="381" t="s">
        <v>3221</v>
      </c>
      <c r="D508" s="380" t="s">
        <v>3222</v>
      </c>
      <c r="E508" s="382" t="s">
        <v>3223</v>
      </c>
      <c r="F508" s="282" t="s">
        <v>3224</v>
      </c>
      <c r="G508" s="282" t="s">
        <v>3176</v>
      </c>
      <c r="J508" s="282" t="s">
        <v>1550</v>
      </c>
    </row>
    <row r="509" spans="1:10" ht="14.4" hidden="1">
      <c r="A509" s="380" t="s">
        <v>1182</v>
      </c>
      <c r="B509" s="380" t="s">
        <v>1187</v>
      </c>
      <c r="C509" s="381" t="s">
        <v>3225</v>
      </c>
      <c r="D509" s="380" t="s">
        <v>3226</v>
      </c>
      <c r="E509" s="382" t="s">
        <v>3227</v>
      </c>
      <c r="F509" s="282" t="s">
        <v>3228</v>
      </c>
      <c r="G509" s="282" t="s">
        <v>3176</v>
      </c>
      <c r="J509" s="282" t="s">
        <v>1550</v>
      </c>
    </row>
    <row r="510" spans="1:10" ht="14.4" hidden="1">
      <c r="A510" s="380" t="s">
        <v>1182</v>
      </c>
      <c r="B510" s="380" t="s">
        <v>1187</v>
      </c>
      <c r="C510" s="381" t="s">
        <v>3229</v>
      </c>
      <c r="D510" s="380" t="s">
        <v>3230</v>
      </c>
      <c r="E510" s="382" t="s">
        <v>3231</v>
      </c>
      <c r="F510" s="282" t="s">
        <v>3232</v>
      </c>
      <c r="G510" s="282" t="s">
        <v>3176</v>
      </c>
      <c r="J510" s="282" t="s">
        <v>1550</v>
      </c>
    </row>
    <row r="511" spans="1:10" ht="14.4" hidden="1">
      <c r="A511" s="380" t="s">
        <v>1182</v>
      </c>
      <c r="B511" s="380" t="s">
        <v>1187</v>
      </c>
      <c r="C511" s="381" t="s">
        <v>3233</v>
      </c>
      <c r="D511" s="380" t="s">
        <v>3234</v>
      </c>
      <c r="E511" s="382" t="s">
        <v>3235</v>
      </c>
      <c r="F511" s="282" t="s">
        <v>3236</v>
      </c>
      <c r="G511" s="282" t="s">
        <v>3176</v>
      </c>
      <c r="J511" s="282" t="s">
        <v>1550</v>
      </c>
    </row>
    <row r="512" spans="1:10" ht="14.4" hidden="1">
      <c r="A512" s="380" t="s">
        <v>1182</v>
      </c>
      <c r="B512" s="380" t="s">
        <v>1187</v>
      </c>
      <c r="C512" s="381" t="s">
        <v>3237</v>
      </c>
      <c r="D512" s="380" t="s">
        <v>3238</v>
      </c>
      <c r="E512" s="382" t="s">
        <v>3239</v>
      </c>
      <c r="F512" s="282" t="s">
        <v>3240</v>
      </c>
      <c r="G512" s="282" t="s">
        <v>3176</v>
      </c>
      <c r="J512" s="282" t="s">
        <v>1550</v>
      </c>
    </row>
    <row r="513" spans="1:10" ht="14.4" hidden="1">
      <c r="A513" s="380" t="s">
        <v>1182</v>
      </c>
      <c r="B513" s="380" t="s">
        <v>1187</v>
      </c>
      <c r="C513" s="381" t="s">
        <v>3241</v>
      </c>
      <c r="D513" s="380" t="s">
        <v>3242</v>
      </c>
      <c r="E513" s="382" t="s">
        <v>3243</v>
      </c>
      <c r="F513" s="282" t="s">
        <v>3244</v>
      </c>
      <c r="G513" s="282" t="s">
        <v>3176</v>
      </c>
      <c r="J513" s="282" t="s">
        <v>1550</v>
      </c>
    </row>
    <row r="514" spans="1:10" ht="14.4" hidden="1">
      <c r="A514" s="380" t="s">
        <v>1182</v>
      </c>
      <c r="B514" s="380" t="s">
        <v>1187</v>
      </c>
      <c r="C514" s="381" t="s">
        <v>3245</v>
      </c>
      <c r="D514" s="380" t="s">
        <v>3246</v>
      </c>
      <c r="E514" s="382" t="s">
        <v>3247</v>
      </c>
      <c r="F514" s="282" t="s">
        <v>3248</v>
      </c>
      <c r="G514" s="282" t="s">
        <v>3176</v>
      </c>
      <c r="J514" s="282" t="s">
        <v>1550</v>
      </c>
    </row>
    <row r="515" spans="1:10" ht="14.4" hidden="1">
      <c r="A515" s="380" t="s">
        <v>1182</v>
      </c>
      <c r="B515" s="380" t="s">
        <v>1187</v>
      </c>
      <c r="C515" s="381" t="s">
        <v>3249</v>
      </c>
      <c r="D515" s="380" t="s">
        <v>3250</v>
      </c>
      <c r="E515" s="382" t="s">
        <v>3251</v>
      </c>
      <c r="F515" s="282" t="s">
        <v>3252</v>
      </c>
      <c r="G515" s="282" t="s">
        <v>3176</v>
      </c>
      <c r="J515" s="282" t="s">
        <v>1550</v>
      </c>
    </row>
    <row r="516" spans="1:10" ht="14.4" hidden="1">
      <c r="A516" s="380" t="s">
        <v>1182</v>
      </c>
      <c r="B516" s="380" t="s">
        <v>1187</v>
      </c>
      <c r="C516" s="381" t="s">
        <v>3253</v>
      </c>
      <c r="D516" s="380" t="s">
        <v>3254</v>
      </c>
      <c r="E516" s="382" t="s">
        <v>3255</v>
      </c>
      <c r="F516" s="282" t="s">
        <v>3256</v>
      </c>
      <c r="G516" s="282" t="s">
        <v>3176</v>
      </c>
      <c r="J516" s="282" t="s">
        <v>1550</v>
      </c>
    </row>
    <row r="517" spans="1:10" ht="14.4" hidden="1">
      <c r="A517" s="380" t="s">
        <v>1182</v>
      </c>
      <c r="B517" s="380" t="s">
        <v>1187</v>
      </c>
      <c r="C517" s="381" t="s">
        <v>3257</v>
      </c>
      <c r="D517" s="380" t="s">
        <v>3258</v>
      </c>
      <c r="E517" s="382" t="s">
        <v>3259</v>
      </c>
      <c r="F517" s="282" t="s">
        <v>3260</v>
      </c>
      <c r="G517" s="282" t="s">
        <v>3176</v>
      </c>
      <c r="J517" s="282" t="s">
        <v>1550</v>
      </c>
    </row>
    <row r="518" spans="1:10" ht="14.4" hidden="1">
      <c r="A518" s="380" t="s">
        <v>1182</v>
      </c>
      <c r="B518" s="380" t="s">
        <v>1187</v>
      </c>
      <c r="C518" s="381" t="s">
        <v>3261</v>
      </c>
      <c r="D518" s="380" t="s">
        <v>3262</v>
      </c>
      <c r="E518" s="382" t="s">
        <v>3263</v>
      </c>
      <c r="F518" s="282" t="s">
        <v>3264</v>
      </c>
      <c r="G518" s="282" t="s">
        <v>3176</v>
      </c>
      <c r="J518" s="282" t="s">
        <v>1550</v>
      </c>
    </row>
    <row r="519" spans="1:10" ht="14.4" hidden="1">
      <c r="A519" s="380" t="s">
        <v>1182</v>
      </c>
      <c r="B519" s="380" t="s">
        <v>1187</v>
      </c>
      <c r="C519" s="381" t="s">
        <v>3265</v>
      </c>
      <c r="D519" s="380" t="s">
        <v>3266</v>
      </c>
      <c r="E519" s="382" t="s">
        <v>3267</v>
      </c>
      <c r="F519" s="282" t="s">
        <v>3268</v>
      </c>
      <c r="G519" s="282" t="s">
        <v>3176</v>
      </c>
      <c r="J519" s="282" t="s">
        <v>1550</v>
      </c>
    </row>
    <row r="520" spans="1:10" ht="14.4" hidden="1">
      <c r="A520" s="380" t="s">
        <v>1182</v>
      </c>
      <c r="B520" s="380" t="s">
        <v>1187</v>
      </c>
      <c r="C520" s="381" t="s">
        <v>3269</v>
      </c>
      <c r="D520" s="380" t="s">
        <v>3270</v>
      </c>
      <c r="E520" s="382" t="s">
        <v>3271</v>
      </c>
      <c r="F520" s="282" t="s">
        <v>3272</v>
      </c>
      <c r="G520" s="282" t="s">
        <v>3176</v>
      </c>
      <c r="J520" s="282" t="s">
        <v>1550</v>
      </c>
    </row>
    <row r="521" spans="1:10" ht="14.4" hidden="1">
      <c r="A521" s="380" t="s">
        <v>1182</v>
      </c>
      <c r="B521" s="380" t="s">
        <v>1187</v>
      </c>
      <c r="C521" s="381" t="s">
        <v>3273</v>
      </c>
      <c r="D521" s="380" t="s">
        <v>3274</v>
      </c>
      <c r="E521" s="382" t="s">
        <v>3275</v>
      </c>
      <c r="F521" s="282" t="s">
        <v>3276</v>
      </c>
      <c r="G521" s="282" t="s">
        <v>3176</v>
      </c>
      <c r="J521" s="282" t="s">
        <v>1550</v>
      </c>
    </row>
    <row r="522" spans="1:10" ht="14.4" hidden="1">
      <c r="A522" s="380" t="s">
        <v>1182</v>
      </c>
      <c r="B522" s="380" t="s">
        <v>1187</v>
      </c>
      <c r="C522" s="381" t="s">
        <v>3277</v>
      </c>
      <c r="D522" s="380" t="s">
        <v>3278</v>
      </c>
      <c r="E522" s="382" t="s">
        <v>3279</v>
      </c>
      <c r="F522" s="282" t="s">
        <v>3280</v>
      </c>
      <c r="G522" s="282" t="s">
        <v>3176</v>
      </c>
      <c r="J522" s="282" t="s">
        <v>1550</v>
      </c>
    </row>
    <row r="523" spans="1:10" ht="14.4" hidden="1">
      <c r="A523" s="380" t="s">
        <v>1182</v>
      </c>
      <c r="B523" s="380" t="s">
        <v>1187</v>
      </c>
      <c r="C523" s="381" t="s">
        <v>3281</v>
      </c>
      <c r="D523" s="380" t="s">
        <v>3282</v>
      </c>
      <c r="E523" s="382" t="s">
        <v>3283</v>
      </c>
      <c r="F523" s="282" t="s">
        <v>3284</v>
      </c>
      <c r="G523" s="282" t="s">
        <v>3176</v>
      </c>
      <c r="J523" s="282" t="s">
        <v>1550</v>
      </c>
    </row>
    <row r="524" spans="1:10" ht="14.4" hidden="1">
      <c r="A524" s="380" t="s">
        <v>1182</v>
      </c>
      <c r="B524" s="380" t="s">
        <v>1187</v>
      </c>
      <c r="C524" s="381" t="s">
        <v>3285</v>
      </c>
      <c r="D524" s="380" t="s">
        <v>3286</v>
      </c>
      <c r="E524" s="382" t="s">
        <v>3287</v>
      </c>
      <c r="F524" s="282" t="s">
        <v>3288</v>
      </c>
      <c r="G524" s="282" t="s">
        <v>3176</v>
      </c>
      <c r="J524" s="282" t="s">
        <v>1550</v>
      </c>
    </row>
    <row r="525" spans="1:10" ht="14.4" hidden="1">
      <c r="A525" s="380" t="s">
        <v>1182</v>
      </c>
      <c r="B525" s="380" t="s">
        <v>1187</v>
      </c>
      <c r="C525" s="381" t="s">
        <v>3289</v>
      </c>
      <c r="D525" s="380" t="s">
        <v>3290</v>
      </c>
      <c r="E525" s="382" t="s">
        <v>3291</v>
      </c>
      <c r="F525" s="282" t="s">
        <v>3292</v>
      </c>
      <c r="G525" s="282" t="s">
        <v>3176</v>
      </c>
      <c r="J525" s="282" t="s">
        <v>1550</v>
      </c>
    </row>
    <row r="526" spans="1:10" ht="14.4" hidden="1">
      <c r="A526" s="380" t="s">
        <v>1182</v>
      </c>
      <c r="B526" s="380" t="s">
        <v>1187</v>
      </c>
      <c r="C526" s="381" t="s">
        <v>3293</v>
      </c>
      <c r="D526" s="380" t="s">
        <v>3294</v>
      </c>
      <c r="E526" s="382" t="s">
        <v>3295</v>
      </c>
      <c r="F526" s="282" t="s">
        <v>3296</v>
      </c>
      <c r="G526" s="282" t="s">
        <v>3176</v>
      </c>
      <c r="J526" s="282" t="s">
        <v>1550</v>
      </c>
    </row>
    <row r="527" spans="1:10" ht="14.4" hidden="1">
      <c r="A527" s="380" t="s">
        <v>1182</v>
      </c>
      <c r="B527" s="380" t="s">
        <v>1187</v>
      </c>
      <c r="C527" s="381" t="s">
        <v>3297</v>
      </c>
      <c r="D527" s="380" t="s">
        <v>3298</v>
      </c>
      <c r="E527" s="382" t="s">
        <v>3299</v>
      </c>
      <c r="F527" s="282" t="s">
        <v>3300</v>
      </c>
      <c r="G527" s="282" t="s">
        <v>3176</v>
      </c>
      <c r="J527" s="282" t="s">
        <v>1550</v>
      </c>
    </row>
    <row r="528" spans="1:10" ht="14.4" hidden="1">
      <c r="A528" s="380" t="s">
        <v>1182</v>
      </c>
      <c r="B528" s="380" t="s">
        <v>1187</v>
      </c>
      <c r="C528" s="381" t="s">
        <v>3301</v>
      </c>
      <c r="D528" s="380" t="s">
        <v>3302</v>
      </c>
      <c r="E528" s="382" t="s">
        <v>3303</v>
      </c>
      <c r="F528" s="282" t="s">
        <v>3304</v>
      </c>
      <c r="G528" s="282" t="s">
        <v>3176</v>
      </c>
      <c r="J528" s="282" t="s">
        <v>1550</v>
      </c>
    </row>
    <row r="529" spans="1:10" ht="14.4" hidden="1">
      <c r="A529" s="380" t="s">
        <v>1182</v>
      </c>
      <c r="B529" s="380" t="s">
        <v>1187</v>
      </c>
      <c r="C529" s="381" t="s">
        <v>3305</v>
      </c>
      <c r="D529" s="380" t="s">
        <v>3306</v>
      </c>
      <c r="E529" s="382" t="s">
        <v>3307</v>
      </c>
      <c r="F529" s="282" t="s">
        <v>3308</v>
      </c>
      <c r="G529" s="282" t="s">
        <v>3176</v>
      </c>
      <c r="J529" s="282" t="s">
        <v>1550</v>
      </c>
    </row>
    <row r="530" spans="1:10" ht="14.4" hidden="1">
      <c r="A530" s="380" t="s">
        <v>1182</v>
      </c>
      <c r="B530" s="380" t="s">
        <v>1187</v>
      </c>
      <c r="C530" s="381" t="s">
        <v>3309</v>
      </c>
      <c r="D530" s="380" t="s">
        <v>3310</v>
      </c>
      <c r="E530" s="382" t="s">
        <v>3311</v>
      </c>
      <c r="F530" s="282" t="s">
        <v>3312</v>
      </c>
      <c r="G530" s="282" t="s">
        <v>3176</v>
      </c>
      <c r="J530" s="282" t="s">
        <v>1550</v>
      </c>
    </row>
    <row r="531" spans="1:10" ht="14.4" hidden="1">
      <c r="A531" s="380" t="s">
        <v>1182</v>
      </c>
      <c r="B531" s="380" t="s">
        <v>1187</v>
      </c>
      <c r="C531" s="381" t="s">
        <v>3313</v>
      </c>
      <c r="D531" s="380" t="s">
        <v>3314</v>
      </c>
      <c r="E531" s="382" t="s">
        <v>3315</v>
      </c>
      <c r="F531" s="282" t="s">
        <v>3316</v>
      </c>
      <c r="G531" s="282" t="s">
        <v>3176</v>
      </c>
      <c r="J531" s="282" t="s">
        <v>1550</v>
      </c>
    </row>
    <row r="532" spans="1:10" ht="14.4" hidden="1">
      <c r="A532" s="380" t="s">
        <v>1182</v>
      </c>
      <c r="B532" s="380" t="s">
        <v>1187</v>
      </c>
      <c r="C532" s="381" t="s">
        <v>3317</v>
      </c>
      <c r="D532" s="380" t="s">
        <v>3318</v>
      </c>
      <c r="E532" s="382" t="s">
        <v>3319</v>
      </c>
      <c r="F532" s="282" t="s">
        <v>3320</v>
      </c>
      <c r="G532" s="282" t="s">
        <v>3176</v>
      </c>
      <c r="J532" s="282" t="s">
        <v>1550</v>
      </c>
    </row>
    <row r="533" spans="1:10" ht="14.4" hidden="1">
      <c r="A533" s="380" t="s">
        <v>1182</v>
      </c>
      <c r="B533" s="380" t="s">
        <v>1187</v>
      </c>
      <c r="C533" s="381" t="s">
        <v>3321</v>
      </c>
      <c r="D533" s="380" t="s">
        <v>3322</v>
      </c>
      <c r="E533" s="382" t="s">
        <v>3323</v>
      </c>
      <c r="F533" s="282" t="s">
        <v>3324</v>
      </c>
      <c r="G533" s="282" t="s">
        <v>3176</v>
      </c>
      <c r="J533" s="282" t="s">
        <v>1550</v>
      </c>
    </row>
    <row r="534" spans="1:10" ht="14.4" hidden="1">
      <c r="A534" s="380" t="s">
        <v>1182</v>
      </c>
      <c r="B534" s="380" t="s">
        <v>1187</v>
      </c>
      <c r="C534" s="381" t="s">
        <v>3325</v>
      </c>
      <c r="D534" s="380" t="s">
        <v>3326</v>
      </c>
      <c r="E534" s="382" t="s">
        <v>3327</v>
      </c>
      <c r="F534" s="282" t="s">
        <v>3328</v>
      </c>
      <c r="G534" s="282" t="s">
        <v>3176</v>
      </c>
      <c r="J534" s="282" t="s">
        <v>1550</v>
      </c>
    </row>
    <row r="535" spans="1:10" ht="14.4" hidden="1">
      <c r="A535" s="380" t="s">
        <v>1182</v>
      </c>
      <c r="B535" s="380" t="s">
        <v>1187</v>
      </c>
      <c r="C535" s="381" t="s">
        <v>3329</v>
      </c>
      <c r="D535" s="380" t="s">
        <v>3330</v>
      </c>
      <c r="E535" s="382" t="s">
        <v>3331</v>
      </c>
      <c r="F535" s="282" t="s">
        <v>3332</v>
      </c>
      <c r="G535" s="282" t="s">
        <v>3176</v>
      </c>
      <c r="J535" s="282" t="s">
        <v>1550</v>
      </c>
    </row>
    <row r="536" spans="1:10" ht="14.4" hidden="1">
      <c r="A536" s="380" t="s">
        <v>1182</v>
      </c>
      <c r="B536" s="380" t="s">
        <v>1187</v>
      </c>
      <c r="C536" s="381" t="s">
        <v>3333</v>
      </c>
      <c r="D536" s="380" t="s">
        <v>3334</v>
      </c>
      <c r="E536" s="382" t="s">
        <v>3335</v>
      </c>
      <c r="F536" s="282" t="s">
        <v>3336</v>
      </c>
      <c r="G536" s="282" t="s">
        <v>3176</v>
      </c>
      <c r="J536" s="282" t="s">
        <v>1550</v>
      </c>
    </row>
    <row r="537" spans="1:10" ht="14.4" hidden="1">
      <c r="A537" s="380" t="s">
        <v>1182</v>
      </c>
      <c r="B537" s="380" t="s">
        <v>1187</v>
      </c>
      <c r="C537" s="381" t="s">
        <v>3337</v>
      </c>
      <c r="D537" s="380" t="s">
        <v>3338</v>
      </c>
      <c r="E537" s="382" t="s">
        <v>3339</v>
      </c>
      <c r="F537" s="282" t="s">
        <v>3340</v>
      </c>
      <c r="G537" s="282" t="s">
        <v>3176</v>
      </c>
      <c r="J537" s="282" t="s">
        <v>1550</v>
      </c>
    </row>
    <row r="538" spans="1:10" ht="14.4" hidden="1">
      <c r="A538" s="380" t="s">
        <v>1182</v>
      </c>
      <c r="B538" s="380" t="s">
        <v>1187</v>
      </c>
      <c r="C538" s="381" t="s">
        <v>3341</v>
      </c>
      <c r="D538" s="380" t="s">
        <v>3342</v>
      </c>
      <c r="E538" s="382" t="s">
        <v>3343</v>
      </c>
      <c r="F538" s="282" t="s">
        <v>3344</v>
      </c>
      <c r="G538" s="282" t="s">
        <v>3176</v>
      </c>
      <c r="J538" s="282" t="s">
        <v>1550</v>
      </c>
    </row>
    <row r="539" spans="1:10" ht="14.4" hidden="1">
      <c r="A539" s="380" t="s">
        <v>1182</v>
      </c>
      <c r="B539" s="380" t="s">
        <v>1187</v>
      </c>
      <c r="C539" s="381" t="s">
        <v>3345</v>
      </c>
      <c r="D539" s="380" t="s">
        <v>3346</v>
      </c>
      <c r="E539" s="382" t="s">
        <v>3347</v>
      </c>
      <c r="F539" s="282" t="s">
        <v>3348</v>
      </c>
      <c r="G539" s="282" t="s">
        <v>3176</v>
      </c>
      <c r="J539" s="282" t="s">
        <v>1550</v>
      </c>
    </row>
    <row r="540" spans="1:10" ht="14.4" hidden="1">
      <c r="A540" s="380" t="s">
        <v>1182</v>
      </c>
      <c r="B540" s="380" t="s">
        <v>1187</v>
      </c>
      <c r="C540" s="381" t="s">
        <v>3349</v>
      </c>
      <c r="D540" s="380" t="s">
        <v>3350</v>
      </c>
      <c r="E540" s="382" t="s">
        <v>3351</v>
      </c>
      <c r="F540" s="282" t="s">
        <v>3352</v>
      </c>
      <c r="G540" s="282" t="s">
        <v>3176</v>
      </c>
      <c r="J540" s="282" t="s">
        <v>1550</v>
      </c>
    </row>
    <row r="541" spans="1:10" ht="14.4" hidden="1">
      <c r="A541" s="380" t="s">
        <v>1182</v>
      </c>
      <c r="B541" s="380" t="s">
        <v>1187</v>
      </c>
      <c r="C541" s="381" t="s">
        <v>3353</v>
      </c>
      <c r="D541" s="380" t="s">
        <v>3354</v>
      </c>
      <c r="E541" s="382" t="s">
        <v>3355</v>
      </c>
      <c r="F541" s="282" t="s">
        <v>3356</v>
      </c>
      <c r="G541" s="282" t="s">
        <v>3176</v>
      </c>
      <c r="J541" s="282" t="s">
        <v>1550</v>
      </c>
    </row>
    <row r="542" spans="1:10" ht="14.4" hidden="1">
      <c r="A542" s="380" t="s">
        <v>1182</v>
      </c>
      <c r="B542" s="380" t="s">
        <v>1187</v>
      </c>
      <c r="C542" s="381" t="s">
        <v>3357</v>
      </c>
      <c r="D542" s="380" t="s">
        <v>3358</v>
      </c>
      <c r="E542" s="382" t="s">
        <v>3359</v>
      </c>
      <c r="F542" s="282" t="s">
        <v>3360</v>
      </c>
      <c r="G542" s="282" t="s">
        <v>3176</v>
      </c>
      <c r="J542" s="282" t="s">
        <v>1550</v>
      </c>
    </row>
    <row r="543" spans="1:10" ht="14.4" hidden="1">
      <c r="A543" s="380" t="s">
        <v>1182</v>
      </c>
      <c r="B543" s="380" t="s">
        <v>1187</v>
      </c>
      <c r="C543" s="381" t="s">
        <v>3361</v>
      </c>
      <c r="D543" s="380" t="s">
        <v>3362</v>
      </c>
      <c r="E543" s="382" t="s">
        <v>3363</v>
      </c>
      <c r="F543" s="282" t="s">
        <v>3364</v>
      </c>
      <c r="G543" s="282" t="s">
        <v>3176</v>
      </c>
      <c r="J543" s="282" t="s">
        <v>1550</v>
      </c>
    </row>
    <row r="544" spans="1:10" ht="14.4" hidden="1">
      <c r="A544" s="380" t="s">
        <v>1182</v>
      </c>
      <c r="B544" s="380" t="s">
        <v>1187</v>
      </c>
      <c r="C544" s="381" t="s">
        <v>3365</v>
      </c>
      <c r="D544" s="380" t="s">
        <v>3366</v>
      </c>
      <c r="E544" s="382" t="s">
        <v>3367</v>
      </c>
      <c r="F544" s="282" t="s">
        <v>3368</v>
      </c>
      <c r="G544" s="282" t="s">
        <v>3176</v>
      </c>
      <c r="J544" s="282" t="s">
        <v>1550</v>
      </c>
    </row>
    <row r="545" spans="1:10" ht="14.4" hidden="1">
      <c r="A545" s="380" t="s">
        <v>1182</v>
      </c>
      <c r="B545" s="380" t="s">
        <v>1187</v>
      </c>
      <c r="C545" s="381" t="s">
        <v>3369</v>
      </c>
      <c r="D545" s="380" t="s">
        <v>3370</v>
      </c>
      <c r="E545" s="382" t="s">
        <v>3371</v>
      </c>
      <c r="F545" s="282" t="s">
        <v>3372</v>
      </c>
      <c r="G545" s="282" t="s">
        <v>3176</v>
      </c>
      <c r="J545" s="282" t="s">
        <v>1550</v>
      </c>
    </row>
    <row r="546" spans="1:10" ht="14.4" hidden="1">
      <c r="A546" s="380" t="s">
        <v>1182</v>
      </c>
      <c r="B546" s="380" t="s">
        <v>1187</v>
      </c>
      <c r="C546" s="381" t="s">
        <v>3373</v>
      </c>
      <c r="D546" s="380" t="s">
        <v>3374</v>
      </c>
      <c r="E546" s="382" t="s">
        <v>3375</v>
      </c>
      <c r="F546" s="282" t="s">
        <v>3376</v>
      </c>
      <c r="G546" s="282" t="s">
        <v>3176</v>
      </c>
      <c r="J546" s="282" t="s">
        <v>1550</v>
      </c>
    </row>
    <row r="547" spans="1:10" ht="14.4" hidden="1">
      <c r="A547" s="380" t="s">
        <v>1182</v>
      </c>
      <c r="B547" s="380" t="s">
        <v>1187</v>
      </c>
      <c r="C547" s="381" t="s">
        <v>3377</v>
      </c>
      <c r="D547" s="380" t="s">
        <v>3378</v>
      </c>
      <c r="E547" s="382" t="s">
        <v>3379</v>
      </c>
      <c r="F547" s="282" t="s">
        <v>3380</v>
      </c>
      <c r="G547" s="282" t="s">
        <v>3176</v>
      </c>
      <c r="J547" s="282" t="s">
        <v>1550</v>
      </c>
    </row>
    <row r="548" spans="1:10" ht="14.4" hidden="1">
      <c r="A548" s="380" t="s">
        <v>1182</v>
      </c>
      <c r="B548" s="380" t="s">
        <v>1187</v>
      </c>
      <c r="C548" s="381" t="s">
        <v>3381</v>
      </c>
      <c r="D548" s="380" t="s">
        <v>3382</v>
      </c>
      <c r="E548" s="382" t="s">
        <v>3383</v>
      </c>
      <c r="F548" s="282" t="s">
        <v>3384</v>
      </c>
      <c r="G548" s="282" t="s">
        <v>3176</v>
      </c>
      <c r="J548" s="282" t="s">
        <v>1550</v>
      </c>
    </row>
    <row r="549" spans="1:10" ht="14.4" hidden="1">
      <c r="A549" s="380" t="s">
        <v>1182</v>
      </c>
      <c r="B549" s="380" t="s">
        <v>1187</v>
      </c>
      <c r="C549" s="381" t="s">
        <v>3385</v>
      </c>
      <c r="D549" s="380" t="s">
        <v>3386</v>
      </c>
      <c r="E549" s="382" t="s">
        <v>3387</v>
      </c>
      <c r="F549" s="282" t="s">
        <v>3388</v>
      </c>
      <c r="G549" s="282" t="s">
        <v>3176</v>
      </c>
      <c r="J549" s="282" t="s">
        <v>1550</v>
      </c>
    </row>
    <row r="550" spans="1:10" ht="14.4" hidden="1">
      <c r="A550" s="380" t="s">
        <v>1182</v>
      </c>
      <c r="B550" s="380" t="s">
        <v>1187</v>
      </c>
      <c r="C550" s="381" t="s">
        <v>3389</v>
      </c>
      <c r="D550" s="380" t="s">
        <v>3390</v>
      </c>
      <c r="E550" s="382" t="s">
        <v>3391</v>
      </c>
      <c r="F550" s="282" t="s">
        <v>3392</v>
      </c>
      <c r="G550" s="282" t="s">
        <v>3176</v>
      </c>
      <c r="J550" s="282" t="s">
        <v>1550</v>
      </c>
    </row>
    <row r="551" spans="1:10" ht="14.4" hidden="1">
      <c r="A551" s="380" t="s">
        <v>1182</v>
      </c>
      <c r="B551" s="380" t="s">
        <v>1187</v>
      </c>
      <c r="C551" s="381" t="s">
        <v>3393</v>
      </c>
      <c r="D551" s="380" t="s">
        <v>3394</v>
      </c>
      <c r="E551" s="382" t="s">
        <v>3395</v>
      </c>
      <c r="F551" s="282" t="s">
        <v>3396</v>
      </c>
      <c r="G551" s="282" t="s">
        <v>3176</v>
      </c>
      <c r="J551" s="282" t="s">
        <v>1550</v>
      </c>
    </row>
    <row r="552" spans="1:10" ht="14.4" hidden="1">
      <c r="A552" s="380" t="s">
        <v>1182</v>
      </c>
      <c r="B552" s="380" t="s">
        <v>1187</v>
      </c>
      <c r="C552" s="381" t="s">
        <v>3397</v>
      </c>
      <c r="D552" s="380" t="s">
        <v>3398</v>
      </c>
      <c r="E552" s="382" t="s">
        <v>3399</v>
      </c>
      <c r="F552" s="282" t="s">
        <v>3400</v>
      </c>
      <c r="G552" s="282" t="s">
        <v>3176</v>
      </c>
      <c r="J552" s="282" t="s">
        <v>1550</v>
      </c>
    </row>
    <row r="553" spans="1:10" ht="14.4" hidden="1">
      <c r="A553" s="380" t="s">
        <v>1182</v>
      </c>
      <c r="B553" s="380" t="s">
        <v>1187</v>
      </c>
      <c r="C553" s="381" t="s">
        <v>3401</v>
      </c>
      <c r="D553" s="380" t="s">
        <v>3402</v>
      </c>
      <c r="E553" s="382" t="s">
        <v>3403</v>
      </c>
      <c r="F553" s="282" t="s">
        <v>3404</v>
      </c>
      <c r="G553" s="282" t="s">
        <v>3176</v>
      </c>
      <c r="J553" s="282" t="s">
        <v>1550</v>
      </c>
    </row>
    <row r="554" spans="1:10" ht="14.4" hidden="1">
      <c r="A554" s="380" t="s">
        <v>1182</v>
      </c>
      <c r="B554" s="380" t="s">
        <v>1187</v>
      </c>
      <c r="C554" s="381" t="s">
        <v>3405</v>
      </c>
      <c r="D554" s="380" t="s">
        <v>3406</v>
      </c>
      <c r="E554" s="382" t="s">
        <v>3407</v>
      </c>
      <c r="F554" s="282" t="s">
        <v>3408</v>
      </c>
      <c r="G554" s="282" t="s">
        <v>3176</v>
      </c>
      <c r="J554" s="282" t="s">
        <v>1550</v>
      </c>
    </row>
    <row r="555" spans="1:10" ht="14.4" hidden="1">
      <c r="A555" s="380" t="s">
        <v>1182</v>
      </c>
      <c r="B555" s="380" t="s">
        <v>1187</v>
      </c>
      <c r="C555" s="381" t="s">
        <v>3409</v>
      </c>
      <c r="D555" s="380" t="s">
        <v>3410</v>
      </c>
      <c r="E555" s="386" t="s">
        <v>3411</v>
      </c>
      <c r="F555" s="282" t="s">
        <v>3412</v>
      </c>
      <c r="G555" s="282" t="s">
        <v>3176</v>
      </c>
      <c r="J555" s="282" t="s">
        <v>1550</v>
      </c>
    </row>
    <row r="556" spans="1:10" ht="14.4" hidden="1">
      <c r="A556" s="380" t="s">
        <v>1182</v>
      </c>
      <c r="B556" s="380" t="s">
        <v>1187</v>
      </c>
      <c r="C556" s="381" t="s">
        <v>3413</v>
      </c>
      <c r="D556" s="380" t="s">
        <v>3414</v>
      </c>
      <c r="E556" s="386" t="s">
        <v>3415</v>
      </c>
      <c r="F556" s="282" t="s">
        <v>3416</v>
      </c>
      <c r="G556" s="282" t="s">
        <v>3176</v>
      </c>
      <c r="J556" s="282" t="s">
        <v>1550</v>
      </c>
    </row>
    <row r="557" spans="1:10" ht="14.4" hidden="1">
      <c r="A557" s="380" t="s">
        <v>1182</v>
      </c>
      <c r="B557" s="380" t="s">
        <v>1187</v>
      </c>
      <c r="C557" s="381" t="s">
        <v>3417</v>
      </c>
      <c r="D557" s="380" t="s">
        <v>3418</v>
      </c>
      <c r="E557" s="382" t="s">
        <v>3419</v>
      </c>
      <c r="F557" s="282" t="s">
        <v>3420</v>
      </c>
      <c r="G557" s="282" t="s">
        <v>3176</v>
      </c>
      <c r="J557" s="282" t="s">
        <v>1550</v>
      </c>
    </row>
    <row r="558" spans="1:10" ht="14.4" hidden="1">
      <c r="A558" s="380" t="s">
        <v>1182</v>
      </c>
      <c r="B558" s="380" t="s">
        <v>1187</v>
      </c>
      <c r="C558" s="381" t="s">
        <v>3421</v>
      </c>
      <c r="D558" s="380" t="s">
        <v>3422</v>
      </c>
      <c r="E558" s="382" t="s">
        <v>3423</v>
      </c>
      <c r="F558" s="282" t="s">
        <v>3424</v>
      </c>
      <c r="G558" s="282" t="s">
        <v>3176</v>
      </c>
      <c r="J558" s="282" t="s">
        <v>1550</v>
      </c>
    </row>
    <row r="559" spans="1:10" ht="14.4" hidden="1">
      <c r="A559" s="380" t="s">
        <v>1182</v>
      </c>
      <c r="B559" s="380" t="s">
        <v>1187</v>
      </c>
      <c r="C559" s="381" t="s">
        <v>3425</v>
      </c>
      <c r="D559" s="380" t="s">
        <v>3426</v>
      </c>
      <c r="E559" s="382" t="s">
        <v>3427</v>
      </c>
      <c r="F559" s="282" t="s">
        <v>3428</v>
      </c>
      <c r="G559" s="282" t="s">
        <v>3176</v>
      </c>
      <c r="J559" s="282" t="s">
        <v>1550</v>
      </c>
    </row>
    <row r="560" spans="1:10" ht="14.4" hidden="1">
      <c r="A560" s="380" t="s">
        <v>1182</v>
      </c>
      <c r="B560" s="380" t="s">
        <v>1187</v>
      </c>
      <c r="C560" s="381" t="s">
        <v>3429</v>
      </c>
      <c r="D560" s="380" t="s">
        <v>3430</v>
      </c>
      <c r="E560" s="382" t="s">
        <v>3431</v>
      </c>
      <c r="F560" s="282" t="s">
        <v>3432</v>
      </c>
      <c r="G560" s="282" t="s">
        <v>3176</v>
      </c>
      <c r="J560" s="282" t="s">
        <v>1550</v>
      </c>
    </row>
    <row r="561" spans="1:10" ht="14.4" hidden="1">
      <c r="A561" s="380" t="s">
        <v>1182</v>
      </c>
      <c r="B561" s="380" t="s">
        <v>1187</v>
      </c>
      <c r="C561" s="381" t="s">
        <v>3433</v>
      </c>
      <c r="D561" s="380" t="s">
        <v>3434</v>
      </c>
      <c r="E561" s="382" t="s">
        <v>3435</v>
      </c>
      <c r="F561" s="282" t="s">
        <v>3436</v>
      </c>
      <c r="G561" s="282" t="s">
        <v>3176</v>
      </c>
      <c r="J561" s="282" t="s">
        <v>1550</v>
      </c>
    </row>
    <row r="562" spans="1:10" ht="14.4" hidden="1">
      <c r="A562" s="380" t="s">
        <v>1182</v>
      </c>
      <c r="B562" s="380" t="s">
        <v>1187</v>
      </c>
      <c r="C562" s="381" t="s">
        <v>3437</v>
      </c>
      <c r="D562" s="380" t="s">
        <v>3438</v>
      </c>
      <c r="E562" s="382" t="s">
        <v>3439</v>
      </c>
      <c r="F562" s="282" t="s">
        <v>3440</v>
      </c>
      <c r="G562" s="282" t="s">
        <v>3176</v>
      </c>
      <c r="J562" s="282" t="s">
        <v>1550</v>
      </c>
    </row>
    <row r="563" spans="1:10" ht="14.4" hidden="1">
      <c r="A563" s="380" t="s">
        <v>1182</v>
      </c>
      <c r="B563" s="380" t="s">
        <v>1187</v>
      </c>
      <c r="C563" s="381" t="s">
        <v>3441</v>
      </c>
      <c r="D563" s="380" t="s">
        <v>3442</v>
      </c>
      <c r="E563" s="382" t="s">
        <v>3443</v>
      </c>
      <c r="F563" s="282" t="s">
        <v>3444</v>
      </c>
      <c r="G563" s="282" t="s">
        <v>3176</v>
      </c>
      <c r="J563" s="282" t="s">
        <v>1550</v>
      </c>
    </row>
    <row r="564" spans="1:10" ht="14.4" hidden="1">
      <c r="A564" s="380" t="s">
        <v>1182</v>
      </c>
      <c r="B564" s="380" t="s">
        <v>1187</v>
      </c>
      <c r="C564" s="381" t="s">
        <v>3445</v>
      </c>
      <c r="D564" s="380" t="s">
        <v>3446</v>
      </c>
      <c r="E564" s="382" t="s">
        <v>3447</v>
      </c>
      <c r="F564" s="282" t="s">
        <v>3448</v>
      </c>
      <c r="G564" s="282" t="s">
        <v>3176</v>
      </c>
      <c r="J564" s="282" t="s">
        <v>1550</v>
      </c>
    </row>
    <row r="565" spans="1:10" ht="14.4" hidden="1">
      <c r="A565" s="380" t="s">
        <v>1182</v>
      </c>
      <c r="B565" s="380" t="s">
        <v>1187</v>
      </c>
      <c r="C565" s="381" t="s">
        <v>3449</v>
      </c>
      <c r="D565" s="380" t="s">
        <v>3450</v>
      </c>
      <c r="E565" s="382" t="s">
        <v>3451</v>
      </c>
      <c r="F565" s="282" t="s">
        <v>3452</v>
      </c>
      <c r="G565" s="282" t="s">
        <v>3176</v>
      </c>
      <c r="J565" s="282" t="s">
        <v>1550</v>
      </c>
    </row>
    <row r="566" spans="1:10" ht="14.4" hidden="1">
      <c r="A566" s="380" t="s">
        <v>1182</v>
      </c>
      <c r="B566" s="380" t="s">
        <v>1187</v>
      </c>
      <c r="C566" s="381" t="s">
        <v>3453</v>
      </c>
      <c r="D566" s="380" t="s">
        <v>3454</v>
      </c>
      <c r="E566" s="382" t="s">
        <v>3455</v>
      </c>
      <c r="F566" s="282" t="s">
        <v>3456</v>
      </c>
      <c r="G566" s="282" t="s">
        <v>3176</v>
      </c>
      <c r="J566" s="282" t="s">
        <v>1550</v>
      </c>
    </row>
    <row r="567" spans="1:10" ht="14.4" hidden="1">
      <c r="A567" s="380" t="s">
        <v>1182</v>
      </c>
      <c r="B567" s="380" t="s">
        <v>1187</v>
      </c>
      <c r="C567" s="381" t="s">
        <v>3457</v>
      </c>
      <c r="D567" s="380" t="s">
        <v>3458</v>
      </c>
      <c r="E567" s="382" t="s">
        <v>3459</v>
      </c>
      <c r="F567" s="282" t="s">
        <v>3460</v>
      </c>
      <c r="G567" s="282" t="s">
        <v>3176</v>
      </c>
      <c r="J567" s="282" t="s">
        <v>1550</v>
      </c>
    </row>
    <row r="568" spans="1:10" ht="14.4" hidden="1">
      <c r="A568" s="380" t="s">
        <v>1182</v>
      </c>
      <c r="B568" s="380" t="s">
        <v>1187</v>
      </c>
      <c r="C568" s="381" t="s">
        <v>3461</v>
      </c>
      <c r="D568" s="380" t="s">
        <v>3462</v>
      </c>
      <c r="E568" s="382" t="s">
        <v>3463</v>
      </c>
      <c r="F568" s="282" t="s">
        <v>3464</v>
      </c>
      <c r="G568" s="282" t="s">
        <v>3176</v>
      </c>
      <c r="J568" s="282" t="s">
        <v>1550</v>
      </c>
    </row>
    <row r="569" spans="1:10" ht="14.4" hidden="1">
      <c r="A569" s="380" t="s">
        <v>1182</v>
      </c>
      <c r="B569" s="380" t="s">
        <v>1187</v>
      </c>
      <c r="C569" s="381" t="s">
        <v>3465</v>
      </c>
      <c r="D569" s="380" t="s">
        <v>3466</v>
      </c>
      <c r="E569" s="382" t="s">
        <v>3467</v>
      </c>
      <c r="F569" s="282" t="s">
        <v>3468</v>
      </c>
      <c r="G569" s="282" t="s">
        <v>3176</v>
      </c>
      <c r="J569" s="282" t="s">
        <v>1550</v>
      </c>
    </row>
    <row r="570" spans="1:10" ht="14.4" hidden="1">
      <c r="A570" s="380" t="s">
        <v>1182</v>
      </c>
      <c r="B570" s="380" t="s">
        <v>1187</v>
      </c>
      <c r="C570" s="381" t="s">
        <v>3469</v>
      </c>
      <c r="D570" s="380" t="s">
        <v>3470</v>
      </c>
      <c r="E570" s="382" t="s">
        <v>3471</v>
      </c>
      <c r="F570" s="282" t="s">
        <v>3472</v>
      </c>
      <c r="G570" s="282" t="s">
        <v>3176</v>
      </c>
      <c r="J570" s="282" t="s">
        <v>1550</v>
      </c>
    </row>
    <row r="571" spans="1:10" ht="14.4" hidden="1">
      <c r="A571" s="380" t="s">
        <v>1182</v>
      </c>
      <c r="B571" s="380" t="s">
        <v>1187</v>
      </c>
      <c r="C571" s="381" t="s">
        <v>3473</v>
      </c>
      <c r="D571" s="380" t="s">
        <v>3474</v>
      </c>
      <c r="E571" s="382" t="s">
        <v>3475</v>
      </c>
      <c r="F571" s="282" t="s">
        <v>3476</v>
      </c>
      <c r="G571" s="282" t="s">
        <v>3176</v>
      </c>
      <c r="J571" s="282" t="s">
        <v>1550</v>
      </c>
    </row>
    <row r="572" spans="1:10" ht="14.4" hidden="1">
      <c r="A572" s="380" t="s">
        <v>1182</v>
      </c>
      <c r="B572" s="380" t="s">
        <v>1187</v>
      </c>
      <c r="C572" s="381" t="s">
        <v>3477</v>
      </c>
      <c r="D572" s="380" t="s">
        <v>3478</v>
      </c>
      <c r="E572" s="382" t="s">
        <v>3479</v>
      </c>
      <c r="F572" s="282" t="s">
        <v>3480</v>
      </c>
      <c r="G572" s="282" t="s">
        <v>3176</v>
      </c>
      <c r="J572" s="282" t="s">
        <v>1550</v>
      </c>
    </row>
    <row r="573" spans="1:10" ht="14.4" hidden="1">
      <c r="A573" s="380" t="s">
        <v>1182</v>
      </c>
      <c r="B573" s="380" t="s">
        <v>1187</v>
      </c>
      <c r="C573" s="381" t="s">
        <v>3481</v>
      </c>
      <c r="D573" s="380" t="s">
        <v>3482</v>
      </c>
      <c r="E573" s="382" t="s">
        <v>3483</v>
      </c>
      <c r="F573" s="282" t="s">
        <v>3484</v>
      </c>
      <c r="G573" s="282" t="s">
        <v>3176</v>
      </c>
      <c r="J573" s="282" t="s">
        <v>1550</v>
      </c>
    </row>
    <row r="574" spans="1:10" ht="14.4" hidden="1">
      <c r="A574" s="380" t="s">
        <v>1182</v>
      </c>
      <c r="B574" s="380" t="s">
        <v>1187</v>
      </c>
      <c r="C574" s="381" t="s">
        <v>3485</v>
      </c>
      <c r="D574" s="380" t="s">
        <v>3486</v>
      </c>
      <c r="E574" s="382" t="s">
        <v>3487</v>
      </c>
      <c r="F574" s="282" t="s">
        <v>3488</v>
      </c>
      <c r="G574" s="282" t="s">
        <v>3176</v>
      </c>
      <c r="J574" s="282" t="s">
        <v>1550</v>
      </c>
    </row>
    <row r="575" spans="1:10" ht="14.4" hidden="1">
      <c r="A575" s="380" t="s">
        <v>1182</v>
      </c>
      <c r="B575" s="380" t="s">
        <v>1187</v>
      </c>
      <c r="C575" s="381" t="s">
        <v>3489</v>
      </c>
      <c r="D575" s="380" t="s">
        <v>3490</v>
      </c>
      <c r="E575" s="382" t="s">
        <v>3491</v>
      </c>
      <c r="F575" s="282" t="s">
        <v>3492</v>
      </c>
      <c r="G575" s="282" t="s">
        <v>3176</v>
      </c>
      <c r="J575" s="282" t="s">
        <v>1550</v>
      </c>
    </row>
    <row r="576" spans="1:10" ht="14.4" hidden="1">
      <c r="A576" s="380" t="s">
        <v>1182</v>
      </c>
      <c r="B576" s="380" t="s">
        <v>1187</v>
      </c>
      <c r="C576" s="381" t="s">
        <v>3493</v>
      </c>
      <c r="D576" s="380" t="s">
        <v>3494</v>
      </c>
      <c r="E576" s="382" t="s">
        <v>3495</v>
      </c>
      <c r="F576" s="282" t="s">
        <v>3496</v>
      </c>
      <c r="G576" s="282" t="s">
        <v>3176</v>
      </c>
      <c r="J576" s="282" t="s">
        <v>1550</v>
      </c>
    </row>
    <row r="577" spans="1:10" ht="14.4" hidden="1">
      <c r="A577" s="380" t="s">
        <v>1182</v>
      </c>
      <c r="B577" s="380" t="s">
        <v>1187</v>
      </c>
      <c r="C577" s="381" t="s">
        <v>3497</v>
      </c>
      <c r="D577" s="380" t="s">
        <v>3498</v>
      </c>
      <c r="E577" s="382" t="s">
        <v>3499</v>
      </c>
      <c r="F577" s="282" t="s">
        <v>3500</v>
      </c>
      <c r="G577" s="282" t="s">
        <v>3176</v>
      </c>
      <c r="J577" s="282" t="s">
        <v>1550</v>
      </c>
    </row>
    <row r="578" spans="1:10" ht="14.4" hidden="1">
      <c r="A578" s="380" t="s">
        <v>1182</v>
      </c>
      <c r="B578" s="380" t="s">
        <v>1187</v>
      </c>
      <c r="C578" s="381" t="s">
        <v>3501</v>
      </c>
      <c r="D578" s="380" t="s">
        <v>3502</v>
      </c>
      <c r="E578" s="382" t="s">
        <v>3503</v>
      </c>
      <c r="F578" s="282" t="s">
        <v>3504</v>
      </c>
      <c r="G578" s="282" t="s">
        <v>3176</v>
      </c>
      <c r="J578" s="282" t="s">
        <v>1550</v>
      </c>
    </row>
    <row r="579" spans="1:10" ht="14.4" hidden="1">
      <c r="A579" s="380" t="s">
        <v>1182</v>
      </c>
      <c r="B579" s="380" t="s">
        <v>1187</v>
      </c>
      <c r="C579" s="381" t="s">
        <v>3505</v>
      </c>
      <c r="D579" s="380" t="s">
        <v>3506</v>
      </c>
      <c r="E579" s="382" t="s">
        <v>3507</v>
      </c>
      <c r="F579" s="282" t="s">
        <v>3508</v>
      </c>
      <c r="G579" s="282" t="s">
        <v>3176</v>
      </c>
      <c r="J579" s="282" t="s">
        <v>1550</v>
      </c>
    </row>
    <row r="580" spans="1:10" ht="14.4" hidden="1">
      <c r="A580" s="380" t="s">
        <v>1182</v>
      </c>
      <c r="B580" s="380" t="s">
        <v>1187</v>
      </c>
      <c r="C580" s="381" t="s">
        <v>3509</v>
      </c>
      <c r="D580" s="380" t="s">
        <v>3510</v>
      </c>
      <c r="E580" s="382" t="s">
        <v>3511</v>
      </c>
      <c r="F580" s="282" t="s">
        <v>3512</v>
      </c>
      <c r="G580" s="282" t="s">
        <v>3176</v>
      </c>
      <c r="J580" s="282" t="s">
        <v>1550</v>
      </c>
    </row>
    <row r="581" spans="1:10" ht="14.4" hidden="1">
      <c r="A581" s="380" t="s">
        <v>1182</v>
      </c>
      <c r="B581" s="380" t="s">
        <v>1187</v>
      </c>
      <c r="C581" s="381" t="s">
        <v>3513</v>
      </c>
      <c r="D581" s="380" t="s">
        <v>3514</v>
      </c>
      <c r="E581" s="382" t="s">
        <v>3515</v>
      </c>
      <c r="F581" s="282" t="s">
        <v>3516</v>
      </c>
      <c r="G581" s="282" t="s">
        <v>3176</v>
      </c>
      <c r="H581" s="282" t="s">
        <v>1548</v>
      </c>
      <c r="J581" s="282" t="s">
        <v>1550</v>
      </c>
    </row>
    <row r="582" spans="1:10" ht="14.4" hidden="1">
      <c r="A582" s="380" t="s">
        <v>1182</v>
      </c>
      <c r="B582" s="380" t="s">
        <v>1187</v>
      </c>
      <c r="C582" s="381" t="s">
        <v>3517</v>
      </c>
      <c r="D582" s="380" t="s">
        <v>3518</v>
      </c>
      <c r="E582" s="382" t="s">
        <v>3519</v>
      </c>
      <c r="F582" s="282" t="s">
        <v>3520</v>
      </c>
      <c r="G582" s="282" t="s">
        <v>3176</v>
      </c>
      <c r="J582" s="282" t="s">
        <v>1550</v>
      </c>
    </row>
    <row r="583" spans="1:10" ht="14.4" hidden="1">
      <c r="A583" s="380" t="s">
        <v>1182</v>
      </c>
      <c r="B583" s="380" t="s">
        <v>1187</v>
      </c>
      <c r="C583" s="381" t="s">
        <v>3521</v>
      </c>
      <c r="D583" s="380" t="s">
        <v>3522</v>
      </c>
      <c r="E583" s="382" t="s">
        <v>3523</v>
      </c>
      <c r="F583" s="282" t="s">
        <v>3524</v>
      </c>
      <c r="G583" s="282" t="s">
        <v>3176</v>
      </c>
      <c r="J583" s="282" t="s">
        <v>1550</v>
      </c>
    </row>
    <row r="584" spans="1:10" ht="14.4" hidden="1">
      <c r="A584" s="380" t="s">
        <v>1182</v>
      </c>
      <c r="B584" s="380" t="s">
        <v>1187</v>
      </c>
      <c r="C584" s="381" t="s">
        <v>3525</v>
      </c>
      <c r="D584" s="380" t="s">
        <v>3526</v>
      </c>
      <c r="E584" s="382" t="s">
        <v>3527</v>
      </c>
      <c r="F584" s="282" t="s">
        <v>3528</v>
      </c>
      <c r="G584" s="282" t="s">
        <v>3176</v>
      </c>
      <c r="J584" s="282" t="s">
        <v>1550</v>
      </c>
    </row>
    <row r="585" spans="1:10" ht="14.4" hidden="1">
      <c r="A585" s="380" t="s">
        <v>1182</v>
      </c>
      <c r="B585" s="380" t="s">
        <v>1187</v>
      </c>
      <c r="C585" s="381" t="s">
        <v>3529</v>
      </c>
      <c r="D585" s="380" t="s">
        <v>3530</v>
      </c>
      <c r="E585" s="382" t="s">
        <v>3531</v>
      </c>
      <c r="F585" s="282" t="s">
        <v>3532</v>
      </c>
      <c r="G585" s="282" t="s">
        <v>3176</v>
      </c>
      <c r="J585" s="282" t="s">
        <v>1550</v>
      </c>
    </row>
    <row r="586" spans="1:10" ht="14.4" hidden="1">
      <c r="A586" s="380" t="s">
        <v>1182</v>
      </c>
      <c r="B586" s="380" t="s">
        <v>1187</v>
      </c>
      <c r="C586" s="381" t="s">
        <v>3533</v>
      </c>
      <c r="D586" s="380" t="s">
        <v>3534</v>
      </c>
      <c r="E586" s="382" t="s">
        <v>3535</v>
      </c>
      <c r="F586" s="282" t="s">
        <v>3536</v>
      </c>
      <c r="G586" s="282" t="s">
        <v>3176</v>
      </c>
      <c r="J586" s="282" t="s">
        <v>1550</v>
      </c>
    </row>
    <row r="587" spans="1:10" ht="14.4" hidden="1">
      <c r="A587" s="380" t="s">
        <v>1182</v>
      </c>
      <c r="B587" s="380" t="s">
        <v>1187</v>
      </c>
      <c r="C587" s="381" t="s">
        <v>3537</v>
      </c>
      <c r="D587" s="380" t="s">
        <v>3538</v>
      </c>
      <c r="E587" s="382" t="s">
        <v>3539</v>
      </c>
      <c r="F587" s="282" t="s">
        <v>3540</v>
      </c>
      <c r="G587" s="282" t="s">
        <v>3176</v>
      </c>
      <c r="J587" s="282" t="s">
        <v>1550</v>
      </c>
    </row>
    <row r="588" spans="1:10" ht="14.4" hidden="1">
      <c r="A588" s="380" t="s">
        <v>1182</v>
      </c>
      <c r="B588" s="380" t="s">
        <v>1187</v>
      </c>
      <c r="C588" s="381" t="s">
        <v>3541</v>
      </c>
      <c r="D588" s="380" t="s">
        <v>3542</v>
      </c>
      <c r="E588" s="382" t="s">
        <v>3543</v>
      </c>
      <c r="F588" s="282" t="s">
        <v>3544</v>
      </c>
      <c r="G588" s="282" t="s">
        <v>3176</v>
      </c>
      <c r="J588" s="282" t="s">
        <v>1550</v>
      </c>
    </row>
    <row r="589" spans="1:10" ht="14.4" hidden="1">
      <c r="A589" s="380" t="s">
        <v>1182</v>
      </c>
      <c r="B589" s="380" t="s">
        <v>1187</v>
      </c>
      <c r="C589" s="381" t="s">
        <v>3545</v>
      </c>
      <c r="D589" s="380" t="s">
        <v>3546</v>
      </c>
      <c r="E589" s="382" t="s">
        <v>3547</v>
      </c>
      <c r="F589" s="282" t="s">
        <v>3548</v>
      </c>
      <c r="G589" s="282" t="s">
        <v>3176</v>
      </c>
      <c r="J589" s="282" t="s">
        <v>1550</v>
      </c>
    </row>
    <row r="590" spans="1:10" ht="14.4" hidden="1">
      <c r="A590" s="380" t="s">
        <v>1182</v>
      </c>
      <c r="B590" s="380" t="s">
        <v>1187</v>
      </c>
      <c r="C590" s="381" t="s">
        <v>3549</v>
      </c>
      <c r="D590" s="380" t="s">
        <v>3550</v>
      </c>
      <c r="E590" s="382" t="s">
        <v>3551</v>
      </c>
      <c r="F590" s="282" t="s">
        <v>3552</v>
      </c>
      <c r="G590" s="282" t="s">
        <v>3176</v>
      </c>
      <c r="J590" s="282" t="s">
        <v>1550</v>
      </c>
    </row>
    <row r="591" spans="1:10" ht="14.4" hidden="1">
      <c r="A591" s="380" t="s">
        <v>1182</v>
      </c>
      <c r="B591" s="380" t="s">
        <v>1187</v>
      </c>
      <c r="C591" s="381" t="s">
        <v>3553</v>
      </c>
      <c r="D591" s="380" t="s">
        <v>3554</v>
      </c>
      <c r="E591" s="382" t="s">
        <v>3555</v>
      </c>
      <c r="F591" s="282" t="s">
        <v>3556</v>
      </c>
      <c r="G591" s="282" t="s">
        <v>3176</v>
      </c>
      <c r="J591" s="282" t="s">
        <v>1550</v>
      </c>
    </row>
    <row r="592" spans="1:10" ht="14.4" hidden="1">
      <c r="A592" s="380" t="s">
        <v>1182</v>
      </c>
      <c r="B592" s="380" t="s">
        <v>1187</v>
      </c>
      <c r="C592" s="381" t="s">
        <v>3557</v>
      </c>
      <c r="D592" s="380" t="s">
        <v>3558</v>
      </c>
      <c r="E592" s="382" t="s">
        <v>3559</v>
      </c>
      <c r="F592" s="282" t="s">
        <v>3560</v>
      </c>
      <c r="G592" s="282" t="s">
        <v>3176</v>
      </c>
      <c r="J592" s="282" t="s">
        <v>1550</v>
      </c>
    </row>
    <row r="593" spans="1:10" ht="14.4" hidden="1">
      <c r="A593" s="380" t="s">
        <v>1182</v>
      </c>
      <c r="B593" s="380" t="s">
        <v>1187</v>
      </c>
      <c r="C593" s="381" t="s">
        <v>3561</v>
      </c>
      <c r="D593" s="380" t="s">
        <v>3562</v>
      </c>
      <c r="E593" s="382" t="s">
        <v>3563</v>
      </c>
      <c r="F593" s="282" t="s">
        <v>3564</v>
      </c>
      <c r="G593" s="282" t="s">
        <v>3176</v>
      </c>
      <c r="J593" s="282" t="s">
        <v>1550</v>
      </c>
    </row>
    <row r="594" spans="1:10" ht="14.4" hidden="1">
      <c r="A594" s="380" t="s">
        <v>1182</v>
      </c>
      <c r="B594" s="380" t="s">
        <v>1187</v>
      </c>
      <c r="C594" s="381" t="s">
        <v>3565</v>
      </c>
      <c r="D594" s="380" t="s">
        <v>3566</v>
      </c>
      <c r="E594" s="382" t="s">
        <v>3567</v>
      </c>
      <c r="F594" s="282" t="s">
        <v>3568</v>
      </c>
      <c r="G594" s="282" t="s">
        <v>3176</v>
      </c>
      <c r="J594" s="282" t="s">
        <v>1550</v>
      </c>
    </row>
    <row r="595" spans="1:10" ht="14.4" hidden="1">
      <c r="A595" s="380" t="s">
        <v>1182</v>
      </c>
      <c r="B595" s="380" t="s">
        <v>1187</v>
      </c>
      <c r="C595" s="381" t="s">
        <v>3569</v>
      </c>
      <c r="D595" s="380" t="s">
        <v>3570</v>
      </c>
      <c r="E595" s="382" t="s">
        <v>3571</v>
      </c>
      <c r="F595" s="282" t="s">
        <v>3572</v>
      </c>
      <c r="G595" s="282" t="s">
        <v>3176</v>
      </c>
      <c r="J595" s="282" t="s">
        <v>1550</v>
      </c>
    </row>
    <row r="596" spans="1:10" ht="14.4" hidden="1">
      <c r="A596" s="380" t="s">
        <v>1182</v>
      </c>
      <c r="B596" s="380" t="s">
        <v>1187</v>
      </c>
      <c r="C596" s="381" t="s">
        <v>3573</v>
      </c>
      <c r="D596" s="380" t="s">
        <v>3574</v>
      </c>
      <c r="E596" s="382" t="s">
        <v>3575</v>
      </c>
      <c r="F596" s="282" t="s">
        <v>3576</v>
      </c>
      <c r="G596" s="282" t="s">
        <v>3176</v>
      </c>
      <c r="J596" s="282" t="s">
        <v>1550</v>
      </c>
    </row>
    <row r="597" spans="1:10" ht="14.4" hidden="1">
      <c r="A597" s="380" t="s">
        <v>1182</v>
      </c>
      <c r="B597" s="380" t="s">
        <v>1187</v>
      </c>
      <c r="C597" s="381" t="s">
        <v>3577</v>
      </c>
      <c r="D597" s="380" t="s">
        <v>3578</v>
      </c>
      <c r="E597" s="382" t="s">
        <v>3579</v>
      </c>
      <c r="F597" s="282" t="s">
        <v>3580</v>
      </c>
      <c r="G597" s="282" t="s">
        <v>3176</v>
      </c>
      <c r="J597" s="282" t="s">
        <v>1550</v>
      </c>
    </row>
    <row r="598" spans="1:10" ht="14.4" hidden="1">
      <c r="A598" s="380" t="s">
        <v>1182</v>
      </c>
      <c r="B598" s="380" t="s">
        <v>1187</v>
      </c>
      <c r="C598" s="381" t="s">
        <v>3581</v>
      </c>
      <c r="D598" s="380" t="s">
        <v>3582</v>
      </c>
      <c r="E598" s="382" t="s">
        <v>3583</v>
      </c>
      <c r="F598" s="282" t="s">
        <v>3584</v>
      </c>
      <c r="G598" s="282" t="s">
        <v>3176</v>
      </c>
      <c r="J598" s="282" t="s">
        <v>1550</v>
      </c>
    </row>
    <row r="599" spans="1:10" ht="14.4" hidden="1">
      <c r="A599" s="380" t="s">
        <v>1182</v>
      </c>
      <c r="B599" s="380" t="s">
        <v>1187</v>
      </c>
      <c r="C599" s="381" t="s">
        <v>3585</v>
      </c>
      <c r="D599" s="380" t="s">
        <v>3586</v>
      </c>
      <c r="E599" s="382" t="s">
        <v>3587</v>
      </c>
      <c r="F599" s="282" t="s">
        <v>3588</v>
      </c>
      <c r="G599" s="282" t="s">
        <v>3176</v>
      </c>
      <c r="J599" s="282" t="s">
        <v>1550</v>
      </c>
    </row>
    <row r="600" spans="1:10" ht="14.4" hidden="1">
      <c r="A600" s="380" t="s">
        <v>1182</v>
      </c>
      <c r="B600" s="380" t="s">
        <v>1187</v>
      </c>
      <c r="C600" s="381" t="s">
        <v>3589</v>
      </c>
      <c r="D600" s="380" t="s">
        <v>3590</v>
      </c>
      <c r="E600" s="382" t="s">
        <v>3591</v>
      </c>
      <c r="F600" s="282" t="s">
        <v>3592</v>
      </c>
      <c r="G600" s="282" t="s">
        <v>3176</v>
      </c>
      <c r="J600" s="282" t="s">
        <v>1550</v>
      </c>
    </row>
    <row r="601" spans="1:10" ht="14.4" hidden="1">
      <c r="A601" s="380" t="s">
        <v>1182</v>
      </c>
      <c r="B601" s="380" t="s">
        <v>1187</v>
      </c>
      <c r="C601" s="381" t="s">
        <v>3593</v>
      </c>
      <c r="D601" s="380" t="s">
        <v>3594</v>
      </c>
      <c r="E601" s="382" t="s">
        <v>3595</v>
      </c>
      <c r="F601" s="282" t="s">
        <v>3596</v>
      </c>
      <c r="G601" s="282" t="s">
        <v>3176</v>
      </c>
      <c r="J601" s="282" t="s">
        <v>1550</v>
      </c>
    </row>
    <row r="602" spans="1:10" ht="14.4" hidden="1">
      <c r="A602" s="380" t="s">
        <v>1182</v>
      </c>
      <c r="B602" s="380" t="s">
        <v>1187</v>
      </c>
      <c r="C602" s="381" t="s">
        <v>3597</v>
      </c>
      <c r="D602" s="380" t="s">
        <v>3598</v>
      </c>
      <c r="E602" s="382" t="s">
        <v>3599</v>
      </c>
      <c r="F602" s="282" t="s">
        <v>3600</v>
      </c>
      <c r="G602" s="282" t="s">
        <v>3176</v>
      </c>
      <c r="J602" s="282" t="s">
        <v>1550</v>
      </c>
    </row>
    <row r="603" spans="1:10" ht="14.4" hidden="1">
      <c r="A603" s="380" t="s">
        <v>1182</v>
      </c>
      <c r="B603" s="380" t="s">
        <v>1187</v>
      </c>
      <c r="C603" s="381" t="s">
        <v>3601</v>
      </c>
      <c r="D603" s="380" t="s">
        <v>3602</v>
      </c>
      <c r="E603" s="382" t="s">
        <v>3603</v>
      </c>
      <c r="F603" s="282" t="s">
        <v>3604</v>
      </c>
      <c r="G603" s="282" t="s">
        <v>3176</v>
      </c>
      <c r="H603" s="282" t="s">
        <v>1548</v>
      </c>
      <c r="J603" s="282" t="s">
        <v>1550</v>
      </c>
    </row>
    <row r="604" spans="1:10" ht="14.4" hidden="1">
      <c r="A604" s="380" t="s">
        <v>1182</v>
      </c>
      <c r="B604" s="380" t="s">
        <v>1187</v>
      </c>
      <c r="C604" s="381" t="s">
        <v>3605</v>
      </c>
      <c r="D604" s="380" t="s">
        <v>3606</v>
      </c>
      <c r="E604" s="382" t="s">
        <v>3607</v>
      </c>
      <c r="F604" s="282" t="s">
        <v>3608</v>
      </c>
      <c r="G604" s="282" t="s">
        <v>3176</v>
      </c>
      <c r="J604" s="282" t="s">
        <v>1550</v>
      </c>
    </row>
    <row r="605" spans="1:10" ht="14.4" hidden="1">
      <c r="A605" s="380" t="s">
        <v>1182</v>
      </c>
      <c r="B605" s="380" t="s">
        <v>1187</v>
      </c>
      <c r="C605" s="381" t="s">
        <v>3609</v>
      </c>
      <c r="D605" s="380" t="s">
        <v>3610</v>
      </c>
      <c r="E605" s="382" t="s">
        <v>3611</v>
      </c>
      <c r="F605" s="282" t="s">
        <v>3612</v>
      </c>
      <c r="G605" s="282" t="s">
        <v>3176</v>
      </c>
      <c r="J605" s="282" t="s">
        <v>1550</v>
      </c>
    </row>
    <row r="606" spans="1:10" ht="14.4" hidden="1">
      <c r="A606" s="380" t="s">
        <v>1182</v>
      </c>
      <c r="B606" s="380" t="s">
        <v>1187</v>
      </c>
      <c r="C606" s="381" t="s">
        <v>3613</v>
      </c>
      <c r="D606" s="380" t="s">
        <v>3614</v>
      </c>
      <c r="E606" s="382" t="s">
        <v>3615</v>
      </c>
      <c r="F606" s="282" t="s">
        <v>3616</v>
      </c>
      <c r="G606" s="282" t="s">
        <v>3176</v>
      </c>
      <c r="J606" s="282" t="s">
        <v>1550</v>
      </c>
    </row>
    <row r="607" spans="1:10" ht="14.4" hidden="1">
      <c r="A607" s="380" t="s">
        <v>1182</v>
      </c>
      <c r="B607" s="380" t="s">
        <v>1187</v>
      </c>
      <c r="C607" s="381" t="s">
        <v>3617</v>
      </c>
      <c r="D607" s="380" t="s">
        <v>3618</v>
      </c>
      <c r="E607" s="382" t="s">
        <v>3619</v>
      </c>
      <c r="F607" s="282" t="s">
        <v>3620</v>
      </c>
      <c r="G607" s="282" t="s">
        <v>3176</v>
      </c>
      <c r="J607" s="282" t="s">
        <v>1550</v>
      </c>
    </row>
    <row r="608" spans="1:10" ht="14.4" hidden="1">
      <c r="A608" s="380" t="s">
        <v>1182</v>
      </c>
      <c r="B608" s="380" t="s">
        <v>1187</v>
      </c>
      <c r="C608" s="381" t="s">
        <v>3621</v>
      </c>
      <c r="D608" s="380" t="s">
        <v>3622</v>
      </c>
      <c r="E608" s="382" t="s">
        <v>3623</v>
      </c>
      <c r="F608" s="282" t="s">
        <v>3624</v>
      </c>
      <c r="G608" s="282" t="s">
        <v>3176</v>
      </c>
      <c r="J608" s="282" t="s">
        <v>1550</v>
      </c>
    </row>
    <row r="609" spans="1:10" ht="14.4" hidden="1">
      <c r="A609" s="380" t="s">
        <v>1182</v>
      </c>
      <c r="B609" s="380" t="s">
        <v>1187</v>
      </c>
      <c r="C609" s="381" t="s">
        <v>3625</v>
      </c>
      <c r="D609" s="380" t="s">
        <v>3626</v>
      </c>
      <c r="E609" s="382" t="s">
        <v>3627</v>
      </c>
      <c r="F609" s="282" t="s">
        <v>3628</v>
      </c>
      <c r="G609" s="282" t="s">
        <v>3176</v>
      </c>
      <c r="J609" s="282" t="s">
        <v>1550</v>
      </c>
    </row>
    <row r="610" spans="1:10" ht="14.4" hidden="1">
      <c r="A610" s="380" t="s">
        <v>1182</v>
      </c>
      <c r="B610" s="380" t="s">
        <v>1187</v>
      </c>
      <c r="C610" s="381" t="s">
        <v>3629</v>
      </c>
      <c r="D610" s="380" t="s">
        <v>3630</v>
      </c>
      <c r="E610" s="382" t="s">
        <v>3631</v>
      </c>
      <c r="F610" s="282" t="s">
        <v>3632</v>
      </c>
      <c r="G610" s="282" t="s">
        <v>3176</v>
      </c>
      <c r="J610" s="282" t="s">
        <v>1550</v>
      </c>
    </row>
    <row r="611" spans="1:10" ht="14.4" hidden="1">
      <c r="A611" s="380" t="s">
        <v>1182</v>
      </c>
      <c r="B611" s="380" t="s">
        <v>1187</v>
      </c>
      <c r="C611" s="381" t="s">
        <v>3633</v>
      </c>
      <c r="D611" s="380" t="s">
        <v>3634</v>
      </c>
      <c r="E611" s="382" t="s">
        <v>3635</v>
      </c>
      <c r="F611" s="282" t="s">
        <v>3636</v>
      </c>
      <c r="G611" s="282" t="s">
        <v>3176</v>
      </c>
      <c r="J611" s="282" t="s">
        <v>1550</v>
      </c>
    </row>
    <row r="612" spans="1:10" ht="14.4" hidden="1">
      <c r="A612" s="380" t="s">
        <v>1182</v>
      </c>
      <c r="B612" s="380" t="s">
        <v>1187</v>
      </c>
      <c r="C612" s="381" t="s">
        <v>3637</v>
      </c>
      <c r="D612" s="380" t="s">
        <v>3638</v>
      </c>
      <c r="E612" s="382" t="s">
        <v>3639</v>
      </c>
      <c r="F612" s="282" t="s">
        <v>3640</v>
      </c>
      <c r="G612" s="282" t="s">
        <v>3176</v>
      </c>
      <c r="J612" s="282" t="s">
        <v>1550</v>
      </c>
    </row>
    <row r="613" spans="1:10" ht="14.4" hidden="1">
      <c r="A613" s="380" t="s">
        <v>1182</v>
      </c>
      <c r="B613" s="380" t="s">
        <v>1187</v>
      </c>
      <c r="C613" s="381" t="s">
        <v>3641</v>
      </c>
      <c r="D613" s="380" t="s">
        <v>3642</v>
      </c>
      <c r="E613" s="382" t="s">
        <v>3643</v>
      </c>
      <c r="F613" s="282" t="s">
        <v>3644</v>
      </c>
      <c r="G613" s="282" t="s">
        <v>3176</v>
      </c>
      <c r="J613" s="282" t="s">
        <v>1550</v>
      </c>
    </row>
    <row r="614" spans="1:10" ht="14.4" hidden="1">
      <c r="A614" s="380" t="s">
        <v>1182</v>
      </c>
      <c r="B614" s="380" t="s">
        <v>1187</v>
      </c>
      <c r="C614" s="381" t="s">
        <v>3645</v>
      </c>
      <c r="D614" s="380" t="s">
        <v>3646</v>
      </c>
      <c r="E614" s="382" t="s">
        <v>3647</v>
      </c>
      <c r="F614" s="282" t="s">
        <v>3648</v>
      </c>
      <c r="G614" s="282" t="s">
        <v>3176</v>
      </c>
      <c r="J614" s="282" t="s">
        <v>1550</v>
      </c>
    </row>
    <row r="615" spans="1:10" ht="14.4" hidden="1">
      <c r="A615" s="380" t="s">
        <v>1182</v>
      </c>
      <c r="B615" s="380" t="s">
        <v>1187</v>
      </c>
      <c r="C615" s="381" t="s">
        <v>3649</v>
      </c>
      <c r="D615" s="380" t="s">
        <v>3650</v>
      </c>
      <c r="E615" s="382" t="s">
        <v>3651</v>
      </c>
      <c r="F615" s="282" t="s">
        <v>3652</v>
      </c>
      <c r="G615" s="282" t="s">
        <v>3176</v>
      </c>
      <c r="J615" s="282" t="s">
        <v>1550</v>
      </c>
    </row>
    <row r="616" spans="1:10" ht="14.4" hidden="1">
      <c r="A616" s="380" t="s">
        <v>1182</v>
      </c>
      <c r="B616" s="380" t="s">
        <v>1187</v>
      </c>
      <c r="C616" s="381" t="s">
        <v>3653</v>
      </c>
      <c r="D616" s="380" t="s">
        <v>3654</v>
      </c>
      <c r="E616" s="382" t="s">
        <v>3655</v>
      </c>
      <c r="F616" s="282" t="s">
        <v>3656</v>
      </c>
      <c r="G616" s="282" t="s">
        <v>3176</v>
      </c>
      <c r="J616" s="282" t="s">
        <v>1550</v>
      </c>
    </row>
    <row r="617" spans="1:10" ht="14.4" hidden="1">
      <c r="A617" s="380" t="s">
        <v>1182</v>
      </c>
      <c r="B617" s="380" t="s">
        <v>1187</v>
      </c>
      <c r="C617" s="381" t="s">
        <v>3657</v>
      </c>
      <c r="D617" s="380" t="s">
        <v>3658</v>
      </c>
      <c r="E617" s="382" t="s">
        <v>3659</v>
      </c>
      <c r="F617" s="282" t="s">
        <v>3660</v>
      </c>
      <c r="G617" s="282" t="s">
        <v>3176</v>
      </c>
      <c r="J617" s="282" t="s">
        <v>1550</v>
      </c>
    </row>
    <row r="618" spans="1:10" ht="14.4" hidden="1">
      <c r="A618" s="380" t="s">
        <v>1182</v>
      </c>
      <c r="B618" s="380" t="s">
        <v>1187</v>
      </c>
      <c r="C618" s="381" t="s">
        <v>3661</v>
      </c>
      <c r="D618" s="380" t="s">
        <v>3662</v>
      </c>
      <c r="E618" s="382" t="s">
        <v>3663</v>
      </c>
      <c r="F618" s="282" t="s">
        <v>3664</v>
      </c>
      <c r="G618" s="282" t="s">
        <v>3176</v>
      </c>
      <c r="J618" s="282" t="s">
        <v>1550</v>
      </c>
    </row>
    <row r="619" spans="1:10" ht="14.4" hidden="1">
      <c r="A619" s="380" t="s">
        <v>1182</v>
      </c>
      <c r="B619" s="380" t="s">
        <v>1187</v>
      </c>
      <c r="C619" s="381" t="s">
        <v>3665</v>
      </c>
      <c r="D619" s="380" t="s">
        <v>3666</v>
      </c>
      <c r="E619" s="382" t="s">
        <v>3667</v>
      </c>
      <c r="F619" s="282" t="s">
        <v>3668</v>
      </c>
      <c r="G619" s="282" t="s">
        <v>3176</v>
      </c>
      <c r="J619" s="282" t="s">
        <v>1550</v>
      </c>
    </row>
    <row r="620" spans="1:10" ht="14.4" hidden="1">
      <c r="A620" s="380" t="s">
        <v>1182</v>
      </c>
      <c r="B620" s="380" t="s">
        <v>1187</v>
      </c>
      <c r="C620" s="381" t="s">
        <v>3669</v>
      </c>
      <c r="D620" s="380" t="s">
        <v>3670</v>
      </c>
      <c r="E620" s="382" t="s">
        <v>3671</v>
      </c>
      <c r="F620" s="282" t="s">
        <v>3672</v>
      </c>
      <c r="G620" s="282" t="s">
        <v>3176</v>
      </c>
      <c r="J620" s="282" t="s">
        <v>1550</v>
      </c>
    </row>
    <row r="621" spans="1:10" ht="14.4" hidden="1">
      <c r="A621" s="380" t="s">
        <v>1182</v>
      </c>
      <c r="B621" s="380" t="s">
        <v>1187</v>
      </c>
      <c r="C621" s="381" t="s">
        <v>3673</v>
      </c>
      <c r="D621" s="380" t="s">
        <v>3674</v>
      </c>
      <c r="E621" s="382" t="s">
        <v>3675</v>
      </c>
      <c r="F621" s="282" t="s">
        <v>3676</v>
      </c>
      <c r="G621" s="282" t="s">
        <v>3176</v>
      </c>
      <c r="J621" s="282" t="s">
        <v>1550</v>
      </c>
    </row>
    <row r="622" spans="1:10" ht="14.4" hidden="1">
      <c r="A622" s="380" t="s">
        <v>1182</v>
      </c>
      <c r="B622" s="380" t="s">
        <v>1187</v>
      </c>
      <c r="C622" s="381" t="s">
        <v>3677</v>
      </c>
      <c r="D622" s="380" t="s">
        <v>3678</v>
      </c>
      <c r="E622" s="382" t="s">
        <v>3679</v>
      </c>
      <c r="F622" s="282" t="s">
        <v>3680</v>
      </c>
      <c r="G622" s="282" t="s">
        <v>3176</v>
      </c>
      <c r="J622" s="282" t="s">
        <v>1550</v>
      </c>
    </row>
    <row r="623" spans="1:10" ht="14.4" hidden="1">
      <c r="A623" s="380" t="s">
        <v>1182</v>
      </c>
      <c r="B623" s="380" t="s">
        <v>1187</v>
      </c>
      <c r="C623" s="381" t="s">
        <v>3681</v>
      </c>
      <c r="D623" s="380" t="s">
        <v>3682</v>
      </c>
      <c r="E623" s="382" t="s">
        <v>3683</v>
      </c>
      <c r="F623" s="282" t="s">
        <v>3684</v>
      </c>
      <c r="G623" s="282" t="s">
        <v>3176</v>
      </c>
      <c r="J623" s="282" t="s">
        <v>1550</v>
      </c>
    </row>
    <row r="624" spans="1:10" ht="14.4" hidden="1">
      <c r="A624" s="380" t="s">
        <v>1182</v>
      </c>
      <c r="B624" s="380" t="s">
        <v>1187</v>
      </c>
      <c r="C624" s="381" t="s">
        <v>3685</v>
      </c>
      <c r="D624" s="380" t="s">
        <v>3686</v>
      </c>
      <c r="E624" s="382" t="s">
        <v>3687</v>
      </c>
      <c r="F624" s="282" t="s">
        <v>3688</v>
      </c>
      <c r="G624" s="282" t="s">
        <v>3176</v>
      </c>
      <c r="J624" s="282" t="s">
        <v>1550</v>
      </c>
    </row>
    <row r="625" spans="1:10" ht="14.4" hidden="1">
      <c r="A625" s="380" t="s">
        <v>1182</v>
      </c>
      <c r="B625" s="380" t="s">
        <v>1187</v>
      </c>
      <c r="C625" s="381" t="s">
        <v>3689</v>
      </c>
      <c r="D625" s="380" t="s">
        <v>3690</v>
      </c>
      <c r="E625" s="382" t="s">
        <v>3691</v>
      </c>
      <c r="F625" s="282" t="s">
        <v>3692</v>
      </c>
      <c r="G625" s="282" t="s">
        <v>3176</v>
      </c>
      <c r="J625" s="282" t="s">
        <v>1550</v>
      </c>
    </row>
    <row r="626" spans="1:10" ht="14.4" hidden="1">
      <c r="A626" s="380" t="s">
        <v>1182</v>
      </c>
      <c r="B626" s="380" t="s">
        <v>1187</v>
      </c>
      <c r="C626" s="381" t="s">
        <v>3693</v>
      </c>
      <c r="D626" s="380" t="s">
        <v>3694</v>
      </c>
      <c r="E626" s="382" t="s">
        <v>3695</v>
      </c>
      <c r="F626" s="282" t="s">
        <v>3696</v>
      </c>
      <c r="G626" s="282" t="s">
        <v>3176</v>
      </c>
      <c r="J626" s="282" t="s">
        <v>1550</v>
      </c>
    </row>
    <row r="627" spans="1:10" ht="14.4" hidden="1">
      <c r="A627" s="380" t="s">
        <v>1182</v>
      </c>
      <c r="B627" s="380" t="s">
        <v>1187</v>
      </c>
      <c r="C627" s="381" t="s">
        <v>3697</v>
      </c>
      <c r="D627" s="380" t="s">
        <v>3698</v>
      </c>
      <c r="E627" s="382" t="s">
        <v>3699</v>
      </c>
      <c r="F627" s="282" t="s">
        <v>3700</v>
      </c>
      <c r="G627" s="282" t="s">
        <v>3176</v>
      </c>
      <c r="J627" s="282" t="s">
        <v>1550</v>
      </c>
    </row>
    <row r="628" spans="1:10" ht="14.4" hidden="1">
      <c r="A628" s="380" t="s">
        <v>1182</v>
      </c>
      <c r="B628" s="380" t="s">
        <v>1187</v>
      </c>
      <c r="C628" s="381" t="s">
        <v>3701</v>
      </c>
      <c r="D628" s="380" t="s">
        <v>3702</v>
      </c>
      <c r="E628" s="382" t="s">
        <v>3703</v>
      </c>
      <c r="F628" s="282" t="s">
        <v>3704</v>
      </c>
      <c r="G628" s="282" t="s">
        <v>3176</v>
      </c>
      <c r="J628" s="282" t="s">
        <v>1550</v>
      </c>
    </row>
    <row r="629" spans="1:10" ht="14.4" hidden="1">
      <c r="A629" s="380" t="s">
        <v>1182</v>
      </c>
      <c r="B629" s="380" t="s">
        <v>1187</v>
      </c>
      <c r="C629" s="381" t="s">
        <v>3705</v>
      </c>
      <c r="D629" s="380" t="s">
        <v>3706</v>
      </c>
      <c r="E629" s="382" t="s">
        <v>3707</v>
      </c>
      <c r="F629" s="282" t="s">
        <v>3708</v>
      </c>
      <c r="G629" s="282" t="s">
        <v>3176</v>
      </c>
      <c r="J629" s="282" t="s">
        <v>1550</v>
      </c>
    </row>
    <row r="630" spans="1:10" ht="14.4" hidden="1">
      <c r="A630" s="380" t="s">
        <v>1182</v>
      </c>
      <c r="B630" s="380" t="s">
        <v>1187</v>
      </c>
      <c r="C630" s="381" t="s">
        <v>3709</v>
      </c>
      <c r="D630" s="380" t="s">
        <v>3710</v>
      </c>
      <c r="E630" s="382" t="s">
        <v>3711</v>
      </c>
      <c r="F630" s="282" t="s">
        <v>3712</v>
      </c>
      <c r="G630" s="282" t="s">
        <v>3176</v>
      </c>
      <c r="J630" s="282" t="s">
        <v>1550</v>
      </c>
    </row>
    <row r="631" spans="1:10" ht="14.4" hidden="1">
      <c r="A631" s="380" t="s">
        <v>1182</v>
      </c>
      <c r="B631" s="380" t="s">
        <v>1187</v>
      </c>
      <c r="C631" s="381" t="s">
        <v>3713</v>
      </c>
      <c r="D631" s="380" t="s">
        <v>3714</v>
      </c>
      <c r="E631" s="382" t="s">
        <v>3715</v>
      </c>
      <c r="F631" s="282" t="s">
        <v>3716</v>
      </c>
      <c r="G631" s="282" t="s">
        <v>3176</v>
      </c>
      <c r="J631" s="282" t="s">
        <v>1550</v>
      </c>
    </row>
    <row r="632" spans="1:10" ht="14.4" hidden="1">
      <c r="A632" s="380" t="s">
        <v>1182</v>
      </c>
      <c r="B632" s="380" t="s">
        <v>1187</v>
      </c>
      <c r="C632" s="381" t="s">
        <v>3717</v>
      </c>
      <c r="D632" s="380" t="s">
        <v>3718</v>
      </c>
      <c r="E632" s="382" t="s">
        <v>3719</v>
      </c>
      <c r="F632" s="282" t="s">
        <v>3720</v>
      </c>
      <c r="G632" s="282" t="s">
        <v>3176</v>
      </c>
      <c r="J632" s="282" t="s">
        <v>1550</v>
      </c>
    </row>
    <row r="633" spans="1:10" ht="14.4" hidden="1">
      <c r="A633" s="380" t="s">
        <v>1182</v>
      </c>
      <c r="B633" s="380" t="s">
        <v>1187</v>
      </c>
      <c r="C633" s="381" t="s">
        <v>3721</v>
      </c>
      <c r="D633" s="380" t="s">
        <v>3722</v>
      </c>
      <c r="E633" s="382" t="s">
        <v>3723</v>
      </c>
      <c r="F633" s="282" t="s">
        <v>3724</v>
      </c>
      <c r="G633" s="282" t="s">
        <v>3176</v>
      </c>
      <c r="J633" s="282" t="s">
        <v>1550</v>
      </c>
    </row>
    <row r="634" spans="1:10" ht="14.4" hidden="1">
      <c r="A634" s="380" t="s">
        <v>1182</v>
      </c>
      <c r="B634" s="380" t="s">
        <v>1187</v>
      </c>
      <c r="C634" s="381" t="s">
        <v>3725</v>
      </c>
      <c r="D634" s="380" t="s">
        <v>3726</v>
      </c>
      <c r="E634" s="382" t="s">
        <v>3727</v>
      </c>
      <c r="F634" s="282" t="s">
        <v>3728</v>
      </c>
      <c r="G634" s="282" t="s">
        <v>3176</v>
      </c>
      <c r="J634" s="282" t="s">
        <v>1550</v>
      </c>
    </row>
    <row r="635" spans="1:10" ht="14.4" hidden="1">
      <c r="A635" s="380" t="s">
        <v>1182</v>
      </c>
      <c r="B635" s="380" t="s">
        <v>1187</v>
      </c>
      <c r="C635" s="381" t="s">
        <v>3729</v>
      </c>
      <c r="D635" s="380" t="s">
        <v>3730</v>
      </c>
      <c r="E635" s="382" t="s">
        <v>3731</v>
      </c>
      <c r="F635" s="282" t="s">
        <v>3732</v>
      </c>
      <c r="G635" s="282" t="s">
        <v>3176</v>
      </c>
      <c r="J635" s="282" t="s">
        <v>1550</v>
      </c>
    </row>
    <row r="636" spans="1:10" ht="14.4" hidden="1">
      <c r="A636" s="380" t="s">
        <v>1182</v>
      </c>
      <c r="B636" s="380" t="s">
        <v>1187</v>
      </c>
      <c r="C636" s="381" t="s">
        <v>3733</v>
      </c>
      <c r="D636" s="380" t="s">
        <v>3734</v>
      </c>
      <c r="E636" s="382" t="s">
        <v>3735</v>
      </c>
      <c r="F636" s="282" t="s">
        <v>3736</v>
      </c>
      <c r="G636" s="282" t="s">
        <v>3176</v>
      </c>
      <c r="J636" s="282" t="s">
        <v>1550</v>
      </c>
    </row>
    <row r="637" spans="1:10" ht="14.4" hidden="1">
      <c r="A637" s="380" t="s">
        <v>1182</v>
      </c>
      <c r="B637" s="380" t="s">
        <v>1187</v>
      </c>
      <c r="C637" s="381" t="s">
        <v>3737</v>
      </c>
      <c r="D637" s="380" t="s">
        <v>3738</v>
      </c>
      <c r="E637" s="382" t="s">
        <v>3739</v>
      </c>
      <c r="F637" s="282" t="s">
        <v>3740</v>
      </c>
      <c r="G637" s="282" t="s">
        <v>3176</v>
      </c>
      <c r="J637" s="282" t="s">
        <v>1550</v>
      </c>
    </row>
    <row r="638" spans="1:10" ht="14.4" hidden="1">
      <c r="A638" s="380" t="s">
        <v>1182</v>
      </c>
      <c r="B638" s="380" t="s">
        <v>1187</v>
      </c>
      <c r="C638" s="381" t="s">
        <v>3741</v>
      </c>
      <c r="D638" s="380" t="s">
        <v>3742</v>
      </c>
      <c r="E638" s="382" t="s">
        <v>3743</v>
      </c>
      <c r="F638" s="282" t="s">
        <v>3744</v>
      </c>
      <c r="G638" s="282" t="s">
        <v>3176</v>
      </c>
      <c r="J638" s="282" t="s">
        <v>1550</v>
      </c>
    </row>
    <row r="639" spans="1:10" ht="14.4" hidden="1">
      <c r="A639" s="380" t="s">
        <v>1182</v>
      </c>
      <c r="B639" s="380" t="s">
        <v>1187</v>
      </c>
      <c r="C639" s="381" t="s">
        <v>3745</v>
      </c>
      <c r="D639" s="380" t="s">
        <v>3746</v>
      </c>
      <c r="E639" s="382" t="s">
        <v>3747</v>
      </c>
      <c r="F639" s="282" t="s">
        <v>3748</v>
      </c>
      <c r="G639" s="282" t="s">
        <v>3176</v>
      </c>
      <c r="J639" s="282" t="s">
        <v>1550</v>
      </c>
    </row>
    <row r="640" spans="1:10" ht="14.4" hidden="1">
      <c r="A640" s="380" t="s">
        <v>1182</v>
      </c>
      <c r="B640" s="380" t="s">
        <v>1187</v>
      </c>
      <c r="C640" s="381" t="s">
        <v>3749</v>
      </c>
      <c r="D640" s="380" t="s">
        <v>3750</v>
      </c>
      <c r="E640" s="382" t="s">
        <v>3751</v>
      </c>
      <c r="F640" s="282" t="s">
        <v>3752</v>
      </c>
      <c r="G640" s="282" t="s">
        <v>3176</v>
      </c>
      <c r="J640" s="282" t="s">
        <v>1550</v>
      </c>
    </row>
    <row r="641" spans="1:10" ht="14.4" hidden="1">
      <c r="A641" s="380" t="s">
        <v>1182</v>
      </c>
      <c r="B641" s="380" t="s">
        <v>1187</v>
      </c>
      <c r="C641" s="381" t="s">
        <v>3753</v>
      </c>
      <c r="D641" s="380" t="s">
        <v>3754</v>
      </c>
      <c r="E641" s="382" t="s">
        <v>3755</v>
      </c>
      <c r="F641" s="282" t="s">
        <v>3756</v>
      </c>
      <c r="G641" s="282" t="s">
        <v>3176</v>
      </c>
      <c r="J641" s="282" t="s">
        <v>1550</v>
      </c>
    </row>
    <row r="642" spans="1:10" ht="14.4" hidden="1">
      <c r="A642" s="380" t="s">
        <v>1182</v>
      </c>
      <c r="B642" s="380" t="s">
        <v>1187</v>
      </c>
      <c r="C642" s="381" t="s">
        <v>3757</v>
      </c>
      <c r="D642" s="380" t="s">
        <v>3758</v>
      </c>
      <c r="E642" s="382" t="s">
        <v>3759</v>
      </c>
      <c r="F642" s="282" t="s">
        <v>3760</v>
      </c>
      <c r="G642" s="282" t="s">
        <v>3176</v>
      </c>
      <c r="J642" s="282" t="s">
        <v>1550</v>
      </c>
    </row>
    <row r="643" spans="1:10" ht="14.4" hidden="1">
      <c r="A643" s="380" t="s">
        <v>1182</v>
      </c>
      <c r="B643" s="380" t="s">
        <v>1187</v>
      </c>
      <c r="C643" s="381" t="s">
        <v>3761</v>
      </c>
      <c r="D643" s="380" t="s">
        <v>3762</v>
      </c>
      <c r="E643" s="382" t="s">
        <v>3763</v>
      </c>
      <c r="F643" s="282" t="s">
        <v>3764</v>
      </c>
      <c r="G643" s="282" t="s">
        <v>3176</v>
      </c>
      <c r="J643" s="282" t="s">
        <v>1550</v>
      </c>
    </row>
    <row r="644" spans="1:10" ht="14.4" hidden="1">
      <c r="A644" s="380" t="s">
        <v>1182</v>
      </c>
      <c r="B644" s="380" t="s">
        <v>1187</v>
      </c>
      <c r="C644" s="381" t="s">
        <v>3765</v>
      </c>
      <c r="D644" s="380" t="s">
        <v>3766</v>
      </c>
      <c r="E644" s="382" t="s">
        <v>3767</v>
      </c>
      <c r="F644" s="282" t="s">
        <v>3768</v>
      </c>
      <c r="G644" s="282" t="s">
        <v>3176</v>
      </c>
      <c r="J644" s="282" t="s">
        <v>1550</v>
      </c>
    </row>
    <row r="645" spans="1:10" ht="14.4" hidden="1">
      <c r="A645" s="380" t="s">
        <v>1182</v>
      </c>
      <c r="B645" s="380" t="s">
        <v>1187</v>
      </c>
      <c r="C645" s="381" t="s">
        <v>3769</v>
      </c>
      <c r="D645" s="380" t="s">
        <v>3770</v>
      </c>
      <c r="E645" s="382" t="s">
        <v>3771</v>
      </c>
      <c r="F645" s="282" t="s">
        <v>3772</v>
      </c>
      <c r="G645" s="282" t="s">
        <v>3176</v>
      </c>
      <c r="J645" s="282" t="s">
        <v>1550</v>
      </c>
    </row>
    <row r="646" spans="1:10" ht="14.4" hidden="1">
      <c r="A646" s="380" t="s">
        <v>1182</v>
      </c>
      <c r="B646" s="380" t="s">
        <v>1187</v>
      </c>
      <c r="C646" s="381" t="s">
        <v>3773</v>
      </c>
      <c r="D646" s="380" t="s">
        <v>3774</v>
      </c>
      <c r="E646" s="382" t="s">
        <v>3775</v>
      </c>
      <c r="F646" s="282" t="s">
        <v>3776</v>
      </c>
      <c r="G646" s="282" t="s">
        <v>3176</v>
      </c>
      <c r="J646" s="282" t="s">
        <v>1550</v>
      </c>
    </row>
    <row r="647" spans="1:10" ht="14.4" hidden="1">
      <c r="A647" s="380" t="s">
        <v>1182</v>
      </c>
      <c r="B647" s="380" t="s">
        <v>1187</v>
      </c>
      <c r="C647" s="381" t="s">
        <v>3777</v>
      </c>
      <c r="D647" s="380" t="s">
        <v>3778</v>
      </c>
      <c r="E647" s="382" t="s">
        <v>3779</v>
      </c>
      <c r="F647" s="282" t="s">
        <v>3780</v>
      </c>
      <c r="G647" s="282" t="s">
        <v>3176</v>
      </c>
      <c r="J647" s="282" t="s">
        <v>1550</v>
      </c>
    </row>
    <row r="648" spans="1:10" ht="14.4" hidden="1">
      <c r="A648" s="380" t="s">
        <v>1182</v>
      </c>
      <c r="B648" s="380" t="s">
        <v>1187</v>
      </c>
      <c r="C648" s="381" t="s">
        <v>3781</v>
      </c>
      <c r="D648" s="380" t="s">
        <v>3782</v>
      </c>
      <c r="E648" s="382" t="s">
        <v>3783</v>
      </c>
      <c r="F648" s="282" t="s">
        <v>3784</v>
      </c>
      <c r="G648" s="282" t="s">
        <v>3176</v>
      </c>
      <c r="J648" s="282" t="s">
        <v>1550</v>
      </c>
    </row>
    <row r="649" spans="1:10" ht="14.4" hidden="1">
      <c r="A649" s="380" t="s">
        <v>1182</v>
      </c>
      <c r="B649" s="380" t="s">
        <v>1187</v>
      </c>
      <c r="C649" s="381" t="s">
        <v>3785</v>
      </c>
      <c r="D649" s="380" t="s">
        <v>3786</v>
      </c>
      <c r="E649" s="382" t="s">
        <v>3787</v>
      </c>
      <c r="F649" s="282" t="s">
        <v>3788</v>
      </c>
      <c r="G649" s="282" t="s">
        <v>3176</v>
      </c>
      <c r="J649" s="282" t="s">
        <v>1550</v>
      </c>
    </row>
    <row r="650" spans="1:10" ht="14.4" hidden="1">
      <c r="A650" s="380" t="s">
        <v>1182</v>
      </c>
      <c r="B650" s="380" t="s">
        <v>1187</v>
      </c>
      <c r="C650" s="381" t="s">
        <v>3789</v>
      </c>
      <c r="D650" s="380" t="s">
        <v>3790</v>
      </c>
      <c r="E650" s="382" t="s">
        <v>3791</v>
      </c>
      <c r="F650" s="282" t="s">
        <v>3792</v>
      </c>
      <c r="G650" s="282" t="s">
        <v>3176</v>
      </c>
      <c r="J650" s="282" t="s">
        <v>1550</v>
      </c>
    </row>
    <row r="651" spans="1:10" ht="14.4" hidden="1">
      <c r="A651" s="380" t="s">
        <v>1182</v>
      </c>
      <c r="B651" s="380" t="s">
        <v>1187</v>
      </c>
      <c r="C651" s="381" t="s">
        <v>3793</v>
      </c>
      <c r="D651" s="380" t="s">
        <v>3794</v>
      </c>
      <c r="E651" s="382" t="s">
        <v>3795</v>
      </c>
      <c r="F651" s="282" t="s">
        <v>3796</v>
      </c>
      <c r="G651" s="282" t="s">
        <v>3176</v>
      </c>
      <c r="J651" s="282" t="s">
        <v>1550</v>
      </c>
    </row>
    <row r="652" spans="1:10" ht="14.4" hidden="1">
      <c r="A652" s="380" t="s">
        <v>1182</v>
      </c>
      <c r="B652" s="380" t="s">
        <v>1187</v>
      </c>
      <c r="C652" s="381" t="s">
        <v>3797</v>
      </c>
      <c r="D652" s="380" t="s">
        <v>3798</v>
      </c>
      <c r="E652" s="382" t="s">
        <v>3799</v>
      </c>
      <c r="F652" s="282" t="s">
        <v>3800</v>
      </c>
      <c r="G652" s="282" t="s">
        <v>3176</v>
      </c>
      <c r="J652" s="282" t="s">
        <v>1550</v>
      </c>
    </row>
    <row r="653" spans="1:10" ht="14.4" hidden="1">
      <c r="A653" s="380" t="s">
        <v>1182</v>
      </c>
      <c r="B653" s="380" t="s">
        <v>1187</v>
      </c>
      <c r="C653" s="381" t="s">
        <v>3801</v>
      </c>
      <c r="D653" s="380" t="s">
        <v>3802</v>
      </c>
      <c r="E653" s="382" t="s">
        <v>3803</v>
      </c>
      <c r="F653" s="282" t="s">
        <v>3804</v>
      </c>
      <c r="G653" s="282" t="s">
        <v>3176</v>
      </c>
      <c r="J653" s="282" t="s">
        <v>1550</v>
      </c>
    </row>
    <row r="654" spans="1:10" ht="14.4" hidden="1">
      <c r="A654" s="380" t="s">
        <v>1182</v>
      </c>
      <c r="B654" s="380" t="s">
        <v>1187</v>
      </c>
      <c r="C654" s="381" t="s">
        <v>3805</v>
      </c>
      <c r="D654" s="380" t="s">
        <v>3806</v>
      </c>
      <c r="E654" s="382" t="s">
        <v>3807</v>
      </c>
      <c r="F654" s="282" t="s">
        <v>3808</v>
      </c>
      <c r="G654" s="282" t="s">
        <v>3176</v>
      </c>
      <c r="J654" s="282" t="s">
        <v>1550</v>
      </c>
    </row>
    <row r="655" spans="1:10" ht="14.4" hidden="1">
      <c r="A655" s="380" t="s">
        <v>1182</v>
      </c>
      <c r="B655" s="380" t="s">
        <v>1187</v>
      </c>
      <c r="C655" s="381" t="s">
        <v>3809</v>
      </c>
      <c r="D655" s="380" t="s">
        <v>3810</v>
      </c>
      <c r="E655" s="382" t="s">
        <v>3811</v>
      </c>
      <c r="F655" s="282" t="s">
        <v>3812</v>
      </c>
      <c r="G655" s="282" t="s">
        <v>3176</v>
      </c>
      <c r="J655" s="282" t="s">
        <v>1550</v>
      </c>
    </row>
    <row r="656" spans="1:10" ht="14.4" hidden="1">
      <c r="A656" s="380" t="s">
        <v>1182</v>
      </c>
      <c r="B656" s="380" t="s">
        <v>1187</v>
      </c>
      <c r="C656" s="381" t="s">
        <v>3813</v>
      </c>
      <c r="D656" s="380" t="s">
        <v>3814</v>
      </c>
      <c r="E656" s="382" t="s">
        <v>3815</v>
      </c>
      <c r="F656" s="282" t="s">
        <v>3816</v>
      </c>
      <c r="G656" s="282" t="s">
        <v>3176</v>
      </c>
      <c r="J656" s="282" t="s">
        <v>1550</v>
      </c>
    </row>
    <row r="657" spans="1:10" ht="14.4" hidden="1">
      <c r="A657" s="380" t="s">
        <v>1182</v>
      </c>
      <c r="B657" s="380" t="s">
        <v>1187</v>
      </c>
      <c r="C657" s="381" t="s">
        <v>3817</v>
      </c>
      <c r="D657" s="380" t="s">
        <v>3818</v>
      </c>
      <c r="E657" s="382" t="s">
        <v>3819</v>
      </c>
      <c r="F657" s="282" t="s">
        <v>3820</v>
      </c>
      <c r="G657" s="282" t="s">
        <v>3176</v>
      </c>
      <c r="J657" s="282" t="s">
        <v>1550</v>
      </c>
    </row>
    <row r="658" spans="1:10" ht="14.4" hidden="1">
      <c r="A658" s="380" t="s">
        <v>1182</v>
      </c>
      <c r="B658" s="380" t="s">
        <v>1187</v>
      </c>
      <c r="C658" s="381" t="s">
        <v>3821</v>
      </c>
      <c r="D658" s="380" t="s">
        <v>3822</v>
      </c>
      <c r="E658" s="382" t="s">
        <v>3823</v>
      </c>
      <c r="F658" s="282" t="s">
        <v>3824</v>
      </c>
      <c r="G658" s="282" t="s">
        <v>3176</v>
      </c>
      <c r="J658" s="282" t="s">
        <v>1550</v>
      </c>
    </row>
    <row r="659" spans="1:10" ht="14.4" hidden="1">
      <c r="A659" s="380" t="s">
        <v>1182</v>
      </c>
      <c r="B659" s="380" t="s">
        <v>1187</v>
      </c>
      <c r="C659" s="381" t="s">
        <v>3825</v>
      </c>
      <c r="D659" s="380" t="s">
        <v>3826</v>
      </c>
      <c r="E659" s="382" t="s">
        <v>3827</v>
      </c>
      <c r="F659" s="282" t="s">
        <v>3828</v>
      </c>
      <c r="G659" s="282" t="s">
        <v>3176</v>
      </c>
      <c r="J659" s="282" t="s">
        <v>1550</v>
      </c>
    </row>
    <row r="660" spans="1:10" ht="14.4" hidden="1">
      <c r="A660" s="380" t="s">
        <v>1182</v>
      </c>
      <c r="B660" s="380" t="s">
        <v>1187</v>
      </c>
      <c r="C660" s="381" t="s">
        <v>3829</v>
      </c>
      <c r="D660" s="380" t="s">
        <v>3830</v>
      </c>
      <c r="E660" s="382" t="s">
        <v>3831</v>
      </c>
      <c r="F660" s="282" t="s">
        <v>3832</v>
      </c>
      <c r="G660" s="282" t="s">
        <v>3176</v>
      </c>
      <c r="J660" s="282" t="s">
        <v>1550</v>
      </c>
    </row>
    <row r="661" spans="1:10" ht="14.4" hidden="1">
      <c r="A661" s="380" t="s">
        <v>1182</v>
      </c>
      <c r="B661" s="380" t="s">
        <v>1187</v>
      </c>
      <c r="C661" s="381" t="s">
        <v>3833</v>
      </c>
      <c r="D661" s="380" t="s">
        <v>3834</v>
      </c>
      <c r="E661" s="382" t="s">
        <v>3835</v>
      </c>
      <c r="F661" s="282" t="s">
        <v>3836</v>
      </c>
      <c r="G661" s="282" t="s">
        <v>3176</v>
      </c>
      <c r="J661" s="282" t="s">
        <v>1550</v>
      </c>
    </row>
    <row r="662" spans="1:10" ht="14.4" hidden="1">
      <c r="A662" s="380" t="s">
        <v>1182</v>
      </c>
      <c r="B662" s="380" t="s">
        <v>1187</v>
      </c>
      <c r="C662" s="381" t="s">
        <v>3837</v>
      </c>
      <c r="D662" s="380" t="s">
        <v>3838</v>
      </c>
      <c r="E662" s="382" t="s">
        <v>3839</v>
      </c>
      <c r="F662" s="282" t="s">
        <v>3840</v>
      </c>
      <c r="G662" s="282" t="s">
        <v>3176</v>
      </c>
      <c r="J662" s="282" t="s">
        <v>1550</v>
      </c>
    </row>
    <row r="663" spans="1:10" ht="14.4" hidden="1">
      <c r="A663" s="380" t="s">
        <v>1182</v>
      </c>
      <c r="B663" s="380" t="s">
        <v>1187</v>
      </c>
      <c r="C663" s="381" t="s">
        <v>3841</v>
      </c>
      <c r="D663" s="380" t="s">
        <v>3842</v>
      </c>
      <c r="E663" s="382" t="s">
        <v>3843</v>
      </c>
      <c r="F663" s="282" t="s">
        <v>3844</v>
      </c>
      <c r="G663" s="282" t="s">
        <v>3176</v>
      </c>
      <c r="J663" s="282" t="s">
        <v>1550</v>
      </c>
    </row>
    <row r="664" spans="1:10" ht="14.4" hidden="1">
      <c r="A664" s="380" t="s">
        <v>1182</v>
      </c>
      <c r="B664" s="380" t="s">
        <v>1187</v>
      </c>
      <c r="C664" s="381" t="s">
        <v>3845</v>
      </c>
      <c r="D664" s="380" t="s">
        <v>3846</v>
      </c>
      <c r="E664" s="382" t="s">
        <v>3847</v>
      </c>
      <c r="F664" s="282" t="s">
        <v>3848</v>
      </c>
      <c r="G664" s="282" t="s">
        <v>3176</v>
      </c>
      <c r="J664" s="282" t="s">
        <v>1550</v>
      </c>
    </row>
    <row r="665" spans="1:10" ht="14.4" hidden="1">
      <c r="A665" s="380" t="s">
        <v>1182</v>
      </c>
      <c r="B665" s="380" t="s">
        <v>1187</v>
      </c>
      <c r="C665" s="381" t="s">
        <v>3849</v>
      </c>
      <c r="D665" s="380" t="s">
        <v>3850</v>
      </c>
      <c r="E665" s="382" t="s">
        <v>3851</v>
      </c>
      <c r="F665" s="282" t="s">
        <v>3852</v>
      </c>
      <c r="G665" s="282" t="s">
        <v>3176</v>
      </c>
      <c r="J665" s="282" t="s">
        <v>1550</v>
      </c>
    </row>
    <row r="666" spans="1:10" ht="14.4" hidden="1">
      <c r="A666" s="380" t="s">
        <v>1182</v>
      </c>
      <c r="B666" s="380" t="s">
        <v>1187</v>
      </c>
      <c r="C666" s="381" t="s">
        <v>3853</v>
      </c>
      <c r="D666" s="380" t="s">
        <v>3854</v>
      </c>
      <c r="E666" s="382" t="s">
        <v>3855</v>
      </c>
      <c r="F666" s="282" t="s">
        <v>3856</v>
      </c>
      <c r="G666" s="282" t="s">
        <v>3176</v>
      </c>
      <c r="J666" s="282" t="s">
        <v>1550</v>
      </c>
    </row>
    <row r="667" spans="1:10" ht="14.4" hidden="1">
      <c r="A667" s="380" t="s">
        <v>1182</v>
      </c>
      <c r="B667" s="380" t="s">
        <v>1187</v>
      </c>
      <c r="C667" s="381" t="s">
        <v>3857</v>
      </c>
      <c r="D667" s="380" t="s">
        <v>3858</v>
      </c>
      <c r="E667" s="382" t="s">
        <v>3859</v>
      </c>
      <c r="F667" s="282" t="s">
        <v>3860</v>
      </c>
      <c r="G667" s="282" t="s">
        <v>3176</v>
      </c>
      <c r="J667" s="282" t="s">
        <v>1550</v>
      </c>
    </row>
    <row r="668" spans="1:10" ht="14.4" hidden="1">
      <c r="A668" s="380" t="s">
        <v>1182</v>
      </c>
      <c r="B668" s="380" t="s">
        <v>1187</v>
      </c>
      <c r="C668" s="381" t="s">
        <v>3861</v>
      </c>
      <c r="D668" s="380" t="s">
        <v>3862</v>
      </c>
      <c r="E668" s="382" t="s">
        <v>3863</v>
      </c>
      <c r="F668" s="282" t="s">
        <v>3864</v>
      </c>
      <c r="G668" s="282" t="s">
        <v>3176</v>
      </c>
      <c r="J668" s="282" t="s">
        <v>1550</v>
      </c>
    </row>
    <row r="669" spans="1:10" ht="14.4" hidden="1">
      <c r="A669" s="380" t="s">
        <v>1182</v>
      </c>
      <c r="B669" s="380" t="s">
        <v>1187</v>
      </c>
      <c r="C669" s="381" t="s">
        <v>3865</v>
      </c>
      <c r="D669" s="380" t="s">
        <v>3866</v>
      </c>
      <c r="E669" s="382" t="s">
        <v>3867</v>
      </c>
      <c r="F669" s="282" t="s">
        <v>3868</v>
      </c>
      <c r="G669" s="282" t="s">
        <v>3176</v>
      </c>
      <c r="J669" s="282" t="s">
        <v>1550</v>
      </c>
    </row>
    <row r="670" spans="1:10" ht="14.4" hidden="1">
      <c r="A670" s="380" t="s">
        <v>1182</v>
      </c>
      <c r="B670" s="380" t="s">
        <v>1187</v>
      </c>
      <c r="C670" s="381" t="s">
        <v>3869</v>
      </c>
      <c r="D670" s="380" t="s">
        <v>3870</v>
      </c>
      <c r="E670" s="382" t="s">
        <v>3871</v>
      </c>
      <c r="F670" s="282" t="s">
        <v>3872</v>
      </c>
      <c r="G670" s="282" t="s">
        <v>3176</v>
      </c>
      <c r="J670" s="282" t="s">
        <v>1550</v>
      </c>
    </row>
    <row r="671" spans="1:10" ht="14.4" hidden="1">
      <c r="A671" s="380" t="s">
        <v>1182</v>
      </c>
      <c r="B671" s="380" t="s">
        <v>1187</v>
      </c>
      <c r="C671" s="381" t="s">
        <v>3873</v>
      </c>
      <c r="D671" s="380" t="s">
        <v>3874</v>
      </c>
      <c r="E671" s="382" t="s">
        <v>3875</v>
      </c>
      <c r="F671" s="282" t="s">
        <v>3876</v>
      </c>
      <c r="G671" s="282" t="s">
        <v>3176</v>
      </c>
      <c r="J671" s="282" t="s">
        <v>1550</v>
      </c>
    </row>
    <row r="672" spans="1:10" ht="14.4" hidden="1">
      <c r="A672" s="380" t="s">
        <v>1182</v>
      </c>
      <c r="B672" s="380" t="s">
        <v>1187</v>
      </c>
      <c r="C672" s="381" t="s">
        <v>3877</v>
      </c>
      <c r="D672" s="380" t="s">
        <v>3878</v>
      </c>
      <c r="E672" s="382" t="s">
        <v>3879</v>
      </c>
      <c r="F672" s="282" t="s">
        <v>3880</v>
      </c>
      <c r="G672" s="282" t="s">
        <v>3176</v>
      </c>
      <c r="J672" s="282" t="s">
        <v>1550</v>
      </c>
    </row>
    <row r="673" spans="1:10" ht="14.4" hidden="1">
      <c r="A673" s="380" t="s">
        <v>1182</v>
      </c>
      <c r="B673" s="380" t="s">
        <v>1187</v>
      </c>
      <c r="C673" s="381" t="s">
        <v>3881</v>
      </c>
      <c r="D673" s="380" t="s">
        <v>3882</v>
      </c>
      <c r="E673" s="382" t="s">
        <v>3883</v>
      </c>
      <c r="F673" s="282" t="s">
        <v>3884</v>
      </c>
      <c r="G673" s="282" t="s">
        <v>3176</v>
      </c>
      <c r="J673" s="282" t="s">
        <v>1550</v>
      </c>
    </row>
    <row r="674" spans="1:10" ht="14.4" hidden="1">
      <c r="A674" s="380" t="s">
        <v>1182</v>
      </c>
      <c r="B674" s="380" t="s">
        <v>1187</v>
      </c>
      <c r="C674" s="381" t="s">
        <v>3885</v>
      </c>
      <c r="D674" s="380" t="s">
        <v>3886</v>
      </c>
      <c r="E674" s="382" t="s">
        <v>3887</v>
      </c>
      <c r="F674" s="282" t="s">
        <v>3888</v>
      </c>
      <c r="G674" s="282" t="s">
        <v>3176</v>
      </c>
      <c r="J674" s="282" t="s">
        <v>1550</v>
      </c>
    </row>
    <row r="675" spans="1:10" ht="14.4" hidden="1">
      <c r="A675" s="380" t="s">
        <v>1182</v>
      </c>
      <c r="B675" s="380" t="s">
        <v>1187</v>
      </c>
      <c r="C675" s="381" t="s">
        <v>3889</v>
      </c>
      <c r="D675" s="380" t="s">
        <v>3890</v>
      </c>
      <c r="E675" s="382" t="s">
        <v>3891</v>
      </c>
      <c r="F675" s="282" t="s">
        <v>3892</v>
      </c>
      <c r="G675" s="282" t="s">
        <v>3176</v>
      </c>
      <c r="J675" s="282" t="s">
        <v>1550</v>
      </c>
    </row>
    <row r="676" spans="1:10" ht="14.4" hidden="1">
      <c r="A676" s="380" t="s">
        <v>1182</v>
      </c>
      <c r="B676" s="380" t="s">
        <v>1187</v>
      </c>
      <c r="C676" s="381" t="s">
        <v>3893</v>
      </c>
      <c r="D676" s="380" t="s">
        <v>3894</v>
      </c>
      <c r="E676" s="382" t="s">
        <v>3895</v>
      </c>
      <c r="F676" s="282" t="s">
        <v>3896</v>
      </c>
      <c r="G676" s="282" t="s">
        <v>3176</v>
      </c>
      <c r="J676" s="282" t="s">
        <v>1550</v>
      </c>
    </row>
    <row r="677" spans="1:10" ht="14.4" hidden="1">
      <c r="A677" s="380" t="s">
        <v>1182</v>
      </c>
      <c r="B677" s="380" t="s">
        <v>1187</v>
      </c>
      <c r="C677" s="381" t="s">
        <v>3897</v>
      </c>
      <c r="D677" s="380" t="s">
        <v>3898</v>
      </c>
      <c r="E677" s="382" t="s">
        <v>3899</v>
      </c>
      <c r="F677" s="282" t="s">
        <v>3900</v>
      </c>
      <c r="G677" s="282" t="s">
        <v>3176</v>
      </c>
      <c r="J677" s="282" t="s">
        <v>1550</v>
      </c>
    </row>
    <row r="678" spans="1:10" ht="14.4" hidden="1">
      <c r="A678" s="380" t="s">
        <v>1182</v>
      </c>
      <c r="B678" s="380" t="s">
        <v>1187</v>
      </c>
      <c r="C678" s="381" t="s">
        <v>3901</v>
      </c>
      <c r="D678" s="380" t="s">
        <v>3902</v>
      </c>
      <c r="E678" s="382" t="s">
        <v>3903</v>
      </c>
      <c r="F678" s="282" t="s">
        <v>3904</v>
      </c>
      <c r="G678" s="282" t="s">
        <v>3176</v>
      </c>
      <c r="J678" s="282" t="s">
        <v>1550</v>
      </c>
    </row>
    <row r="679" spans="1:10" ht="14.4" hidden="1">
      <c r="A679" s="380" t="s">
        <v>1182</v>
      </c>
      <c r="B679" s="380" t="s">
        <v>1187</v>
      </c>
      <c r="C679" s="381" t="s">
        <v>3905</v>
      </c>
      <c r="D679" s="380" t="s">
        <v>3906</v>
      </c>
      <c r="E679" s="382" t="s">
        <v>3907</v>
      </c>
      <c r="F679" s="282" t="s">
        <v>3908</v>
      </c>
      <c r="G679" s="282" t="s">
        <v>3176</v>
      </c>
      <c r="J679" s="282" t="s">
        <v>1550</v>
      </c>
    </row>
    <row r="680" spans="1:10" ht="14.4" hidden="1">
      <c r="A680" s="380" t="s">
        <v>1182</v>
      </c>
      <c r="B680" s="380" t="s">
        <v>1187</v>
      </c>
      <c r="C680" s="381" t="s">
        <v>3909</v>
      </c>
      <c r="D680" s="380" t="s">
        <v>3910</v>
      </c>
      <c r="E680" s="382" t="s">
        <v>3911</v>
      </c>
      <c r="F680" s="282" t="s">
        <v>3912</v>
      </c>
      <c r="G680" s="282" t="s">
        <v>3176</v>
      </c>
      <c r="J680" s="282" t="s">
        <v>1550</v>
      </c>
    </row>
    <row r="681" spans="1:10" ht="14.4" hidden="1">
      <c r="A681" s="380" t="s">
        <v>1182</v>
      </c>
      <c r="B681" s="380" t="s">
        <v>1187</v>
      </c>
      <c r="C681" s="381" t="s">
        <v>3913</v>
      </c>
      <c r="D681" s="380" t="s">
        <v>3914</v>
      </c>
      <c r="E681" s="382" t="s">
        <v>3915</v>
      </c>
      <c r="F681" s="282" t="s">
        <v>3916</v>
      </c>
      <c r="G681" s="282" t="s">
        <v>3176</v>
      </c>
      <c r="J681" s="282" t="s">
        <v>1550</v>
      </c>
    </row>
    <row r="682" spans="1:10" ht="14.4" hidden="1">
      <c r="A682" s="380" t="s">
        <v>1182</v>
      </c>
      <c r="B682" s="380" t="s">
        <v>1187</v>
      </c>
      <c r="C682" s="381" t="s">
        <v>3917</v>
      </c>
      <c r="D682" s="380" t="s">
        <v>3918</v>
      </c>
      <c r="E682" s="382" t="s">
        <v>3919</v>
      </c>
      <c r="F682" s="282" t="s">
        <v>3920</v>
      </c>
      <c r="G682" s="282" t="s">
        <v>3176</v>
      </c>
      <c r="J682" s="282" t="s">
        <v>1550</v>
      </c>
    </row>
    <row r="683" spans="1:10" ht="14.4" hidden="1">
      <c r="A683" s="380" t="s">
        <v>1182</v>
      </c>
      <c r="B683" s="380" t="s">
        <v>1187</v>
      </c>
      <c r="C683" s="381" t="s">
        <v>3921</v>
      </c>
      <c r="D683" s="380" t="s">
        <v>3922</v>
      </c>
      <c r="E683" s="382" t="s">
        <v>3923</v>
      </c>
      <c r="F683" s="282" t="s">
        <v>3924</v>
      </c>
      <c r="G683" s="282" t="s">
        <v>3176</v>
      </c>
      <c r="J683" s="282" t="s">
        <v>1550</v>
      </c>
    </row>
    <row r="684" spans="1:10" ht="14.4" hidden="1">
      <c r="A684" s="380" t="s">
        <v>1182</v>
      </c>
      <c r="B684" s="380" t="s">
        <v>1187</v>
      </c>
      <c r="C684" s="381" t="s">
        <v>3925</v>
      </c>
      <c r="D684" s="380" t="s">
        <v>3926</v>
      </c>
      <c r="E684" s="382" t="s">
        <v>3927</v>
      </c>
      <c r="F684" s="282" t="s">
        <v>3928</v>
      </c>
      <c r="G684" s="282" t="s">
        <v>3176</v>
      </c>
      <c r="J684" s="282" t="s">
        <v>1550</v>
      </c>
    </row>
    <row r="685" spans="1:10" ht="14.4" hidden="1">
      <c r="A685" s="380" t="s">
        <v>1182</v>
      </c>
      <c r="B685" s="380" t="s">
        <v>1187</v>
      </c>
      <c r="C685" s="381" t="s">
        <v>3929</v>
      </c>
      <c r="D685" s="380" t="s">
        <v>3930</v>
      </c>
      <c r="E685" s="382" t="s">
        <v>3931</v>
      </c>
      <c r="F685" s="282" t="s">
        <v>3932</v>
      </c>
      <c r="G685" s="282" t="s">
        <v>3176</v>
      </c>
      <c r="J685" s="282" t="s">
        <v>1550</v>
      </c>
    </row>
    <row r="686" spans="1:10" ht="14.4" hidden="1">
      <c r="A686" s="380" t="s">
        <v>1182</v>
      </c>
      <c r="B686" s="380" t="s">
        <v>1187</v>
      </c>
      <c r="C686" s="381" t="s">
        <v>3933</v>
      </c>
      <c r="D686" s="380" t="s">
        <v>3934</v>
      </c>
      <c r="E686" s="382" t="s">
        <v>3935</v>
      </c>
      <c r="F686" s="282" t="s">
        <v>3936</v>
      </c>
      <c r="G686" s="282" t="s">
        <v>3176</v>
      </c>
      <c r="J686" s="282" t="s">
        <v>1550</v>
      </c>
    </row>
    <row r="687" spans="1:10" ht="14.4" hidden="1">
      <c r="A687" s="380" t="s">
        <v>1182</v>
      </c>
      <c r="B687" s="380" t="s">
        <v>1187</v>
      </c>
      <c r="C687" s="381" t="s">
        <v>3937</v>
      </c>
      <c r="D687" s="380" t="s">
        <v>3938</v>
      </c>
      <c r="E687" s="382" t="s">
        <v>3939</v>
      </c>
      <c r="F687" s="282" t="s">
        <v>3940</v>
      </c>
      <c r="G687" s="282" t="s">
        <v>3176</v>
      </c>
      <c r="J687" s="282" t="s">
        <v>1550</v>
      </c>
    </row>
    <row r="688" spans="1:10" ht="14.4" hidden="1">
      <c r="A688" s="380" t="s">
        <v>1182</v>
      </c>
      <c r="B688" s="380" t="s">
        <v>1187</v>
      </c>
      <c r="C688" s="381" t="s">
        <v>3941</v>
      </c>
      <c r="D688" s="380" t="s">
        <v>3942</v>
      </c>
      <c r="E688" s="382" t="s">
        <v>3943</v>
      </c>
      <c r="F688" s="282" t="s">
        <v>3944</v>
      </c>
      <c r="G688" s="282" t="s">
        <v>3176</v>
      </c>
      <c r="J688" s="282" t="s">
        <v>1550</v>
      </c>
    </row>
    <row r="689" spans="1:10" ht="14.4" hidden="1">
      <c r="A689" s="380" t="s">
        <v>1182</v>
      </c>
      <c r="B689" s="380" t="s">
        <v>1187</v>
      </c>
      <c r="C689" s="381" t="s">
        <v>3945</v>
      </c>
      <c r="D689" s="380" t="s">
        <v>3946</v>
      </c>
      <c r="E689" s="382" t="s">
        <v>3947</v>
      </c>
      <c r="F689" s="282" t="s">
        <v>3948</v>
      </c>
      <c r="G689" s="282" t="s">
        <v>3176</v>
      </c>
      <c r="J689" s="282" t="s">
        <v>1550</v>
      </c>
    </row>
    <row r="690" spans="1:10" ht="14.4" hidden="1">
      <c r="A690" s="380" t="s">
        <v>1182</v>
      </c>
      <c r="B690" s="380" t="s">
        <v>1187</v>
      </c>
      <c r="C690" s="381" t="s">
        <v>3949</v>
      </c>
      <c r="D690" s="380" t="s">
        <v>3950</v>
      </c>
      <c r="E690" s="382" t="s">
        <v>3951</v>
      </c>
      <c r="F690" s="282" t="s">
        <v>3952</v>
      </c>
      <c r="G690" s="282" t="s">
        <v>3176</v>
      </c>
      <c r="J690" s="282" t="s">
        <v>1550</v>
      </c>
    </row>
    <row r="691" spans="1:10" ht="14.4" hidden="1">
      <c r="A691" s="380" t="s">
        <v>1182</v>
      </c>
      <c r="B691" s="380" t="s">
        <v>1187</v>
      </c>
      <c r="C691" s="381" t="s">
        <v>3953</v>
      </c>
      <c r="D691" s="380" t="s">
        <v>3954</v>
      </c>
      <c r="E691" s="382" t="s">
        <v>3955</v>
      </c>
      <c r="F691" s="282" t="s">
        <v>3956</v>
      </c>
      <c r="G691" s="282" t="s">
        <v>3176</v>
      </c>
      <c r="J691" s="282" t="s">
        <v>1550</v>
      </c>
    </row>
    <row r="692" spans="1:10" ht="14.4" hidden="1">
      <c r="A692" s="380" t="s">
        <v>1182</v>
      </c>
      <c r="B692" s="380" t="s">
        <v>1187</v>
      </c>
      <c r="C692" s="381" t="s">
        <v>3957</v>
      </c>
      <c r="D692" s="380" t="s">
        <v>3958</v>
      </c>
      <c r="E692" s="382" t="s">
        <v>3959</v>
      </c>
      <c r="F692" s="282" t="s">
        <v>3960</v>
      </c>
      <c r="G692" s="282" t="s">
        <v>3176</v>
      </c>
      <c r="J692" s="282" t="s">
        <v>1550</v>
      </c>
    </row>
    <row r="693" spans="1:10" ht="14.4" hidden="1">
      <c r="A693" s="380" t="s">
        <v>1182</v>
      </c>
      <c r="B693" s="380" t="s">
        <v>1187</v>
      </c>
      <c r="C693" s="381" t="s">
        <v>3961</v>
      </c>
      <c r="D693" s="380" t="s">
        <v>3962</v>
      </c>
      <c r="E693" s="382" t="s">
        <v>3963</v>
      </c>
      <c r="F693" s="282" t="s">
        <v>3964</v>
      </c>
      <c r="G693" s="282" t="s">
        <v>3176</v>
      </c>
      <c r="J693" s="282" t="s">
        <v>1550</v>
      </c>
    </row>
    <row r="694" spans="1:10" ht="14.4" hidden="1">
      <c r="A694" s="380" t="s">
        <v>1182</v>
      </c>
      <c r="B694" s="380" t="s">
        <v>1187</v>
      </c>
      <c r="C694" s="381" t="s">
        <v>3965</v>
      </c>
      <c r="D694" s="380" t="s">
        <v>3966</v>
      </c>
      <c r="E694" s="382" t="s">
        <v>3967</v>
      </c>
      <c r="F694" s="282" t="s">
        <v>3968</v>
      </c>
      <c r="G694" s="282" t="s">
        <v>3176</v>
      </c>
      <c r="J694" s="282" t="s">
        <v>1550</v>
      </c>
    </row>
    <row r="695" spans="1:10" ht="14.4" hidden="1">
      <c r="A695" s="380" t="s">
        <v>1182</v>
      </c>
      <c r="B695" s="380" t="s">
        <v>1187</v>
      </c>
      <c r="C695" s="381" t="s">
        <v>3969</v>
      </c>
      <c r="D695" s="380" t="s">
        <v>3970</v>
      </c>
      <c r="E695" s="382" t="s">
        <v>3971</v>
      </c>
      <c r="F695" s="282" t="s">
        <v>3972</v>
      </c>
      <c r="G695" s="282" t="s">
        <v>3176</v>
      </c>
      <c r="J695" s="282" t="s">
        <v>1550</v>
      </c>
    </row>
    <row r="696" spans="1:10" ht="14.4" hidden="1">
      <c r="A696" s="380" t="s">
        <v>1182</v>
      </c>
      <c r="B696" s="380" t="s">
        <v>1187</v>
      </c>
      <c r="C696" s="381" t="s">
        <v>3973</v>
      </c>
      <c r="D696" s="380" t="s">
        <v>3974</v>
      </c>
      <c r="E696" s="382" t="s">
        <v>3975</v>
      </c>
      <c r="F696" s="282" t="s">
        <v>3976</v>
      </c>
      <c r="G696" s="282" t="s">
        <v>3176</v>
      </c>
      <c r="J696" s="282" t="s">
        <v>1550</v>
      </c>
    </row>
    <row r="697" spans="1:10" ht="14.4" hidden="1">
      <c r="A697" s="380" t="s">
        <v>1182</v>
      </c>
      <c r="B697" s="380" t="s">
        <v>1187</v>
      </c>
      <c r="C697" s="381" t="s">
        <v>3977</v>
      </c>
      <c r="D697" s="380" t="s">
        <v>3978</v>
      </c>
      <c r="E697" s="382" t="s">
        <v>3979</v>
      </c>
      <c r="F697" s="282" t="s">
        <v>3980</v>
      </c>
      <c r="G697" s="282" t="s">
        <v>3176</v>
      </c>
      <c r="J697" s="282" t="s">
        <v>1550</v>
      </c>
    </row>
    <row r="698" spans="1:10" ht="14.4" hidden="1">
      <c r="A698" s="380" t="s">
        <v>1182</v>
      </c>
      <c r="B698" s="380" t="s">
        <v>1187</v>
      </c>
      <c r="C698" s="381" t="s">
        <v>3981</v>
      </c>
      <c r="D698" s="380" t="s">
        <v>3982</v>
      </c>
      <c r="E698" s="382" t="s">
        <v>3983</v>
      </c>
      <c r="F698" s="282" t="s">
        <v>3984</v>
      </c>
      <c r="G698" s="282" t="s">
        <v>3176</v>
      </c>
      <c r="J698" s="282" t="s">
        <v>1550</v>
      </c>
    </row>
    <row r="699" spans="1:10" ht="14.4" hidden="1">
      <c r="A699" s="380" t="s">
        <v>1182</v>
      </c>
      <c r="B699" s="380" t="s">
        <v>1187</v>
      </c>
      <c r="C699" s="381" t="s">
        <v>3985</v>
      </c>
      <c r="D699" s="380" t="s">
        <v>3986</v>
      </c>
      <c r="E699" s="382" t="s">
        <v>3987</v>
      </c>
      <c r="F699" s="282" t="s">
        <v>3988</v>
      </c>
      <c r="G699" s="282" t="s">
        <v>3176</v>
      </c>
      <c r="J699" s="282" t="s">
        <v>1550</v>
      </c>
    </row>
    <row r="700" spans="1:10" ht="14.4" hidden="1">
      <c r="A700" s="380" t="s">
        <v>1182</v>
      </c>
      <c r="B700" s="380" t="s">
        <v>1187</v>
      </c>
      <c r="C700" s="381" t="s">
        <v>3989</v>
      </c>
      <c r="D700" s="380" t="s">
        <v>3990</v>
      </c>
      <c r="E700" s="382" t="s">
        <v>3991</v>
      </c>
      <c r="F700" s="282" t="s">
        <v>3992</v>
      </c>
      <c r="G700" s="282" t="s">
        <v>3176</v>
      </c>
      <c r="J700" s="282" t="s">
        <v>1550</v>
      </c>
    </row>
    <row r="701" spans="1:10" ht="14.4" hidden="1">
      <c r="A701" s="380" t="s">
        <v>1182</v>
      </c>
      <c r="B701" s="380" t="s">
        <v>1187</v>
      </c>
      <c r="C701" s="381" t="s">
        <v>3993</v>
      </c>
      <c r="D701" s="380" t="s">
        <v>3994</v>
      </c>
      <c r="E701" s="382" t="s">
        <v>3995</v>
      </c>
      <c r="F701" s="282" t="s">
        <v>3996</v>
      </c>
      <c r="G701" s="282" t="s">
        <v>3176</v>
      </c>
      <c r="J701" s="282" t="s">
        <v>1550</v>
      </c>
    </row>
    <row r="702" spans="1:10" ht="14.4" hidden="1">
      <c r="A702" s="380" t="s">
        <v>1182</v>
      </c>
      <c r="B702" s="380" t="s">
        <v>1187</v>
      </c>
      <c r="C702" s="381" t="s">
        <v>3997</v>
      </c>
      <c r="D702" s="380" t="s">
        <v>3998</v>
      </c>
      <c r="E702" s="382" t="s">
        <v>3999</v>
      </c>
      <c r="F702" s="282" t="s">
        <v>4000</v>
      </c>
      <c r="G702" s="282" t="s">
        <v>3176</v>
      </c>
      <c r="J702" s="282" t="s">
        <v>1550</v>
      </c>
    </row>
    <row r="703" spans="1:10" ht="14.4" hidden="1">
      <c r="A703" s="380" t="s">
        <v>1182</v>
      </c>
      <c r="B703" s="380" t="s">
        <v>1187</v>
      </c>
      <c r="C703" s="381" t="s">
        <v>4001</v>
      </c>
      <c r="D703" s="380" t="s">
        <v>4002</v>
      </c>
      <c r="E703" s="382" t="s">
        <v>4003</v>
      </c>
      <c r="F703" s="282" t="s">
        <v>4004</v>
      </c>
      <c r="G703" s="282" t="s">
        <v>3176</v>
      </c>
      <c r="J703" s="282" t="s">
        <v>1550</v>
      </c>
    </row>
    <row r="704" spans="1:10" ht="14.4" hidden="1">
      <c r="A704" s="380" t="s">
        <v>1182</v>
      </c>
      <c r="B704" s="380" t="s">
        <v>1187</v>
      </c>
      <c r="C704" s="381" t="s">
        <v>4005</v>
      </c>
      <c r="D704" s="380" t="s">
        <v>4006</v>
      </c>
      <c r="E704" s="382" t="s">
        <v>4007</v>
      </c>
      <c r="F704" s="282" t="s">
        <v>4008</v>
      </c>
      <c r="G704" s="282" t="s">
        <v>3176</v>
      </c>
      <c r="J704" s="282" t="s">
        <v>1550</v>
      </c>
    </row>
    <row r="705" spans="1:10" ht="14.4" hidden="1">
      <c r="A705" s="380" t="s">
        <v>1182</v>
      </c>
      <c r="B705" s="380" t="s">
        <v>1187</v>
      </c>
      <c r="C705" s="381" t="s">
        <v>4009</v>
      </c>
      <c r="D705" s="380" t="s">
        <v>4010</v>
      </c>
      <c r="E705" s="382" t="s">
        <v>4011</v>
      </c>
      <c r="F705" s="282" t="s">
        <v>4012</v>
      </c>
      <c r="G705" s="282" t="s">
        <v>3176</v>
      </c>
      <c r="J705" s="282" t="s">
        <v>1550</v>
      </c>
    </row>
    <row r="706" spans="1:10" ht="14.4" hidden="1">
      <c r="A706" s="380" t="s">
        <v>1182</v>
      </c>
      <c r="B706" s="380" t="s">
        <v>1187</v>
      </c>
      <c r="C706" s="381" t="s">
        <v>4013</v>
      </c>
      <c r="D706" s="380" t="s">
        <v>4014</v>
      </c>
      <c r="E706" s="382" t="s">
        <v>4015</v>
      </c>
      <c r="F706" s="282" t="s">
        <v>4016</v>
      </c>
      <c r="G706" s="282" t="s">
        <v>3176</v>
      </c>
      <c r="J706" s="282" t="s">
        <v>1550</v>
      </c>
    </row>
    <row r="707" spans="1:10" ht="14.4" hidden="1">
      <c r="A707" s="380" t="s">
        <v>1182</v>
      </c>
      <c r="B707" s="380" t="s">
        <v>1187</v>
      </c>
      <c r="C707" s="381" t="s">
        <v>4017</v>
      </c>
      <c r="D707" s="380" t="s">
        <v>4018</v>
      </c>
      <c r="E707" s="382" t="s">
        <v>4019</v>
      </c>
      <c r="F707" s="282" t="s">
        <v>4020</v>
      </c>
      <c r="G707" s="282" t="s">
        <v>3176</v>
      </c>
      <c r="J707" s="282" t="s">
        <v>1550</v>
      </c>
    </row>
    <row r="708" spans="1:10" ht="14.4" hidden="1">
      <c r="A708" s="380" t="s">
        <v>1182</v>
      </c>
      <c r="B708" s="380" t="s">
        <v>1187</v>
      </c>
      <c r="C708" s="381" t="s">
        <v>4021</v>
      </c>
      <c r="D708" s="380" t="s">
        <v>4022</v>
      </c>
      <c r="E708" s="382" t="s">
        <v>4023</v>
      </c>
      <c r="F708" s="282" t="s">
        <v>4024</v>
      </c>
      <c r="G708" s="282" t="s">
        <v>3176</v>
      </c>
      <c r="J708" s="282" t="s">
        <v>1550</v>
      </c>
    </row>
    <row r="709" spans="1:10" ht="14.4" hidden="1">
      <c r="A709" s="380" t="s">
        <v>1182</v>
      </c>
      <c r="B709" s="380" t="s">
        <v>1187</v>
      </c>
      <c r="C709" s="381" t="s">
        <v>4025</v>
      </c>
      <c r="D709" s="380" t="s">
        <v>4026</v>
      </c>
      <c r="E709" s="382" t="s">
        <v>4027</v>
      </c>
      <c r="F709" s="282" t="s">
        <v>4028</v>
      </c>
      <c r="G709" s="282" t="s">
        <v>3176</v>
      </c>
      <c r="J709" s="282" t="s">
        <v>1550</v>
      </c>
    </row>
    <row r="710" spans="1:10" ht="14.4" hidden="1">
      <c r="A710" s="380" t="s">
        <v>1182</v>
      </c>
      <c r="B710" s="380" t="s">
        <v>1187</v>
      </c>
      <c r="C710" s="381" t="s">
        <v>4029</v>
      </c>
      <c r="D710" s="380" t="s">
        <v>4030</v>
      </c>
      <c r="E710" s="382" t="s">
        <v>4031</v>
      </c>
      <c r="F710" s="282" t="s">
        <v>4032</v>
      </c>
      <c r="G710" s="282" t="s">
        <v>3176</v>
      </c>
      <c r="J710" s="282" t="s">
        <v>1550</v>
      </c>
    </row>
    <row r="711" spans="1:10" ht="14.4" hidden="1">
      <c r="A711" s="380" t="s">
        <v>1182</v>
      </c>
      <c r="B711" s="380" t="s">
        <v>1187</v>
      </c>
      <c r="C711" s="381" t="s">
        <v>4033</v>
      </c>
      <c r="D711" s="380" t="s">
        <v>4034</v>
      </c>
      <c r="E711" s="382" t="s">
        <v>4035</v>
      </c>
      <c r="F711" s="282" t="s">
        <v>4036</v>
      </c>
      <c r="G711" s="282" t="s">
        <v>3176</v>
      </c>
      <c r="J711" s="282" t="s">
        <v>1550</v>
      </c>
    </row>
    <row r="712" spans="1:10" ht="14.4" hidden="1">
      <c r="A712" s="380" t="s">
        <v>1182</v>
      </c>
      <c r="B712" s="380" t="s">
        <v>1187</v>
      </c>
      <c r="C712" s="381" t="s">
        <v>4037</v>
      </c>
      <c r="D712" s="380" t="s">
        <v>4038</v>
      </c>
      <c r="E712" s="382" t="s">
        <v>4039</v>
      </c>
      <c r="F712" s="282" t="s">
        <v>4040</v>
      </c>
      <c r="G712" s="282" t="s">
        <v>3176</v>
      </c>
      <c r="J712" s="282" t="s">
        <v>1550</v>
      </c>
    </row>
    <row r="713" spans="1:10" ht="14.4" hidden="1">
      <c r="A713" s="380" t="s">
        <v>1182</v>
      </c>
      <c r="B713" s="380" t="s">
        <v>1187</v>
      </c>
      <c r="C713" s="381" t="s">
        <v>4041</v>
      </c>
      <c r="D713" s="380" t="s">
        <v>4042</v>
      </c>
      <c r="E713" s="382" t="s">
        <v>4043</v>
      </c>
      <c r="F713" s="282" t="s">
        <v>4044</v>
      </c>
      <c r="G713" s="282" t="s">
        <v>3176</v>
      </c>
      <c r="J713" s="282" t="s">
        <v>1550</v>
      </c>
    </row>
    <row r="714" spans="1:10" ht="14.4" hidden="1">
      <c r="A714" s="380" t="s">
        <v>1182</v>
      </c>
      <c r="B714" s="380" t="s">
        <v>1187</v>
      </c>
      <c r="C714" s="381" t="s">
        <v>4045</v>
      </c>
      <c r="D714" s="380" t="s">
        <v>4046</v>
      </c>
      <c r="E714" s="386" t="s">
        <v>4047</v>
      </c>
      <c r="F714" s="282" t="s">
        <v>4048</v>
      </c>
      <c r="G714" s="282" t="s">
        <v>3176</v>
      </c>
      <c r="J714" s="282" t="s">
        <v>1550</v>
      </c>
    </row>
    <row r="715" spans="1:10" ht="14.4" hidden="1">
      <c r="A715" s="380" t="s">
        <v>1182</v>
      </c>
      <c r="B715" s="380" t="s">
        <v>1187</v>
      </c>
      <c r="C715" s="381" t="s">
        <v>4049</v>
      </c>
      <c r="D715" s="380" t="s">
        <v>4050</v>
      </c>
      <c r="E715" s="382" t="s">
        <v>4051</v>
      </c>
      <c r="F715" s="282" t="s">
        <v>4052</v>
      </c>
      <c r="G715" s="282" t="s">
        <v>3176</v>
      </c>
      <c r="J715" s="282" t="s">
        <v>1550</v>
      </c>
    </row>
    <row r="716" spans="1:10" ht="14.4" hidden="1">
      <c r="A716" s="380" t="s">
        <v>1182</v>
      </c>
      <c r="B716" s="380" t="s">
        <v>1187</v>
      </c>
      <c r="C716" s="381" t="s">
        <v>4053</v>
      </c>
      <c r="D716" s="380" t="s">
        <v>4054</v>
      </c>
      <c r="E716" s="382" t="s">
        <v>4055</v>
      </c>
      <c r="F716" s="282" t="s">
        <v>4056</v>
      </c>
      <c r="G716" s="282" t="s">
        <v>3176</v>
      </c>
      <c r="H716" s="282" t="s">
        <v>1548</v>
      </c>
      <c r="J716" s="282" t="s">
        <v>1550</v>
      </c>
    </row>
    <row r="717" spans="1:10" ht="14.4" hidden="1">
      <c r="A717" s="380" t="s">
        <v>1182</v>
      </c>
      <c r="B717" s="380" t="s">
        <v>1187</v>
      </c>
      <c r="C717" s="381" t="s">
        <v>4057</v>
      </c>
      <c r="D717" s="380" t="s">
        <v>4058</v>
      </c>
      <c r="E717" s="382" t="s">
        <v>4059</v>
      </c>
      <c r="F717" s="282" t="s">
        <v>4060</v>
      </c>
      <c r="G717" s="282" t="s">
        <v>3176</v>
      </c>
      <c r="J717" s="282" t="s">
        <v>1550</v>
      </c>
    </row>
    <row r="718" spans="1:10" ht="14.4" hidden="1">
      <c r="A718" s="380" t="s">
        <v>1182</v>
      </c>
      <c r="B718" s="380" t="s">
        <v>1187</v>
      </c>
      <c r="C718" s="381" t="s">
        <v>4061</v>
      </c>
      <c r="D718" s="380" t="s">
        <v>4062</v>
      </c>
      <c r="E718" s="382" t="s">
        <v>4063</v>
      </c>
      <c r="F718" s="282" t="s">
        <v>4064</v>
      </c>
      <c r="G718" s="282" t="s">
        <v>3176</v>
      </c>
      <c r="J718" s="282" t="s">
        <v>1550</v>
      </c>
    </row>
    <row r="719" spans="1:10" ht="14.4" hidden="1">
      <c r="A719" s="380" t="s">
        <v>1182</v>
      </c>
      <c r="B719" s="380" t="s">
        <v>1187</v>
      </c>
      <c r="C719" s="381" t="s">
        <v>4065</v>
      </c>
      <c r="D719" s="380" t="s">
        <v>4066</v>
      </c>
      <c r="E719" s="382" t="s">
        <v>4067</v>
      </c>
      <c r="F719" s="282" t="s">
        <v>4068</v>
      </c>
      <c r="G719" s="282" t="s">
        <v>3176</v>
      </c>
      <c r="J719" s="282" t="s">
        <v>1550</v>
      </c>
    </row>
    <row r="720" spans="1:10" ht="14.4" hidden="1">
      <c r="A720" s="380" t="s">
        <v>1182</v>
      </c>
      <c r="B720" s="380" t="s">
        <v>1187</v>
      </c>
      <c r="C720" s="381" t="s">
        <v>4069</v>
      </c>
      <c r="D720" s="380" t="s">
        <v>4070</v>
      </c>
      <c r="E720" s="382" t="s">
        <v>4071</v>
      </c>
      <c r="F720" s="282" t="s">
        <v>4072</v>
      </c>
      <c r="G720" s="282" t="s">
        <v>3176</v>
      </c>
      <c r="J720" s="282" t="s">
        <v>1550</v>
      </c>
    </row>
    <row r="721" spans="1:10" ht="14.4" hidden="1">
      <c r="A721" s="380" t="s">
        <v>1182</v>
      </c>
      <c r="B721" s="380" t="s">
        <v>1187</v>
      </c>
      <c r="C721" s="381" t="s">
        <v>4073</v>
      </c>
      <c r="D721" s="380" t="s">
        <v>4074</v>
      </c>
      <c r="E721" s="382" t="s">
        <v>4075</v>
      </c>
      <c r="F721" s="282" t="s">
        <v>4076</v>
      </c>
      <c r="G721" s="282" t="s">
        <v>3176</v>
      </c>
      <c r="J721" s="282" t="s">
        <v>1550</v>
      </c>
    </row>
    <row r="722" spans="1:10" ht="14.4" hidden="1">
      <c r="A722" s="380" t="s">
        <v>1182</v>
      </c>
      <c r="B722" s="380" t="s">
        <v>1187</v>
      </c>
      <c r="C722" s="381" t="s">
        <v>4077</v>
      </c>
      <c r="D722" s="380" t="s">
        <v>4078</v>
      </c>
      <c r="E722" s="382" t="s">
        <v>4079</v>
      </c>
      <c r="F722" s="282" t="s">
        <v>4080</v>
      </c>
      <c r="G722" s="282" t="s">
        <v>3176</v>
      </c>
      <c r="J722" s="282" t="s">
        <v>1550</v>
      </c>
    </row>
    <row r="723" spans="1:10" ht="14.4" hidden="1">
      <c r="A723" s="380" t="s">
        <v>1182</v>
      </c>
      <c r="B723" s="380" t="s">
        <v>1187</v>
      </c>
      <c r="C723" s="381" t="s">
        <v>4081</v>
      </c>
      <c r="D723" s="380" t="s">
        <v>4082</v>
      </c>
      <c r="E723" s="382" t="s">
        <v>4083</v>
      </c>
      <c r="F723" s="282" t="s">
        <v>4084</v>
      </c>
      <c r="G723" s="282" t="s">
        <v>3176</v>
      </c>
      <c r="J723" s="282" t="s">
        <v>1550</v>
      </c>
    </row>
    <row r="724" spans="1:10" ht="14.4" hidden="1">
      <c r="A724" s="380" t="s">
        <v>1182</v>
      </c>
      <c r="B724" s="380" t="s">
        <v>1187</v>
      </c>
      <c r="C724" s="381" t="s">
        <v>4085</v>
      </c>
      <c r="D724" s="380" t="s">
        <v>4086</v>
      </c>
      <c r="E724" s="382" t="s">
        <v>4087</v>
      </c>
      <c r="F724" s="282" t="s">
        <v>4088</v>
      </c>
      <c r="G724" s="282" t="s">
        <v>3176</v>
      </c>
      <c r="J724" s="282" t="s">
        <v>1550</v>
      </c>
    </row>
    <row r="725" spans="1:10" ht="14.4" hidden="1">
      <c r="A725" s="380" t="s">
        <v>1182</v>
      </c>
      <c r="B725" s="380" t="s">
        <v>1187</v>
      </c>
      <c r="C725" s="381" t="s">
        <v>4089</v>
      </c>
      <c r="D725" s="380" t="s">
        <v>4090</v>
      </c>
      <c r="E725" s="382" t="s">
        <v>4091</v>
      </c>
      <c r="F725" s="282" t="s">
        <v>4092</v>
      </c>
      <c r="G725" s="282" t="s">
        <v>3176</v>
      </c>
      <c r="J725" s="282" t="s">
        <v>1550</v>
      </c>
    </row>
    <row r="726" spans="1:10" ht="14.4" hidden="1">
      <c r="A726" s="380" t="s">
        <v>1182</v>
      </c>
      <c r="B726" s="380" t="s">
        <v>1187</v>
      </c>
      <c r="C726" s="381" t="s">
        <v>4093</v>
      </c>
      <c r="D726" s="380" t="s">
        <v>4094</v>
      </c>
      <c r="E726" s="382" t="s">
        <v>4095</v>
      </c>
      <c r="F726" s="282" t="s">
        <v>4096</v>
      </c>
      <c r="G726" s="282" t="s">
        <v>3176</v>
      </c>
      <c r="J726" s="282" t="s">
        <v>1550</v>
      </c>
    </row>
    <row r="727" spans="1:10" ht="14.4" hidden="1">
      <c r="A727" s="380" t="s">
        <v>1182</v>
      </c>
      <c r="B727" s="380" t="s">
        <v>1187</v>
      </c>
      <c r="C727" s="381" t="s">
        <v>4097</v>
      </c>
      <c r="D727" s="380" t="s">
        <v>4098</v>
      </c>
      <c r="E727" s="382" t="s">
        <v>4099</v>
      </c>
      <c r="F727" s="282" t="s">
        <v>4100</v>
      </c>
      <c r="G727" s="282" t="s">
        <v>3176</v>
      </c>
      <c r="J727" s="282" t="s">
        <v>1550</v>
      </c>
    </row>
    <row r="728" spans="1:10" ht="14.4" hidden="1">
      <c r="A728" s="380" t="s">
        <v>1182</v>
      </c>
      <c r="B728" s="380" t="s">
        <v>1187</v>
      </c>
      <c r="C728" s="381" t="s">
        <v>4101</v>
      </c>
      <c r="D728" s="380" t="s">
        <v>4102</v>
      </c>
      <c r="E728" s="382" t="s">
        <v>4103</v>
      </c>
      <c r="F728" s="282" t="s">
        <v>4104</v>
      </c>
      <c r="G728" s="282" t="s">
        <v>3176</v>
      </c>
      <c r="J728" s="282" t="s">
        <v>1550</v>
      </c>
    </row>
    <row r="729" spans="1:10" ht="14.4" hidden="1">
      <c r="A729" s="380" t="s">
        <v>1182</v>
      </c>
      <c r="B729" s="380" t="s">
        <v>1187</v>
      </c>
      <c r="C729" s="381" t="s">
        <v>4105</v>
      </c>
      <c r="D729" s="380" t="s">
        <v>4106</v>
      </c>
      <c r="E729" s="386" t="s">
        <v>4107</v>
      </c>
      <c r="F729" s="282" t="s">
        <v>4108</v>
      </c>
      <c r="G729" s="282" t="s">
        <v>3176</v>
      </c>
      <c r="J729" s="282" t="s">
        <v>1550</v>
      </c>
    </row>
    <row r="730" spans="1:10" ht="14.4" hidden="1">
      <c r="A730" s="380" t="s">
        <v>1182</v>
      </c>
      <c r="B730" s="380" t="s">
        <v>1187</v>
      </c>
      <c r="C730" s="381" t="s">
        <v>4109</v>
      </c>
      <c r="D730" s="380" t="s">
        <v>4110</v>
      </c>
      <c r="E730" s="386" t="s">
        <v>4111</v>
      </c>
      <c r="F730" s="282" t="s">
        <v>4112</v>
      </c>
      <c r="G730" s="282" t="s">
        <v>3176</v>
      </c>
      <c r="J730" s="282" t="s">
        <v>1550</v>
      </c>
    </row>
    <row r="731" spans="1:10" ht="14.4" hidden="1">
      <c r="A731" s="380" t="s">
        <v>1182</v>
      </c>
      <c r="B731" s="380" t="s">
        <v>1187</v>
      </c>
      <c r="C731" s="381" t="s">
        <v>4113</v>
      </c>
      <c r="D731" s="380" t="s">
        <v>4114</v>
      </c>
      <c r="E731" s="382" t="s">
        <v>4115</v>
      </c>
      <c r="F731" s="282" t="s">
        <v>4116</v>
      </c>
      <c r="G731" s="282" t="s">
        <v>3176</v>
      </c>
      <c r="J731" s="282" t="s">
        <v>1550</v>
      </c>
    </row>
    <row r="732" spans="1:10" ht="14.4" hidden="1">
      <c r="A732" s="380" t="s">
        <v>1182</v>
      </c>
      <c r="B732" s="380" t="s">
        <v>1187</v>
      </c>
      <c r="C732" s="381" t="s">
        <v>4117</v>
      </c>
      <c r="D732" s="380" t="s">
        <v>4118</v>
      </c>
      <c r="E732" s="382" t="s">
        <v>4119</v>
      </c>
      <c r="F732" s="282" t="s">
        <v>4120</v>
      </c>
      <c r="G732" s="282" t="s">
        <v>3176</v>
      </c>
      <c r="J732" s="282" t="s">
        <v>1550</v>
      </c>
    </row>
    <row r="733" spans="1:10" ht="14.4" hidden="1">
      <c r="A733" s="380" t="s">
        <v>1182</v>
      </c>
      <c r="B733" s="380" t="s">
        <v>1187</v>
      </c>
      <c r="C733" s="381" t="s">
        <v>4121</v>
      </c>
      <c r="D733" s="380" t="s">
        <v>4122</v>
      </c>
      <c r="E733" s="382" t="s">
        <v>4123</v>
      </c>
      <c r="F733" s="282" t="s">
        <v>4124</v>
      </c>
      <c r="G733" s="282" t="s">
        <v>3176</v>
      </c>
      <c r="J733" s="282" t="s">
        <v>1550</v>
      </c>
    </row>
    <row r="734" spans="1:10" ht="14.4" hidden="1">
      <c r="A734" s="380" t="s">
        <v>1182</v>
      </c>
      <c r="B734" s="380" t="s">
        <v>1187</v>
      </c>
      <c r="C734" s="381" t="s">
        <v>4125</v>
      </c>
      <c r="D734" s="380" t="s">
        <v>4126</v>
      </c>
      <c r="E734" s="382" t="s">
        <v>4127</v>
      </c>
      <c r="F734" s="282" t="s">
        <v>4128</v>
      </c>
      <c r="G734" s="282" t="s">
        <v>3176</v>
      </c>
      <c r="J734" s="282" t="s">
        <v>1550</v>
      </c>
    </row>
    <row r="735" spans="1:10" ht="14.4" hidden="1">
      <c r="A735" s="380" t="s">
        <v>1182</v>
      </c>
      <c r="B735" s="380" t="s">
        <v>1187</v>
      </c>
      <c r="C735" s="381" t="s">
        <v>4129</v>
      </c>
      <c r="D735" s="380" t="s">
        <v>4130</v>
      </c>
      <c r="E735" s="382" t="s">
        <v>4131</v>
      </c>
      <c r="F735" s="282" t="s">
        <v>4132</v>
      </c>
      <c r="G735" s="282" t="s">
        <v>3176</v>
      </c>
      <c r="J735" s="282" t="s">
        <v>1550</v>
      </c>
    </row>
    <row r="736" spans="1:10" ht="14.4" hidden="1">
      <c r="A736" s="380" t="s">
        <v>1182</v>
      </c>
      <c r="B736" s="380" t="s">
        <v>1187</v>
      </c>
      <c r="C736" s="381" t="s">
        <v>4133</v>
      </c>
      <c r="D736" s="380" t="s">
        <v>4134</v>
      </c>
      <c r="E736" s="382" t="s">
        <v>4135</v>
      </c>
      <c r="F736" s="282" t="s">
        <v>4136</v>
      </c>
      <c r="G736" s="282" t="s">
        <v>3176</v>
      </c>
      <c r="J736" s="282" t="s">
        <v>1550</v>
      </c>
    </row>
    <row r="737" spans="1:10" ht="14.4" hidden="1">
      <c r="A737" s="380" t="s">
        <v>1182</v>
      </c>
      <c r="B737" s="380" t="s">
        <v>1187</v>
      </c>
      <c r="C737" s="381" t="s">
        <v>4137</v>
      </c>
      <c r="D737" s="380" t="s">
        <v>4138</v>
      </c>
      <c r="E737" s="382" t="s">
        <v>4139</v>
      </c>
      <c r="F737" s="282" t="s">
        <v>4140</v>
      </c>
      <c r="G737" s="282" t="s">
        <v>3176</v>
      </c>
      <c r="J737" s="282" t="s">
        <v>1550</v>
      </c>
    </row>
    <row r="738" spans="1:10" ht="14.4" hidden="1">
      <c r="A738" s="380" t="s">
        <v>1182</v>
      </c>
      <c r="B738" s="380" t="s">
        <v>1187</v>
      </c>
      <c r="C738" s="381" t="s">
        <v>4141</v>
      </c>
      <c r="D738" s="380" t="s">
        <v>4142</v>
      </c>
      <c r="E738" s="382" t="s">
        <v>4143</v>
      </c>
      <c r="F738" s="282" t="s">
        <v>4144</v>
      </c>
      <c r="G738" s="282" t="s">
        <v>3176</v>
      </c>
      <c r="J738" s="282" t="s">
        <v>1550</v>
      </c>
    </row>
    <row r="739" spans="1:10" ht="14.4" hidden="1">
      <c r="A739" s="380" t="s">
        <v>1182</v>
      </c>
      <c r="B739" s="380" t="s">
        <v>1187</v>
      </c>
      <c r="C739" s="381" t="s">
        <v>4145</v>
      </c>
      <c r="D739" s="380" t="s">
        <v>4146</v>
      </c>
      <c r="E739" s="382" t="s">
        <v>4147</v>
      </c>
      <c r="F739" s="282" t="s">
        <v>4148</v>
      </c>
      <c r="G739" s="282" t="s">
        <v>3176</v>
      </c>
      <c r="J739" s="282" t="s">
        <v>1550</v>
      </c>
    </row>
    <row r="740" spans="1:10" ht="14.4" hidden="1">
      <c r="A740" s="380" t="s">
        <v>1182</v>
      </c>
      <c r="B740" s="380" t="s">
        <v>1187</v>
      </c>
      <c r="C740" s="381" t="s">
        <v>4149</v>
      </c>
      <c r="D740" s="380" t="s">
        <v>4150</v>
      </c>
      <c r="E740" s="382" t="s">
        <v>4151</v>
      </c>
      <c r="F740" s="282" t="s">
        <v>4152</v>
      </c>
      <c r="G740" s="282" t="s">
        <v>3176</v>
      </c>
      <c r="J740" s="282" t="s">
        <v>1550</v>
      </c>
    </row>
    <row r="741" spans="1:10" ht="14.4" hidden="1">
      <c r="A741" s="380" t="s">
        <v>1182</v>
      </c>
      <c r="B741" s="380" t="s">
        <v>1187</v>
      </c>
      <c r="C741" s="381" t="s">
        <v>4153</v>
      </c>
      <c r="D741" s="380" t="s">
        <v>4154</v>
      </c>
      <c r="E741" s="382" t="s">
        <v>4155</v>
      </c>
      <c r="F741" s="282" t="s">
        <v>4156</v>
      </c>
      <c r="G741" s="282" t="s">
        <v>3176</v>
      </c>
      <c r="J741" s="282" t="s">
        <v>1550</v>
      </c>
    </row>
    <row r="742" spans="1:10" ht="14.4" hidden="1">
      <c r="A742" s="380" t="s">
        <v>1182</v>
      </c>
      <c r="B742" s="380" t="s">
        <v>1187</v>
      </c>
      <c r="C742" s="381" t="s">
        <v>4157</v>
      </c>
      <c r="D742" s="380" t="s">
        <v>4158</v>
      </c>
      <c r="E742" s="382" t="s">
        <v>4159</v>
      </c>
      <c r="F742" s="282" t="s">
        <v>4160</v>
      </c>
      <c r="G742" s="282" t="s">
        <v>3176</v>
      </c>
      <c r="J742" s="282" t="s">
        <v>1550</v>
      </c>
    </row>
    <row r="743" spans="1:10" ht="14.4" hidden="1">
      <c r="A743" s="380" t="s">
        <v>1182</v>
      </c>
      <c r="B743" s="380" t="s">
        <v>1187</v>
      </c>
      <c r="C743" s="381" t="s">
        <v>4161</v>
      </c>
      <c r="D743" s="380" t="s">
        <v>4162</v>
      </c>
      <c r="E743" s="382" t="s">
        <v>4163</v>
      </c>
      <c r="F743" s="282" t="s">
        <v>4164</v>
      </c>
      <c r="G743" s="282" t="s">
        <v>3176</v>
      </c>
      <c r="H743" s="282" t="s">
        <v>1548</v>
      </c>
      <c r="J743" s="282" t="s">
        <v>1550</v>
      </c>
    </row>
    <row r="744" spans="1:10" ht="14.4" hidden="1">
      <c r="A744" s="380" t="s">
        <v>1182</v>
      </c>
      <c r="B744" s="380" t="s">
        <v>1187</v>
      </c>
      <c r="C744" s="381" t="s">
        <v>4165</v>
      </c>
      <c r="D744" s="380" t="s">
        <v>4166</v>
      </c>
      <c r="E744" s="382" t="s">
        <v>4167</v>
      </c>
      <c r="F744" s="282" t="s">
        <v>4168</v>
      </c>
      <c r="G744" s="282" t="s">
        <v>3176</v>
      </c>
      <c r="J744" s="282" t="s">
        <v>1550</v>
      </c>
    </row>
    <row r="745" spans="1:10" ht="14.4" hidden="1">
      <c r="A745" s="380" t="s">
        <v>1182</v>
      </c>
      <c r="B745" s="380" t="s">
        <v>1187</v>
      </c>
      <c r="C745" s="381" t="s">
        <v>4169</v>
      </c>
      <c r="D745" s="380" t="s">
        <v>4170</v>
      </c>
      <c r="E745" s="382" t="s">
        <v>4171</v>
      </c>
      <c r="F745" s="282" t="s">
        <v>4172</v>
      </c>
      <c r="G745" s="282" t="s">
        <v>3176</v>
      </c>
      <c r="J745" s="282" t="s">
        <v>1550</v>
      </c>
    </row>
    <row r="746" spans="1:10" ht="14.4" hidden="1">
      <c r="A746" s="380" t="s">
        <v>1182</v>
      </c>
      <c r="B746" s="380" t="s">
        <v>1187</v>
      </c>
      <c r="C746" s="381" t="s">
        <v>4173</v>
      </c>
      <c r="D746" s="380" t="s">
        <v>4174</v>
      </c>
      <c r="E746" s="382" t="s">
        <v>4175</v>
      </c>
      <c r="F746" s="282" t="s">
        <v>4176</v>
      </c>
      <c r="G746" s="282" t="s">
        <v>3176</v>
      </c>
      <c r="J746" s="282" t="s">
        <v>1550</v>
      </c>
    </row>
    <row r="747" spans="1:10" ht="14.4" hidden="1">
      <c r="A747" s="380" t="s">
        <v>1182</v>
      </c>
      <c r="B747" s="380" t="s">
        <v>1187</v>
      </c>
      <c r="C747" s="381" t="s">
        <v>4177</v>
      </c>
      <c r="D747" s="380" t="s">
        <v>4178</v>
      </c>
      <c r="E747" s="382" t="s">
        <v>4179</v>
      </c>
      <c r="F747" s="282" t="s">
        <v>4180</v>
      </c>
      <c r="G747" s="282" t="s">
        <v>3176</v>
      </c>
      <c r="J747" s="282" t="s">
        <v>1550</v>
      </c>
    </row>
    <row r="748" spans="1:10" ht="14.4" hidden="1">
      <c r="A748" s="380" t="s">
        <v>1182</v>
      </c>
      <c r="B748" s="380" t="s">
        <v>1187</v>
      </c>
      <c r="C748" s="381" t="s">
        <v>4181</v>
      </c>
      <c r="D748" s="380" t="s">
        <v>4182</v>
      </c>
      <c r="E748" s="382" t="s">
        <v>4183</v>
      </c>
      <c r="F748" s="282" t="s">
        <v>4184</v>
      </c>
      <c r="G748" s="282" t="s">
        <v>3176</v>
      </c>
      <c r="J748" s="282" t="s">
        <v>1550</v>
      </c>
    </row>
    <row r="749" spans="1:10" ht="14.4" hidden="1">
      <c r="A749" s="380" t="s">
        <v>1182</v>
      </c>
      <c r="B749" s="380" t="s">
        <v>1187</v>
      </c>
      <c r="C749" s="381" t="s">
        <v>4185</v>
      </c>
      <c r="D749" s="380" t="s">
        <v>4186</v>
      </c>
      <c r="E749" s="382" t="s">
        <v>4187</v>
      </c>
      <c r="F749" s="282" t="s">
        <v>4188</v>
      </c>
      <c r="G749" s="282" t="s">
        <v>3176</v>
      </c>
      <c r="J749" s="282" t="s">
        <v>1550</v>
      </c>
    </row>
    <row r="750" spans="1:10" ht="14.4" hidden="1">
      <c r="A750" s="380" t="s">
        <v>1182</v>
      </c>
      <c r="B750" s="380" t="s">
        <v>1187</v>
      </c>
      <c r="C750" s="381" t="s">
        <v>4189</v>
      </c>
      <c r="D750" s="380" t="s">
        <v>4190</v>
      </c>
      <c r="E750" s="382" t="s">
        <v>4191</v>
      </c>
      <c r="F750" s="282" t="s">
        <v>4192</v>
      </c>
      <c r="G750" s="282" t="s">
        <v>3176</v>
      </c>
      <c r="J750" s="282" t="s">
        <v>1550</v>
      </c>
    </row>
    <row r="751" spans="1:10" ht="14.4" hidden="1">
      <c r="A751" s="380" t="s">
        <v>1182</v>
      </c>
      <c r="B751" s="380" t="s">
        <v>1187</v>
      </c>
      <c r="C751" s="381" t="s">
        <v>4193</v>
      </c>
      <c r="D751" s="380" t="s">
        <v>4194</v>
      </c>
      <c r="E751" s="382" t="s">
        <v>4195</v>
      </c>
      <c r="F751" s="282" t="s">
        <v>4196</v>
      </c>
      <c r="G751" s="282" t="s">
        <v>3176</v>
      </c>
      <c r="J751" s="282" t="s">
        <v>1550</v>
      </c>
    </row>
    <row r="752" spans="1:10" ht="14.4" hidden="1">
      <c r="A752" s="380" t="s">
        <v>1182</v>
      </c>
      <c r="B752" s="380" t="s">
        <v>1187</v>
      </c>
      <c r="C752" s="381" t="s">
        <v>4197</v>
      </c>
      <c r="D752" s="380" t="s">
        <v>4198</v>
      </c>
      <c r="E752" s="382" t="s">
        <v>4199</v>
      </c>
      <c r="F752" s="282" t="s">
        <v>4200</v>
      </c>
      <c r="G752" s="282" t="s">
        <v>3176</v>
      </c>
      <c r="J752" s="282" t="s">
        <v>1550</v>
      </c>
    </row>
    <row r="753" spans="1:10" ht="14.4" hidden="1">
      <c r="A753" s="380" t="s">
        <v>1182</v>
      </c>
      <c r="B753" s="380" t="s">
        <v>1187</v>
      </c>
      <c r="C753" s="381" t="s">
        <v>4201</v>
      </c>
      <c r="D753" s="380" t="s">
        <v>4202</v>
      </c>
      <c r="E753" s="382" t="s">
        <v>4203</v>
      </c>
      <c r="F753" s="282" t="s">
        <v>4204</v>
      </c>
      <c r="G753" s="282" t="s">
        <v>3176</v>
      </c>
      <c r="J753" s="282" t="s">
        <v>1550</v>
      </c>
    </row>
    <row r="754" spans="1:10" ht="14.4" hidden="1">
      <c r="A754" s="380" t="s">
        <v>1182</v>
      </c>
      <c r="B754" s="380" t="s">
        <v>1187</v>
      </c>
      <c r="C754" s="381" t="s">
        <v>4205</v>
      </c>
      <c r="D754" s="380" t="s">
        <v>4206</v>
      </c>
      <c r="E754" s="382" t="s">
        <v>4207</v>
      </c>
      <c r="F754" s="282" t="s">
        <v>4208</v>
      </c>
      <c r="G754" s="282" t="s">
        <v>3176</v>
      </c>
      <c r="J754" s="282" t="s">
        <v>1550</v>
      </c>
    </row>
    <row r="755" spans="1:10" ht="14.4" hidden="1">
      <c r="A755" s="380" t="s">
        <v>1182</v>
      </c>
      <c r="B755" s="380" t="s">
        <v>1187</v>
      </c>
      <c r="C755" s="381" t="s">
        <v>4209</v>
      </c>
      <c r="D755" s="380" t="s">
        <v>4210</v>
      </c>
      <c r="E755" s="382" t="s">
        <v>4211</v>
      </c>
      <c r="F755" s="282" t="s">
        <v>4212</v>
      </c>
      <c r="G755" s="282" t="s">
        <v>3176</v>
      </c>
      <c r="J755" s="282" t="s">
        <v>1550</v>
      </c>
    </row>
    <row r="756" spans="1:10" ht="14.4" hidden="1">
      <c r="A756" s="380" t="s">
        <v>1182</v>
      </c>
      <c r="B756" s="380" t="s">
        <v>1187</v>
      </c>
      <c r="C756" s="381" t="s">
        <v>4213</v>
      </c>
      <c r="D756" s="380" t="s">
        <v>4214</v>
      </c>
      <c r="E756" s="382" t="s">
        <v>4215</v>
      </c>
      <c r="F756" s="282" t="s">
        <v>4216</v>
      </c>
      <c r="G756" s="282" t="s">
        <v>3176</v>
      </c>
      <c r="J756" s="282" t="s">
        <v>1550</v>
      </c>
    </row>
    <row r="757" spans="1:10" ht="14.4" hidden="1">
      <c r="A757" s="380" t="s">
        <v>1182</v>
      </c>
      <c r="B757" s="380" t="s">
        <v>1187</v>
      </c>
      <c r="C757" s="381" t="s">
        <v>4217</v>
      </c>
      <c r="D757" s="380" t="s">
        <v>4218</v>
      </c>
      <c r="E757" s="382" t="s">
        <v>4219</v>
      </c>
      <c r="F757" s="282" t="s">
        <v>4220</v>
      </c>
      <c r="G757" s="282" t="s">
        <v>3176</v>
      </c>
      <c r="J757" s="282" t="s">
        <v>1550</v>
      </c>
    </row>
    <row r="758" spans="1:10" ht="14.4" hidden="1">
      <c r="A758" s="380" t="s">
        <v>1182</v>
      </c>
      <c r="B758" s="380" t="s">
        <v>1187</v>
      </c>
      <c r="C758" s="381" t="s">
        <v>4221</v>
      </c>
      <c r="D758" s="380" t="s">
        <v>4222</v>
      </c>
      <c r="E758" s="382" t="s">
        <v>4223</v>
      </c>
      <c r="F758" s="282" t="s">
        <v>4224</v>
      </c>
      <c r="G758" s="282" t="s">
        <v>3176</v>
      </c>
      <c r="J758" s="282" t="s">
        <v>1550</v>
      </c>
    </row>
    <row r="759" spans="1:10" ht="14.4" hidden="1">
      <c r="A759" s="380" t="s">
        <v>1182</v>
      </c>
      <c r="B759" s="380" t="s">
        <v>1187</v>
      </c>
      <c r="C759" s="381" t="s">
        <v>4225</v>
      </c>
      <c r="D759" s="380" t="s">
        <v>4226</v>
      </c>
      <c r="E759" s="382" t="s">
        <v>4227</v>
      </c>
      <c r="F759" s="282" t="s">
        <v>4228</v>
      </c>
      <c r="G759" s="282" t="s">
        <v>3176</v>
      </c>
      <c r="J759" s="282" t="s">
        <v>1550</v>
      </c>
    </row>
    <row r="760" spans="1:10" ht="14.4" hidden="1">
      <c r="A760" s="380" t="s">
        <v>1182</v>
      </c>
      <c r="B760" s="380" t="s">
        <v>1187</v>
      </c>
      <c r="C760" s="381" t="s">
        <v>4229</v>
      </c>
      <c r="D760" s="380" t="s">
        <v>4230</v>
      </c>
      <c r="E760" s="382" t="s">
        <v>4231</v>
      </c>
      <c r="F760" s="282" t="s">
        <v>4232</v>
      </c>
      <c r="G760" s="282" t="s">
        <v>3176</v>
      </c>
      <c r="J760" s="282" t="s">
        <v>1550</v>
      </c>
    </row>
    <row r="761" spans="1:10" ht="14.4" hidden="1">
      <c r="A761" s="380" t="s">
        <v>1182</v>
      </c>
      <c r="B761" s="380" t="s">
        <v>1187</v>
      </c>
      <c r="C761" s="381" t="s">
        <v>4233</v>
      </c>
      <c r="D761" s="380" t="s">
        <v>4234</v>
      </c>
      <c r="E761" s="382" t="s">
        <v>4235</v>
      </c>
      <c r="F761" s="282" t="s">
        <v>4236</v>
      </c>
      <c r="G761" s="282" t="s">
        <v>3176</v>
      </c>
      <c r="J761" s="282" t="s">
        <v>1550</v>
      </c>
    </row>
    <row r="762" spans="1:10" ht="14.4" hidden="1">
      <c r="A762" s="380" t="s">
        <v>1182</v>
      </c>
      <c r="B762" s="380" t="s">
        <v>1187</v>
      </c>
      <c r="C762" s="381" t="s">
        <v>4237</v>
      </c>
      <c r="D762" s="380" t="s">
        <v>4238</v>
      </c>
      <c r="E762" s="382" t="s">
        <v>4239</v>
      </c>
      <c r="F762" s="282" t="s">
        <v>4240</v>
      </c>
      <c r="G762" s="282" t="s">
        <v>3176</v>
      </c>
      <c r="J762" s="282" t="s">
        <v>1550</v>
      </c>
    </row>
    <row r="763" spans="1:10" ht="14.4" hidden="1">
      <c r="A763" s="380" t="s">
        <v>1182</v>
      </c>
      <c r="B763" s="380" t="s">
        <v>1187</v>
      </c>
      <c r="C763" s="381" t="s">
        <v>4241</v>
      </c>
      <c r="D763" s="380" t="s">
        <v>4242</v>
      </c>
      <c r="E763" s="382" t="s">
        <v>4243</v>
      </c>
      <c r="F763" s="282" t="s">
        <v>4244</v>
      </c>
      <c r="G763" s="282" t="s">
        <v>3176</v>
      </c>
      <c r="J763" s="282" t="s">
        <v>1550</v>
      </c>
    </row>
    <row r="764" spans="1:10" ht="14.4" hidden="1">
      <c r="A764" s="380" t="s">
        <v>1182</v>
      </c>
      <c r="B764" s="380" t="s">
        <v>1187</v>
      </c>
      <c r="C764" s="381" t="s">
        <v>4245</v>
      </c>
      <c r="D764" s="380" t="s">
        <v>4246</v>
      </c>
      <c r="E764" s="382" t="s">
        <v>4247</v>
      </c>
      <c r="F764" s="282" t="s">
        <v>4248</v>
      </c>
      <c r="G764" s="282" t="s">
        <v>3176</v>
      </c>
      <c r="J764" s="282" t="s">
        <v>1550</v>
      </c>
    </row>
    <row r="765" spans="1:10" ht="14.4" hidden="1">
      <c r="A765" s="380" t="s">
        <v>1182</v>
      </c>
      <c r="B765" s="380" t="s">
        <v>1187</v>
      </c>
      <c r="C765" s="381" t="s">
        <v>4249</v>
      </c>
      <c r="D765" s="380" t="s">
        <v>4250</v>
      </c>
      <c r="E765" s="382" t="s">
        <v>4251</v>
      </c>
      <c r="F765" s="282" t="s">
        <v>4252</v>
      </c>
      <c r="G765" s="282" t="s">
        <v>3176</v>
      </c>
      <c r="J765" s="282" t="s">
        <v>1550</v>
      </c>
    </row>
    <row r="766" spans="1:10" ht="14.4" hidden="1">
      <c r="A766" s="380" t="s">
        <v>1182</v>
      </c>
      <c r="B766" s="380" t="s">
        <v>1187</v>
      </c>
      <c r="C766" s="381" t="s">
        <v>4253</v>
      </c>
      <c r="D766" s="380" t="s">
        <v>4254</v>
      </c>
      <c r="E766" s="382" t="s">
        <v>4255</v>
      </c>
      <c r="F766" s="282" t="s">
        <v>4256</v>
      </c>
      <c r="G766" s="282" t="s">
        <v>3176</v>
      </c>
      <c r="J766" s="282" t="s">
        <v>1550</v>
      </c>
    </row>
    <row r="767" spans="1:10" ht="14.4" hidden="1">
      <c r="A767" s="380" t="s">
        <v>1182</v>
      </c>
      <c r="B767" s="380" t="s">
        <v>1187</v>
      </c>
      <c r="C767" s="381" t="s">
        <v>4257</v>
      </c>
      <c r="D767" s="380" t="s">
        <v>4258</v>
      </c>
      <c r="E767" s="382" t="s">
        <v>4259</v>
      </c>
      <c r="F767" s="282" t="s">
        <v>4260</v>
      </c>
      <c r="G767" s="282" t="s">
        <v>3176</v>
      </c>
      <c r="J767" s="282" t="s">
        <v>1550</v>
      </c>
    </row>
    <row r="768" spans="1:10" ht="14.4" hidden="1">
      <c r="A768" s="380" t="s">
        <v>1182</v>
      </c>
      <c r="B768" s="380" t="s">
        <v>1187</v>
      </c>
      <c r="C768" s="381" t="s">
        <v>4261</v>
      </c>
      <c r="D768" s="380" t="s">
        <v>4262</v>
      </c>
      <c r="E768" s="382" t="s">
        <v>4263</v>
      </c>
      <c r="F768" s="282" t="s">
        <v>4264</v>
      </c>
      <c r="G768" s="282" t="s">
        <v>3176</v>
      </c>
      <c r="J768" s="282" t="s">
        <v>1550</v>
      </c>
    </row>
    <row r="769" spans="1:10" ht="14.4" hidden="1">
      <c r="A769" s="380" t="s">
        <v>1182</v>
      </c>
      <c r="B769" s="380" t="s">
        <v>1187</v>
      </c>
      <c r="C769" s="381" t="s">
        <v>4265</v>
      </c>
      <c r="D769" s="380" t="s">
        <v>4266</v>
      </c>
      <c r="E769" s="382" t="s">
        <v>4267</v>
      </c>
      <c r="F769" s="282" t="s">
        <v>4268</v>
      </c>
      <c r="G769" s="282" t="s">
        <v>3176</v>
      </c>
      <c r="J769" s="282" t="s">
        <v>1550</v>
      </c>
    </row>
    <row r="770" spans="1:10" ht="14.4" hidden="1">
      <c r="A770" s="380" t="s">
        <v>1182</v>
      </c>
      <c r="B770" s="380" t="s">
        <v>1187</v>
      </c>
      <c r="C770" s="381" t="s">
        <v>4269</v>
      </c>
      <c r="D770" s="380" t="s">
        <v>4270</v>
      </c>
      <c r="E770" s="382" t="s">
        <v>4271</v>
      </c>
      <c r="F770" s="282" t="s">
        <v>4272</v>
      </c>
      <c r="G770" s="282" t="s">
        <v>3176</v>
      </c>
      <c r="J770" s="282" t="s">
        <v>1550</v>
      </c>
    </row>
    <row r="771" spans="1:10" ht="14.4" hidden="1">
      <c r="A771" s="380" t="s">
        <v>1182</v>
      </c>
      <c r="B771" s="380" t="s">
        <v>1187</v>
      </c>
      <c r="C771" s="381" t="s">
        <v>4273</v>
      </c>
      <c r="D771" s="380" t="s">
        <v>4274</v>
      </c>
      <c r="E771" s="382" t="s">
        <v>4275</v>
      </c>
      <c r="F771" s="282" t="s">
        <v>4276</v>
      </c>
      <c r="G771" s="282" t="s">
        <v>3176</v>
      </c>
      <c r="J771" s="282" t="s">
        <v>1550</v>
      </c>
    </row>
    <row r="772" spans="1:10" ht="14.4" hidden="1">
      <c r="A772" s="380" t="s">
        <v>1182</v>
      </c>
      <c r="B772" s="380" t="s">
        <v>1187</v>
      </c>
      <c r="C772" s="381" t="s">
        <v>4277</v>
      </c>
      <c r="D772" s="380" t="s">
        <v>4278</v>
      </c>
      <c r="E772" s="382" t="s">
        <v>4279</v>
      </c>
      <c r="F772" s="282" t="s">
        <v>4280</v>
      </c>
      <c r="G772" s="282" t="s">
        <v>3176</v>
      </c>
      <c r="J772" s="282" t="s">
        <v>1550</v>
      </c>
    </row>
    <row r="773" spans="1:10" ht="14.4" hidden="1">
      <c r="A773" s="380" t="s">
        <v>1182</v>
      </c>
      <c r="B773" s="380" t="s">
        <v>1187</v>
      </c>
      <c r="C773" s="381" t="s">
        <v>4281</v>
      </c>
      <c r="D773" s="380" t="s">
        <v>4282</v>
      </c>
      <c r="E773" s="382" t="s">
        <v>4283</v>
      </c>
      <c r="F773" s="282" t="s">
        <v>4284</v>
      </c>
      <c r="G773" s="282" t="s">
        <v>3176</v>
      </c>
      <c r="J773" s="282" t="s">
        <v>1550</v>
      </c>
    </row>
    <row r="774" spans="1:10" ht="14.4" hidden="1">
      <c r="A774" s="380" t="s">
        <v>1182</v>
      </c>
      <c r="B774" s="380" t="s">
        <v>1187</v>
      </c>
      <c r="C774" s="381" t="s">
        <v>4285</v>
      </c>
      <c r="D774" s="380" t="s">
        <v>4286</v>
      </c>
      <c r="E774" s="382" t="s">
        <v>4287</v>
      </c>
      <c r="F774" s="282" t="s">
        <v>4288</v>
      </c>
      <c r="G774" s="282" t="s">
        <v>3176</v>
      </c>
      <c r="J774" s="282" t="s">
        <v>1550</v>
      </c>
    </row>
    <row r="775" spans="1:10" ht="14.4" hidden="1">
      <c r="A775" s="380" t="s">
        <v>1182</v>
      </c>
      <c r="B775" s="380" t="s">
        <v>1187</v>
      </c>
      <c r="C775" s="381" t="s">
        <v>4289</v>
      </c>
      <c r="D775" s="380" t="s">
        <v>4290</v>
      </c>
      <c r="E775" s="382" t="s">
        <v>4291</v>
      </c>
      <c r="F775" s="282" t="s">
        <v>4292</v>
      </c>
      <c r="G775" s="282" t="s">
        <v>3176</v>
      </c>
      <c r="J775" s="282" t="s">
        <v>1550</v>
      </c>
    </row>
    <row r="776" spans="1:10" ht="14.4" hidden="1">
      <c r="A776" s="380" t="s">
        <v>1182</v>
      </c>
      <c r="B776" s="380" t="s">
        <v>1187</v>
      </c>
      <c r="C776" s="381" t="s">
        <v>4293</v>
      </c>
      <c r="D776" s="380" t="s">
        <v>4294</v>
      </c>
      <c r="E776" s="382" t="s">
        <v>4295</v>
      </c>
      <c r="F776" s="282" t="s">
        <v>4296</v>
      </c>
      <c r="G776" s="282" t="s">
        <v>3176</v>
      </c>
      <c r="J776" s="282" t="s">
        <v>1550</v>
      </c>
    </row>
    <row r="777" spans="1:10" ht="14.4" hidden="1">
      <c r="A777" s="380" t="s">
        <v>1182</v>
      </c>
      <c r="B777" s="380" t="s">
        <v>1187</v>
      </c>
      <c r="C777" s="381" t="s">
        <v>4297</v>
      </c>
      <c r="D777" s="380" t="s">
        <v>4298</v>
      </c>
      <c r="E777" s="382" t="s">
        <v>4299</v>
      </c>
      <c r="F777" s="282" t="s">
        <v>4300</v>
      </c>
      <c r="G777" s="282" t="s">
        <v>3176</v>
      </c>
      <c r="J777" s="282" t="s">
        <v>1550</v>
      </c>
    </row>
    <row r="778" spans="1:10" ht="14.4" hidden="1">
      <c r="A778" s="380" t="s">
        <v>1182</v>
      </c>
      <c r="B778" s="380" t="s">
        <v>1187</v>
      </c>
      <c r="C778" s="381" t="s">
        <v>4301</v>
      </c>
      <c r="D778" s="380" t="s">
        <v>4302</v>
      </c>
      <c r="E778" s="382" t="s">
        <v>4303</v>
      </c>
      <c r="F778" s="282" t="s">
        <v>4304</v>
      </c>
      <c r="G778" s="282" t="s">
        <v>3176</v>
      </c>
      <c r="J778" s="282" t="s">
        <v>1550</v>
      </c>
    </row>
    <row r="779" spans="1:10" ht="14.4" hidden="1">
      <c r="A779" s="380" t="s">
        <v>1182</v>
      </c>
      <c r="B779" s="380" t="s">
        <v>1187</v>
      </c>
      <c r="C779" s="381" t="s">
        <v>4305</v>
      </c>
      <c r="D779" s="380" t="s">
        <v>4306</v>
      </c>
      <c r="E779" s="382" t="s">
        <v>4307</v>
      </c>
      <c r="F779" s="282" t="s">
        <v>4308</v>
      </c>
      <c r="G779" s="282" t="s">
        <v>3176</v>
      </c>
      <c r="J779" s="282" t="s">
        <v>1550</v>
      </c>
    </row>
    <row r="780" spans="1:10" ht="14.4" hidden="1">
      <c r="A780" s="380" t="s">
        <v>1182</v>
      </c>
      <c r="B780" s="380" t="s">
        <v>1187</v>
      </c>
      <c r="C780" s="381" t="s">
        <v>4309</v>
      </c>
      <c r="D780" s="380" t="s">
        <v>4310</v>
      </c>
      <c r="E780" s="382" t="s">
        <v>4311</v>
      </c>
      <c r="F780" s="282" t="s">
        <v>4312</v>
      </c>
      <c r="G780" s="282" t="s">
        <v>3176</v>
      </c>
      <c r="J780" s="282" t="s">
        <v>1550</v>
      </c>
    </row>
    <row r="781" spans="1:10" ht="14.4" hidden="1">
      <c r="A781" s="380" t="s">
        <v>1182</v>
      </c>
      <c r="B781" s="380" t="s">
        <v>1187</v>
      </c>
      <c r="C781" s="381" t="s">
        <v>4313</v>
      </c>
      <c r="D781" s="380" t="s">
        <v>4314</v>
      </c>
      <c r="E781" s="382" t="s">
        <v>4315</v>
      </c>
      <c r="F781" s="282" t="s">
        <v>4316</v>
      </c>
      <c r="G781" s="282" t="s">
        <v>3176</v>
      </c>
      <c r="J781" s="282" t="s">
        <v>1550</v>
      </c>
    </row>
    <row r="782" spans="1:10" ht="14.4" hidden="1">
      <c r="A782" s="380" t="s">
        <v>1182</v>
      </c>
      <c r="B782" s="380" t="s">
        <v>1187</v>
      </c>
      <c r="C782" s="381" t="s">
        <v>4317</v>
      </c>
      <c r="D782" s="380" t="s">
        <v>4318</v>
      </c>
      <c r="E782" s="382" t="s">
        <v>4319</v>
      </c>
      <c r="F782" s="282" t="s">
        <v>4320</v>
      </c>
      <c r="G782" s="282" t="s">
        <v>3176</v>
      </c>
      <c r="J782" s="282" t="s">
        <v>1550</v>
      </c>
    </row>
    <row r="783" spans="1:10" ht="14.4" hidden="1">
      <c r="A783" s="380" t="s">
        <v>1182</v>
      </c>
      <c r="B783" s="380" t="s">
        <v>1187</v>
      </c>
      <c r="C783" s="381" t="s">
        <v>4321</v>
      </c>
      <c r="D783" s="380" t="s">
        <v>4322</v>
      </c>
      <c r="E783" s="382" t="s">
        <v>4323</v>
      </c>
      <c r="F783" s="282" t="s">
        <v>4324</v>
      </c>
      <c r="G783" s="282" t="s">
        <v>3176</v>
      </c>
      <c r="J783" s="282" t="s">
        <v>1550</v>
      </c>
    </row>
    <row r="784" spans="1:10" ht="14.4" hidden="1">
      <c r="A784" s="380" t="s">
        <v>1182</v>
      </c>
      <c r="B784" s="380" t="s">
        <v>1187</v>
      </c>
      <c r="C784" s="381" t="s">
        <v>4325</v>
      </c>
      <c r="D784" s="380" t="s">
        <v>4326</v>
      </c>
      <c r="E784" s="382" t="s">
        <v>4327</v>
      </c>
      <c r="F784" s="282" t="s">
        <v>995</v>
      </c>
      <c r="G784" s="282" t="s">
        <v>3176</v>
      </c>
      <c r="J784" s="282" t="s">
        <v>1550</v>
      </c>
    </row>
    <row r="785" spans="1:10" ht="14.4" hidden="1">
      <c r="A785" s="380" t="s">
        <v>1182</v>
      </c>
      <c r="B785" s="380" t="s">
        <v>1187</v>
      </c>
      <c r="C785" s="381" t="s">
        <v>4328</v>
      </c>
      <c r="D785" s="380" t="s">
        <v>4329</v>
      </c>
      <c r="E785" s="382" t="s">
        <v>4330</v>
      </c>
      <c r="F785" s="282" t="s">
        <v>4331</v>
      </c>
      <c r="G785" s="282" t="s">
        <v>3176</v>
      </c>
      <c r="H785" s="282" t="s">
        <v>1548</v>
      </c>
      <c r="J785" s="282" t="s">
        <v>1550</v>
      </c>
    </row>
    <row r="786" spans="1:10" ht="14.4" hidden="1">
      <c r="A786" s="380" t="s">
        <v>1182</v>
      </c>
      <c r="B786" s="380" t="s">
        <v>1187</v>
      </c>
      <c r="C786" s="381" t="s">
        <v>4332</v>
      </c>
      <c r="D786" s="380" t="s">
        <v>4333</v>
      </c>
      <c r="E786" s="382" t="s">
        <v>4334</v>
      </c>
      <c r="F786" s="282" t="s">
        <v>4335</v>
      </c>
      <c r="G786" s="282" t="s">
        <v>3176</v>
      </c>
      <c r="H786" s="282" t="s">
        <v>1548</v>
      </c>
      <c r="J786" s="282" t="s">
        <v>1550</v>
      </c>
    </row>
    <row r="787" spans="1:10" ht="14.4" hidden="1">
      <c r="A787" s="380" t="s">
        <v>1182</v>
      </c>
      <c r="B787" s="380" t="s">
        <v>1187</v>
      </c>
      <c r="C787" s="381" t="s">
        <v>4336</v>
      </c>
      <c r="D787" s="380" t="s">
        <v>4337</v>
      </c>
      <c r="E787" s="382" t="s">
        <v>4338</v>
      </c>
      <c r="F787" s="282" t="s">
        <v>4339</v>
      </c>
      <c r="G787" s="282" t="s">
        <v>3176</v>
      </c>
      <c r="H787" s="282" t="s">
        <v>1548</v>
      </c>
      <c r="J787" s="282" t="s">
        <v>1550</v>
      </c>
    </row>
    <row r="788" spans="1:10" ht="14.4" hidden="1">
      <c r="A788" s="380" t="s">
        <v>1182</v>
      </c>
      <c r="B788" s="380" t="s">
        <v>1187</v>
      </c>
      <c r="C788" s="381" t="s">
        <v>4340</v>
      </c>
      <c r="D788" s="380" t="s">
        <v>4341</v>
      </c>
      <c r="E788" s="382" t="s">
        <v>4342</v>
      </c>
      <c r="F788" s="282" t="s">
        <v>4343</v>
      </c>
      <c r="G788" s="282" t="s">
        <v>3176</v>
      </c>
      <c r="H788" s="282" t="s">
        <v>1548</v>
      </c>
      <c r="J788" s="282" t="s">
        <v>1550</v>
      </c>
    </row>
    <row r="789" spans="1:10" ht="14.4" hidden="1">
      <c r="A789" s="380" t="s">
        <v>1182</v>
      </c>
      <c r="B789" s="380" t="s">
        <v>1187</v>
      </c>
      <c r="C789" s="381" t="s">
        <v>4344</v>
      </c>
      <c r="D789" s="380" t="s">
        <v>4345</v>
      </c>
      <c r="E789" s="382" t="s">
        <v>4346</v>
      </c>
      <c r="F789" s="282" t="s">
        <v>4347</v>
      </c>
      <c r="G789" s="282" t="s">
        <v>3176</v>
      </c>
      <c r="H789" s="282" t="s">
        <v>1548</v>
      </c>
      <c r="J789" s="282" t="s">
        <v>1550</v>
      </c>
    </row>
    <row r="790" spans="1:10" ht="14.4" hidden="1">
      <c r="A790" s="380" t="s">
        <v>1182</v>
      </c>
      <c r="B790" s="380" t="s">
        <v>1187</v>
      </c>
      <c r="C790" s="381" t="s">
        <v>4348</v>
      </c>
      <c r="D790" s="380" t="s">
        <v>4349</v>
      </c>
      <c r="E790" s="382" t="s">
        <v>4350</v>
      </c>
      <c r="F790" s="282" t="s">
        <v>4351</v>
      </c>
      <c r="G790" s="282" t="s">
        <v>3176</v>
      </c>
      <c r="H790" s="282" t="s">
        <v>1548</v>
      </c>
      <c r="I790" s="383" t="s">
        <v>4352</v>
      </c>
      <c r="J790" s="282" t="s">
        <v>1550</v>
      </c>
    </row>
    <row r="791" spans="1:10" ht="14.4" hidden="1">
      <c r="A791" s="380" t="s">
        <v>1182</v>
      </c>
      <c r="B791" s="380" t="s">
        <v>1187</v>
      </c>
      <c r="C791" s="381" t="s">
        <v>4353</v>
      </c>
      <c r="D791" s="380" t="s">
        <v>4354</v>
      </c>
      <c r="E791" s="382" t="s">
        <v>4355</v>
      </c>
      <c r="F791" s="282" t="s">
        <v>4356</v>
      </c>
      <c r="G791" s="282" t="s">
        <v>3176</v>
      </c>
      <c r="J791" s="282" t="s">
        <v>1550</v>
      </c>
    </row>
    <row r="792" spans="1:10" ht="14.4" hidden="1">
      <c r="A792" s="380" t="s">
        <v>1182</v>
      </c>
      <c r="B792" s="380" t="s">
        <v>1187</v>
      </c>
      <c r="C792" s="381" t="s">
        <v>4357</v>
      </c>
      <c r="D792" s="380" t="s">
        <v>4358</v>
      </c>
      <c r="E792" s="382" t="s">
        <v>4359</v>
      </c>
      <c r="F792" s="282" t="s">
        <v>4360</v>
      </c>
      <c r="G792" s="282" t="s">
        <v>3176</v>
      </c>
      <c r="J792" s="282" t="s">
        <v>1550</v>
      </c>
    </row>
    <row r="793" spans="1:10" ht="14.4" hidden="1">
      <c r="A793" s="380" t="s">
        <v>1182</v>
      </c>
      <c r="B793" s="380" t="s">
        <v>1187</v>
      </c>
      <c r="C793" s="381" t="s">
        <v>4361</v>
      </c>
      <c r="D793" s="380" t="s">
        <v>4362</v>
      </c>
      <c r="E793" s="382" t="s">
        <v>4363</v>
      </c>
      <c r="F793" s="282" t="s">
        <v>4364</v>
      </c>
      <c r="G793" s="282" t="s">
        <v>3176</v>
      </c>
      <c r="J793" s="282" t="s">
        <v>1550</v>
      </c>
    </row>
    <row r="794" spans="1:10" ht="14.4" hidden="1">
      <c r="A794" s="380" t="s">
        <v>1182</v>
      </c>
      <c r="B794" s="380" t="s">
        <v>1187</v>
      </c>
      <c r="C794" s="381" t="s">
        <v>4365</v>
      </c>
      <c r="D794" s="380" t="s">
        <v>4366</v>
      </c>
      <c r="E794" s="382" t="s">
        <v>4367</v>
      </c>
      <c r="F794" s="282" t="s">
        <v>4368</v>
      </c>
      <c r="G794" s="282" t="s">
        <v>3176</v>
      </c>
      <c r="J794" s="282" t="s">
        <v>1550</v>
      </c>
    </row>
    <row r="795" spans="1:10" ht="14.4" hidden="1">
      <c r="A795" s="380" t="s">
        <v>1182</v>
      </c>
      <c r="B795" s="380" t="s">
        <v>1187</v>
      </c>
      <c r="C795" s="381" t="s">
        <v>4369</v>
      </c>
      <c r="D795" s="380" t="s">
        <v>4370</v>
      </c>
      <c r="E795" s="382" t="s">
        <v>4371</v>
      </c>
      <c r="F795" s="282" t="s">
        <v>4372</v>
      </c>
      <c r="G795" s="282" t="s">
        <v>3176</v>
      </c>
      <c r="J795" s="282" t="s">
        <v>1550</v>
      </c>
    </row>
    <row r="796" spans="1:10" ht="14.4" hidden="1">
      <c r="A796" s="380" t="s">
        <v>1182</v>
      </c>
      <c r="B796" s="380" t="s">
        <v>1187</v>
      </c>
      <c r="C796" s="381" t="s">
        <v>4373</v>
      </c>
      <c r="D796" s="380" t="s">
        <v>4374</v>
      </c>
      <c r="E796" s="382" t="s">
        <v>4375</v>
      </c>
      <c r="F796" s="282" t="s">
        <v>4376</v>
      </c>
      <c r="G796" s="282" t="s">
        <v>3176</v>
      </c>
      <c r="J796" s="282" t="s">
        <v>1550</v>
      </c>
    </row>
    <row r="797" spans="1:10" ht="14.4" hidden="1">
      <c r="A797" s="380" t="s">
        <v>1182</v>
      </c>
      <c r="B797" s="380" t="s">
        <v>1187</v>
      </c>
      <c r="C797" s="381" t="s">
        <v>4377</v>
      </c>
      <c r="D797" s="380" t="s">
        <v>4378</v>
      </c>
      <c r="E797" s="382" t="s">
        <v>4379</v>
      </c>
      <c r="F797" s="282" t="s">
        <v>4380</v>
      </c>
      <c r="G797" s="282" t="s">
        <v>3176</v>
      </c>
      <c r="J797" s="282" t="s">
        <v>1550</v>
      </c>
    </row>
    <row r="798" spans="1:10" ht="14.4" hidden="1">
      <c r="A798" s="380" t="s">
        <v>1182</v>
      </c>
      <c r="B798" s="380" t="s">
        <v>1187</v>
      </c>
      <c r="C798" s="381" t="s">
        <v>4381</v>
      </c>
      <c r="D798" s="380" t="s">
        <v>4382</v>
      </c>
      <c r="E798" s="382" t="s">
        <v>4383</v>
      </c>
      <c r="F798" s="282" t="s">
        <v>4384</v>
      </c>
      <c r="G798" s="282" t="s">
        <v>3176</v>
      </c>
      <c r="J798" s="282" t="s">
        <v>1550</v>
      </c>
    </row>
    <row r="799" spans="1:10" ht="14.4" hidden="1">
      <c r="A799" s="380" t="s">
        <v>1182</v>
      </c>
      <c r="B799" s="380" t="s">
        <v>1187</v>
      </c>
      <c r="C799" s="381" t="s">
        <v>4385</v>
      </c>
      <c r="D799" s="380" t="s">
        <v>4386</v>
      </c>
      <c r="E799" s="387" t="s">
        <v>4387</v>
      </c>
      <c r="F799" s="388" t="s">
        <v>4388</v>
      </c>
      <c r="G799" s="388" t="s">
        <v>3176</v>
      </c>
      <c r="J799" s="282" t="s">
        <v>1550</v>
      </c>
    </row>
    <row r="800" spans="1:10" ht="14.4" hidden="1">
      <c r="A800" s="380" t="s">
        <v>1182</v>
      </c>
      <c r="B800" s="380" t="s">
        <v>1187</v>
      </c>
      <c r="C800" s="381" t="s">
        <v>4389</v>
      </c>
      <c r="D800" s="380" t="s">
        <v>4390</v>
      </c>
      <c r="E800" s="382" t="s">
        <v>4391</v>
      </c>
      <c r="F800" s="282" t="s">
        <v>4392</v>
      </c>
      <c r="G800" s="282" t="s">
        <v>3176</v>
      </c>
      <c r="J800" s="282" t="s">
        <v>1550</v>
      </c>
    </row>
    <row r="801" spans="1:10" ht="14.4" hidden="1">
      <c r="A801" s="380" t="s">
        <v>1182</v>
      </c>
      <c r="B801" s="380" t="s">
        <v>1187</v>
      </c>
      <c r="C801" s="381" t="s">
        <v>4393</v>
      </c>
      <c r="D801" s="380" t="s">
        <v>4394</v>
      </c>
      <c r="E801" s="382" t="s">
        <v>4395</v>
      </c>
      <c r="F801" s="282" t="s">
        <v>4396</v>
      </c>
      <c r="G801" s="282" t="s">
        <v>3176</v>
      </c>
      <c r="J801" s="282" t="s">
        <v>1550</v>
      </c>
    </row>
    <row r="802" spans="1:10" ht="14.4" hidden="1">
      <c r="A802" s="380" t="s">
        <v>1182</v>
      </c>
      <c r="B802" s="380" t="s">
        <v>1187</v>
      </c>
      <c r="C802" s="381" t="s">
        <v>4397</v>
      </c>
      <c r="D802" s="380" t="s">
        <v>4398</v>
      </c>
      <c r="E802" s="382" t="s">
        <v>4399</v>
      </c>
      <c r="F802" s="282" t="s">
        <v>4400</v>
      </c>
      <c r="G802" s="282" t="s">
        <v>3176</v>
      </c>
      <c r="J802" s="282" t="s">
        <v>1550</v>
      </c>
    </row>
    <row r="803" spans="1:10" ht="14.4" hidden="1">
      <c r="A803" s="380" t="s">
        <v>1182</v>
      </c>
      <c r="B803" s="380" t="s">
        <v>1187</v>
      </c>
      <c r="C803" s="381" t="s">
        <v>4401</v>
      </c>
      <c r="D803" s="380" t="s">
        <v>4402</v>
      </c>
      <c r="E803" s="382" t="s">
        <v>4403</v>
      </c>
      <c r="F803" s="282" t="s">
        <v>4404</v>
      </c>
      <c r="G803" s="282" t="s">
        <v>3176</v>
      </c>
      <c r="J803" s="282" t="s">
        <v>1550</v>
      </c>
    </row>
    <row r="804" spans="1:10" ht="14.4" hidden="1">
      <c r="A804" s="380" t="s">
        <v>1182</v>
      </c>
      <c r="B804" s="380" t="s">
        <v>1187</v>
      </c>
      <c r="C804" s="381" t="s">
        <v>4405</v>
      </c>
      <c r="D804" s="380" t="s">
        <v>4406</v>
      </c>
      <c r="E804" s="382" t="s">
        <v>4407</v>
      </c>
      <c r="F804" s="282" t="s">
        <v>4408</v>
      </c>
      <c r="G804" s="282" t="s">
        <v>3176</v>
      </c>
      <c r="J804" s="282" t="s">
        <v>1550</v>
      </c>
    </row>
    <row r="805" spans="1:10" ht="14.4" hidden="1">
      <c r="A805" s="380" t="s">
        <v>1182</v>
      </c>
      <c r="B805" s="380" t="s">
        <v>1187</v>
      </c>
      <c r="C805" s="381" t="s">
        <v>4409</v>
      </c>
      <c r="D805" s="380" t="s">
        <v>4410</v>
      </c>
      <c r="E805" s="382" t="s">
        <v>4411</v>
      </c>
      <c r="F805" s="282" t="s">
        <v>4412</v>
      </c>
      <c r="G805" s="282" t="s">
        <v>3176</v>
      </c>
      <c r="J805" s="282" t="s">
        <v>1550</v>
      </c>
    </row>
    <row r="806" spans="1:10" ht="14.4" hidden="1">
      <c r="A806" s="380" t="s">
        <v>1182</v>
      </c>
      <c r="B806" s="380" t="s">
        <v>1187</v>
      </c>
      <c r="C806" s="381" t="s">
        <v>4413</v>
      </c>
      <c r="D806" s="380" t="s">
        <v>4414</v>
      </c>
      <c r="E806" s="382" t="s">
        <v>4415</v>
      </c>
      <c r="F806" s="282" t="s">
        <v>4416</v>
      </c>
      <c r="G806" s="282" t="s">
        <v>3176</v>
      </c>
      <c r="J806" s="282" t="s">
        <v>1550</v>
      </c>
    </row>
    <row r="807" spans="1:10" ht="14.4" hidden="1">
      <c r="A807" s="380" t="s">
        <v>1182</v>
      </c>
      <c r="B807" s="380" t="s">
        <v>1187</v>
      </c>
      <c r="C807" s="381" t="s">
        <v>4417</v>
      </c>
      <c r="D807" s="380" t="s">
        <v>4418</v>
      </c>
      <c r="E807" s="382" t="s">
        <v>4419</v>
      </c>
      <c r="F807" s="282" t="s">
        <v>4420</v>
      </c>
      <c r="G807" s="282" t="s">
        <v>3176</v>
      </c>
      <c r="J807" s="282" t="s">
        <v>1550</v>
      </c>
    </row>
    <row r="808" spans="1:10" ht="14.4" hidden="1">
      <c r="A808" s="380" t="s">
        <v>1182</v>
      </c>
      <c r="B808" s="380" t="s">
        <v>1187</v>
      </c>
      <c r="C808" s="381" t="s">
        <v>4421</v>
      </c>
      <c r="D808" s="380" t="s">
        <v>4422</v>
      </c>
      <c r="E808" s="382" t="s">
        <v>4423</v>
      </c>
      <c r="F808" s="282" t="s">
        <v>4424</v>
      </c>
      <c r="G808" s="282" t="s">
        <v>3176</v>
      </c>
      <c r="J808" s="282" t="s">
        <v>1550</v>
      </c>
    </row>
    <row r="809" spans="1:10" ht="14.4" hidden="1">
      <c r="A809" s="380" t="s">
        <v>1182</v>
      </c>
      <c r="B809" s="380" t="s">
        <v>1187</v>
      </c>
      <c r="C809" s="381" t="s">
        <v>4425</v>
      </c>
      <c r="D809" s="380" t="s">
        <v>4426</v>
      </c>
      <c r="E809" s="382" t="s">
        <v>4427</v>
      </c>
      <c r="F809" s="282" t="s">
        <v>4428</v>
      </c>
      <c r="G809" s="282" t="s">
        <v>3176</v>
      </c>
      <c r="J809" s="282" t="s">
        <v>1550</v>
      </c>
    </row>
    <row r="810" spans="1:10" ht="14.4" hidden="1">
      <c r="A810" s="380" t="s">
        <v>1182</v>
      </c>
      <c r="B810" s="380" t="s">
        <v>1187</v>
      </c>
      <c r="C810" s="381" t="s">
        <v>4429</v>
      </c>
      <c r="D810" s="380" t="s">
        <v>4430</v>
      </c>
      <c r="E810" s="382" t="s">
        <v>4431</v>
      </c>
      <c r="F810" s="282" t="s">
        <v>4432</v>
      </c>
      <c r="G810" s="282" t="s">
        <v>3176</v>
      </c>
      <c r="J810" s="282" t="s">
        <v>1550</v>
      </c>
    </row>
    <row r="811" spans="1:10" ht="14.4" hidden="1">
      <c r="A811" s="380" t="s">
        <v>1182</v>
      </c>
      <c r="B811" s="380" t="s">
        <v>1187</v>
      </c>
      <c r="C811" s="381" t="s">
        <v>4433</v>
      </c>
      <c r="D811" s="380" t="s">
        <v>4434</v>
      </c>
      <c r="E811" s="382" t="s">
        <v>4435</v>
      </c>
      <c r="F811" s="282" t="s">
        <v>4436</v>
      </c>
      <c r="G811" s="282" t="s">
        <v>3176</v>
      </c>
      <c r="J811" s="282" t="s">
        <v>1550</v>
      </c>
    </row>
    <row r="812" spans="1:10" ht="14.4" hidden="1">
      <c r="A812" s="380" t="s">
        <v>1182</v>
      </c>
      <c r="B812" s="380" t="s">
        <v>1187</v>
      </c>
      <c r="C812" s="381" t="s">
        <v>4437</v>
      </c>
      <c r="D812" s="380" t="s">
        <v>4438</v>
      </c>
      <c r="E812" s="382" t="s">
        <v>4439</v>
      </c>
      <c r="F812" s="282" t="s">
        <v>4440</v>
      </c>
      <c r="G812" s="282" t="s">
        <v>3176</v>
      </c>
      <c r="J812" s="282" t="s">
        <v>1550</v>
      </c>
    </row>
    <row r="813" spans="1:10" ht="14.4" hidden="1">
      <c r="A813" s="380" t="s">
        <v>1182</v>
      </c>
      <c r="B813" s="380" t="s">
        <v>1187</v>
      </c>
      <c r="C813" s="381" t="s">
        <v>4441</v>
      </c>
      <c r="D813" s="380" t="s">
        <v>4442</v>
      </c>
      <c r="E813" s="382" t="s">
        <v>4443</v>
      </c>
      <c r="F813" s="282" t="s">
        <v>4444</v>
      </c>
      <c r="G813" s="282" t="s">
        <v>3176</v>
      </c>
      <c r="J813" s="282" t="s">
        <v>1550</v>
      </c>
    </row>
    <row r="814" spans="1:10" ht="14.4" hidden="1">
      <c r="A814" s="380" t="s">
        <v>1182</v>
      </c>
      <c r="B814" s="380" t="s">
        <v>1187</v>
      </c>
      <c r="C814" s="381" t="s">
        <v>4445</v>
      </c>
      <c r="D814" s="380" t="s">
        <v>4446</v>
      </c>
      <c r="E814" s="382" t="s">
        <v>4447</v>
      </c>
      <c r="F814" s="282" t="s">
        <v>4448</v>
      </c>
      <c r="G814" s="282" t="s">
        <v>3176</v>
      </c>
      <c r="J814" s="282" t="s">
        <v>1550</v>
      </c>
    </row>
    <row r="815" spans="1:10" ht="14.4" hidden="1">
      <c r="A815" s="380" t="s">
        <v>1182</v>
      </c>
      <c r="B815" s="380" t="s">
        <v>1187</v>
      </c>
      <c r="C815" s="381" t="s">
        <v>4449</v>
      </c>
      <c r="D815" s="380" t="s">
        <v>4450</v>
      </c>
      <c r="E815" s="382" t="s">
        <v>4451</v>
      </c>
      <c r="F815" s="282" t="s">
        <v>4452</v>
      </c>
      <c r="G815" s="282" t="s">
        <v>3176</v>
      </c>
      <c r="J815" s="282" t="s">
        <v>1550</v>
      </c>
    </row>
    <row r="816" spans="1:10" ht="14.4" hidden="1">
      <c r="A816" s="380" t="s">
        <v>1182</v>
      </c>
      <c r="B816" s="380" t="s">
        <v>1187</v>
      </c>
      <c r="C816" s="381" t="s">
        <v>4453</v>
      </c>
      <c r="D816" s="380" t="s">
        <v>4454</v>
      </c>
      <c r="E816" s="382" t="s">
        <v>4455</v>
      </c>
      <c r="F816" s="282" t="s">
        <v>4456</v>
      </c>
      <c r="G816" s="282" t="s">
        <v>3176</v>
      </c>
      <c r="J816" s="282" t="s">
        <v>1550</v>
      </c>
    </row>
    <row r="817" spans="1:10" ht="14.4" hidden="1">
      <c r="A817" s="380" t="s">
        <v>1182</v>
      </c>
      <c r="B817" s="380" t="s">
        <v>1187</v>
      </c>
      <c r="C817" s="381" t="s">
        <v>4457</v>
      </c>
      <c r="D817" s="380" t="s">
        <v>4458</v>
      </c>
      <c r="E817" s="382" t="s">
        <v>4459</v>
      </c>
      <c r="F817" s="282" t="s">
        <v>4460</v>
      </c>
      <c r="G817" s="282" t="s">
        <v>3176</v>
      </c>
      <c r="J817" s="282" t="s">
        <v>1550</v>
      </c>
    </row>
    <row r="818" spans="1:10" ht="14.4" hidden="1">
      <c r="A818" s="380" t="s">
        <v>1182</v>
      </c>
      <c r="B818" s="380" t="s">
        <v>1187</v>
      </c>
      <c r="C818" s="381" t="s">
        <v>4461</v>
      </c>
      <c r="D818" s="380" t="s">
        <v>4462</v>
      </c>
      <c r="E818" s="382" t="s">
        <v>4463</v>
      </c>
      <c r="F818" s="282" t="s">
        <v>4464</v>
      </c>
      <c r="G818" s="282" t="s">
        <v>3176</v>
      </c>
      <c r="J818" s="282" t="s">
        <v>1550</v>
      </c>
    </row>
    <row r="819" spans="1:10" ht="14.4" hidden="1">
      <c r="A819" s="380" t="s">
        <v>1182</v>
      </c>
      <c r="B819" s="380" t="s">
        <v>1187</v>
      </c>
      <c r="C819" s="381" t="s">
        <v>4465</v>
      </c>
      <c r="D819" s="380" t="s">
        <v>4466</v>
      </c>
      <c r="E819" s="382" t="s">
        <v>4467</v>
      </c>
      <c r="F819" s="282" t="s">
        <v>4468</v>
      </c>
      <c r="G819" s="282" t="s">
        <v>3176</v>
      </c>
      <c r="J819" s="282" t="s">
        <v>1550</v>
      </c>
    </row>
    <row r="820" spans="1:10" ht="14.4" hidden="1">
      <c r="A820" s="380" t="s">
        <v>1182</v>
      </c>
      <c r="B820" s="380" t="s">
        <v>1187</v>
      </c>
      <c r="C820" s="381" t="s">
        <v>4469</v>
      </c>
      <c r="D820" s="380" t="s">
        <v>4470</v>
      </c>
      <c r="E820" s="382" t="s">
        <v>4471</v>
      </c>
      <c r="F820" s="282" t="s">
        <v>4472</v>
      </c>
      <c r="G820" s="282" t="s">
        <v>3176</v>
      </c>
      <c r="J820" s="282" t="s">
        <v>1550</v>
      </c>
    </row>
    <row r="821" spans="1:10" ht="14.4" hidden="1">
      <c r="A821" s="380" t="s">
        <v>1182</v>
      </c>
      <c r="B821" s="380" t="s">
        <v>1187</v>
      </c>
      <c r="C821" s="381" t="s">
        <v>4473</v>
      </c>
      <c r="D821" s="380" t="s">
        <v>4474</v>
      </c>
      <c r="E821" s="382" t="s">
        <v>4475</v>
      </c>
      <c r="F821" s="282" t="s">
        <v>4476</v>
      </c>
      <c r="G821" s="282" t="s">
        <v>3176</v>
      </c>
      <c r="J821" s="282" t="s">
        <v>1550</v>
      </c>
    </row>
    <row r="822" spans="1:10" ht="14.4" hidden="1">
      <c r="A822" s="380" t="s">
        <v>1182</v>
      </c>
      <c r="B822" s="380" t="s">
        <v>1187</v>
      </c>
      <c r="C822" s="381" t="s">
        <v>4477</v>
      </c>
      <c r="D822" s="380" t="s">
        <v>4478</v>
      </c>
      <c r="E822" s="382" t="s">
        <v>4479</v>
      </c>
      <c r="F822" s="282" t="s">
        <v>4480</v>
      </c>
      <c r="G822" s="282" t="s">
        <v>3176</v>
      </c>
      <c r="J822" s="282" t="s">
        <v>1550</v>
      </c>
    </row>
    <row r="823" spans="1:10" ht="14.4" hidden="1">
      <c r="A823" s="380" t="s">
        <v>1182</v>
      </c>
      <c r="B823" s="380" t="s">
        <v>1187</v>
      </c>
      <c r="C823" s="381" t="s">
        <v>4481</v>
      </c>
      <c r="D823" s="380" t="s">
        <v>4482</v>
      </c>
      <c r="E823" s="382" t="s">
        <v>4483</v>
      </c>
      <c r="F823" s="282" t="s">
        <v>4484</v>
      </c>
      <c r="G823" s="282" t="s">
        <v>3176</v>
      </c>
      <c r="J823" s="282" t="s">
        <v>1550</v>
      </c>
    </row>
    <row r="824" spans="1:10" ht="14.4" hidden="1">
      <c r="A824" s="380" t="s">
        <v>1182</v>
      </c>
      <c r="B824" s="380" t="s">
        <v>1187</v>
      </c>
      <c r="C824" s="381" t="s">
        <v>4485</v>
      </c>
      <c r="D824" s="380" t="s">
        <v>4486</v>
      </c>
      <c r="E824" s="382" t="s">
        <v>4487</v>
      </c>
      <c r="F824" s="282" t="s">
        <v>4488</v>
      </c>
      <c r="G824" s="282" t="s">
        <v>3176</v>
      </c>
      <c r="J824" s="282" t="s">
        <v>1550</v>
      </c>
    </row>
    <row r="825" spans="1:10" ht="14.4" hidden="1">
      <c r="A825" s="380" t="s">
        <v>1182</v>
      </c>
      <c r="B825" s="380" t="s">
        <v>1187</v>
      </c>
      <c r="C825" s="381" t="s">
        <v>4489</v>
      </c>
      <c r="D825" s="380" t="s">
        <v>4490</v>
      </c>
      <c r="E825" s="382" t="s">
        <v>4491</v>
      </c>
      <c r="F825" s="282" t="s">
        <v>4492</v>
      </c>
      <c r="G825" s="282" t="s">
        <v>3176</v>
      </c>
      <c r="J825" s="282" t="s">
        <v>1550</v>
      </c>
    </row>
    <row r="826" spans="1:10" ht="14.4" hidden="1">
      <c r="A826" s="380" t="s">
        <v>1182</v>
      </c>
      <c r="B826" s="380" t="s">
        <v>1187</v>
      </c>
      <c r="C826" s="381" t="s">
        <v>4493</v>
      </c>
      <c r="D826" s="380" t="s">
        <v>4494</v>
      </c>
      <c r="E826" s="382" t="s">
        <v>4495</v>
      </c>
      <c r="F826" s="282" t="s">
        <v>4496</v>
      </c>
      <c r="G826" s="282" t="s">
        <v>3176</v>
      </c>
      <c r="J826" s="282" t="s">
        <v>1550</v>
      </c>
    </row>
    <row r="827" spans="1:10" ht="14.4" hidden="1">
      <c r="A827" s="380" t="s">
        <v>1182</v>
      </c>
      <c r="B827" s="380" t="s">
        <v>1187</v>
      </c>
      <c r="C827" s="381" t="s">
        <v>4497</v>
      </c>
      <c r="D827" s="380" t="s">
        <v>4498</v>
      </c>
      <c r="E827" s="382" t="s">
        <v>4499</v>
      </c>
      <c r="F827" s="282" t="s">
        <v>4500</v>
      </c>
      <c r="G827" s="282" t="s">
        <v>3176</v>
      </c>
      <c r="J827" s="282" t="s">
        <v>1550</v>
      </c>
    </row>
    <row r="828" spans="1:10" ht="14.4" hidden="1">
      <c r="A828" s="380" t="s">
        <v>1182</v>
      </c>
      <c r="B828" s="380" t="s">
        <v>1187</v>
      </c>
      <c r="C828" s="381" t="s">
        <v>4501</v>
      </c>
      <c r="D828" s="380" t="s">
        <v>4502</v>
      </c>
      <c r="E828" s="382" t="s">
        <v>4503</v>
      </c>
      <c r="F828" s="282" t="s">
        <v>4504</v>
      </c>
      <c r="G828" s="282" t="s">
        <v>3176</v>
      </c>
      <c r="J828" s="282" t="s">
        <v>1550</v>
      </c>
    </row>
    <row r="829" spans="1:10" ht="14.4" hidden="1">
      <c r="A829" s="380" t="s">
        <v>1182</v>
      </c>
      <c r="B829" s="380" t="s">
        <v>1187</v>
      </c>
      <c r="C829" s="381" t="s">
        <v>4505</v>
      </c>
      <c r="D829" s="380" t="s">
        <v>4506</v>
      </c>
      <c r="E829" s="382" t="s">
        <v>4507</v>
      </c>
      <c r="F829" s="282" t="s">
        <v>4508</v>
      </c>
      <c r="G829" s="282" t="s">
        <v>3176</v>
      </c>
      <c r="J829" s="282" t="s">
        <v>1550</v>
      </c>
    </row>
    <row r="830" spans="1:10" ht="14.4" hidden="1">
      <c r="A830" s="380" t="s">
        <v>1182</v>
      </c>
      <c r="B830" s="380" t="s">
        <v>1187</v>
      </c>
      <c r="C830" s="381" t="s">
        <v>4509</v>
      </c>
      <c r="D830" s="380" t="s">
        <v>4510</v>
      </c>
      <c r="E830" s="382" t="s">
        <v>4511</v>
      </c>
      <c r="F830" s="282" t="s">
        <v>4512</v>
      </c>
      <c r="G830" s="282" t="s">
        <v>3176</v>
      </c>
      <c r="J830" s="282" t="s">
        <v>1550</v>
      </c>
    </row>
    <row r="831" spans="1:10" ht="14.4" hidden="1">
      <c r="A831" s="380" t="s">
        <v>1182</v>
      </c>
      <c r="B831" s="380" t="s">
        <v>1187</v>
      </c>
      <c r="C831" s="381" t="s">
        <v>4513</v>
      </c>
      <c r="D831" s="380" t="s">
        <v>4514</v>
      </c>
      <c r="E831" s="382" t="s">
        <v>4515</v>
      </c>
      <c r="F831" s="282" t="s">
        <v>4516</v>
      </c>
      <c r="G831" s="282" t="s">
        <v>3176</v>
      </c>
      <c r="J831" s="282" t="s">
        <v>1550</v>
      </c>
    </row>
    <row r="832" spans="1:10" ht="14.4" hidden="1">
      <c r="A832" s="380" t="s">
        <v>1182</v>
      </c>
      <c r="B832" s="380" t="s">
        <v>1187</v>
      </c>
      <c r="C832" s="381" t="s">
        <v>4517</v>
      </c>
      <c r="D832" s="380" t="s">
        <v>4518</v>
      </c>
      <c r="E832" s="382" t="s">
        <v>4519</v>
      </c>
      <c r="F832" s="282" t="s">
        <v>4520</v>
      </c>
      <c r="G832" s="282" t="s">
        <v>3176</v>
      </c>
      <c r="J832" s="282" t="s">
        <v>1550</v>
      </c>
    </row>
    <row r="833" spans="1:10" ht="14.4" hidden="1">
      <c r="A833" s="380" t="s">
        <v>1182</v>
      </c>
      <c r="B833" s="380" t="s">
        <v>1187</v>
      </c>
      <c r="C833" s="381" t="s">
        <v>4521</v>
      </c>
      <c r="D833" s="380" t="s">
        <v>4522</v>
      </c>
      <c r="E833" s="382" t="s">
        <v>4523</v>
      </c>
      <c r="F833" s="282" t="s">
        <v>4524</v>
      </c>
      <c r="G833" s="282" t="s">
        <v>3176</v>
      </c>
      <c r="J833" s="282" t="s">
        <v>1550</v>
      </c>
    </row>
    <row r="834" spans="1:10" ht="14.4" hidden="1">
      <c r="A834" s="380" t="s">
        <v>1182</v>
      </c>
      <c r="B834" s="380" t="s">
        <v>1187</v>
      </c>
      <c r="C834" s="381" t="s">
        <v>4525</v>
      </c>
      <c r="D834" s="380" t="s">
        <v>4526</v>
      </c>
      <c r="E834" s="382" t="s">
        <v>4527</v>
      </c>
      <c r="F834" s="282" t="s">
        <v>4528</v>
      </c>
      <c r="G834" s="282" t="s">
        <v>3176</v>
      </c>
      <c r="J834" s="282" t="s">
        <v>1550</v>
      </c>
    </row>
    <row r="835" spans="1:10" ht="14.4" hidden="1">
      <c r="A835" s="380" t="s">
        <v>1182</v>
      </c>
      <c r="B835" s="380" t="s">
        <v>1187</v>
      </c>
      <c r="C835" s="381" t="s">
        <v>4529</v>
      </c>
      <c r="D835" s="380" t="s">
        <v>4530</v>
      </c>
      <c r="E835" s="382" t="s">
        <v>4531</v>
      </c>
      <c r="F835" s="282" t="s">
        <v>4532</v>
      </c>
      <c r="G835" s="282" t="s">
        <v>3176</v>
      </c>
      <c r="J835" s="282" t="s">
        <v>1550</v>
      </c>
    </row>
    <row r="836" spans="1:10" ht="14.4" hidden="1">
      <c r="A836" s="380" t="s">
        <v>1182</v>
      </c>
      <c r="B836" s="380" t="s">
        <v>1187</v>
      </c>
      <c r="C836" s="381" t="s">
        <v>4533</v>
      </c>
      <c r="D836" s="380" t="s">
        <v>4534</v>
      </c>
      <c r="E836" s="382" t="s">
        <v>4535</v>
      </c>
      <c r="F836" s="282" t="s">
        <v>4536</v>
      </c>
      <c r="G836" s="282" t="s">
        <v>3176</v>
      </c>
      <c r="J836" s="282" t="s">
        <v>1550</v>
      </c>
    </row>
    <row r="837" spans="1:10" ht="14.4" hidden="1">
      <c r="A837" s="380" t="s">
        <v>1182</v>
      </c>
      <c r="B837" s="380" t="s">
        <v>1187</v>
      </c>
      <c r="C837" s="381" t="s">
        <v>4537</v>
      </c>
      <c r="D837" s="380" t="s">
        <v>4538</v>
      </c>
      <c r="E837" s="382" t="s">
        <v>4539</v>
      </c>
      <c r="F837" s="282" t="s">
        <v>4540</v>
      </c>
      <c r="G837" s="282" t="s">
        <v>3176</v>
      </c>
      <c r="J837" s="282" t="s">
        <v>1550</v>
      </c>
    </row>
    <row r="838" spans="1:10" ht="14.4" hidden="1">
      <c r="A838" s="380" t="s">
        <v>1182</v>
      </c>
      <c r="B838" s="380" t="s">
        <v>1187</v>
      </c>
      <c r="C838" s="381" t="s">
        <v>4541</v>
      </c>
      <c r="D838" s="380" t="s">
        <v>4542</v>
      </c>
      <c r="E838" s="382" t="s">
        <v>4543</v>
      </c>
      <c r="F838" s="282" t="s">
        <v>4544</v>
      </c>
      <c r="G838" s="282" t="s">
        <v>3176</v>
      </c>
      <c r="J838" s="282" t="s">
        <v>1550</v>
      </c>
    </row>
    <row r="839" spans="1:10" ht="14.4" hidden="1">
      <c r="A839" s="380" t="s">
        <v>1182</v>
      </c>
      <c r="B839" s="380" t="s">
        <v>1187</v>
      </c>
      <c r="C839" s="381" t="s">
        <v>4545</v>
      </c>
      <c r="D839" s="380" t="s">
        <v>4546</v>
      </c>
      <c r="E839" s="382" t="s">
        <v>4547</v>
      </c>
      <c r="F839" s="282" t="s">
        <v>4548</v>
      </c>
      <c r="G839" s="282" t="s">
        <v>3176</v>
      </c>
      <c r="J839" s="282" t="s">
        <v>1550</v>
      </c>
    </row>
    <row r="840" spans="1:10" ht="14.4" hidden="1">
      <c r="A840" s="380" t="s">
        <v>1182</v>
      </c>
      <c r="B840" s="380" t="s">
        <v>1187</v>
      </c>
      <c r="C840" s="381" t="s">
        <v>4549</v>
      </c>
      <c r="D840" s="380" t="s">
        <v>4550</v>
      </c>
      <c r="E840" s="382" t="s">
        <v>4551</v>
      </c>
      <c r="F840" s="282" t="s">
        <v>4552</v>
      </c>
      <c r="G840" s="282" t="s">
        <v>3176</v>
      </c>
      <c r="J840" s="282" t="s">
        <v>1550</v>
      </c>
    </row>
    <row r="841" spans="1:10" ht="14.4" hidden="1">
      <c r="A841" s="380" t="s">
        <v>1182</v>
      </c>
      <c r="B841" s="380" t="s">
        <v>1187</v>
      </c>
      <c r="C841" s="381" t="s">
        <v>4553</v>
      </c>
      <c r="D841" s="380" t="s">
        <v>4554</v>
      </c>
      <c r="E841" s="382" t="s">
        <v>4555</v>
      </c>
      <c r="F841" s="282" t="s">
        <v>4556</v>
      </c>
      <c r="G841" s="282" t="s">
        <v>3176</v>
      </c>
      <c r="J841" s="282" t="s">
        <v>1550</v>
      </c>
    </row>
    <row r="842" spans="1:10" ht="14.4" hidden="1">
      <c r="A842" s="380" t="s">
        <v>1182</v>
      </c>
      <c r="B842" s="380" t="s">
        <v>1187</v>
      </c>
      <c r="C842" s="381" t="s">
        <v>4557</v>
      </c>
      <c r="D842" s="380" t="s">
        <v>4558</v>
      </c>
      <c r="E842" s="382" t="s">
        <v>4559</v>
      </c>
      <c r="F842" s="282" t="s">
        <v>4560</v>
      </c>
      <c r="G842" s="282" t="s">
        <v>3176</v>
      </c>
      <c r="J842" s="282" t="s">
        <v>1550</v>
      </c>
    </row>
    <row r="843" spans="1:10" ht="14.4" hidden="1">
      <c r="A843" s="380" t="s">
        <v>1182</v>
      </c>
      <c r="B843" s="380" t="s">
        <v>1187</v>
      </c>
      <c r="C843" s="381" t="s">
        <v>4561</v>
      </c>
      <c r="D843" s="380" t="s">
        <v>4562</v>
      </c>
      <c r="E843" s="382" t="s">
        <v>4563</v>
      </c>
      <c r="F843" s="282" t="s">
        <v>4564</v>
      </c>
      <c r="G843" s="282" t="s">
        <v>3176</v>
      </c>
      <c r="J843" s="282" t="s">
        <v>1550</v>
      </c>
    </row>
    <row r="844" spans="1:10" ht="14.4" hidden="1">
      <c r="A844" s="380" t="s">
        <v>1182</v>
      </c>
      <c r="B844" s="380" t="s">
        <v>1187</v>
      </c>
      <c r="C844" s="381" t="s">
        <v>4565</v>
      </c>
      <c r="D844" s="380" t="s">
        <v>4566</v>
      </c>
      <c r="E844" s="382" t="s">
        <v>4567</v>
      </c>
      <c r="F844" s="282" t="s">
        <v>4568</v>
      </c>
      <c r="G844" s="282" t="s">
        <v>3176</v>
      </c>
      <c r="J844" s="282" t="s">
        <v>1550</v>
      </c>
    </row>
    <row r="845" spans="1:10" ht="14.4" hidden="1">
      <c r="A845" s="380" t="s">
        <v>1182</v>
      </c>
      <c r="B845" s="380" t="s">
        <v>1187</v>
      </c>
      <c r="C845" s="381" t="s">
        <v>4569</v>
      </c>
      <c r="D845" s="380" t="s">
        <v>4570</v>
      </c>
      <c r="E845" s="382" t="s">
        <v>4571</v>
      </c>
      <c r="F845" s="282" t="s">
        <v>4572</v>
      </c>
      <c r="G845" s="282" t="s">
        <v>3176</v>
      </c>
      <c r="J845" s="282" t="s">
        <v>1550</v>
      </c>
    </row>
    <row r="846" spans="1:10" ht="14.4" hidden="1">
      <c r="A846" s="380" t="s">
        <v>1182</v>
      </c>
      <c r="B846" s="380" t="s">
        <v>1187</v>
      </c>
      <c r="C846" s="381" t="s">
        <v>4573</v>
      </c>
      <c r="D846" s="380" t="s">
        <v>4574</v>
      </c>
      <c r="E846" s="382" t="s">
        <v>4575</v>
      </c>
      <c r="F846" s="282" t="s">
        <v>4576</v>
      </c>
      <c r="G846" s="282" t="s">
        <v>3176</v>
      </c>
      <c r="J846" s="282" t="s">
        <v>1550</v>
      </c>
    </row>
    <row r="847" spans="1:10" ht="14.4" hidden="1">
      <c r="A847" s="380" t="s">
        <v>1182</v>
      </c>
      <c r="B847" s="380" t="s">
        <v>1187</v>
      </c>
      <c r="C847" s="381" t="s">
        <v>4577</v>
      </c>
      <c r="D847" s="380" t="s">
        <v>4578</v>
      </c>
      <c r="E847" s="382" t="s">
        <v>4579</v>
      </c>
      <c r="F847" s="282" t="s">
        <v>4580</v>
      </c>
      <c r="G847" s="282" t="s">
        <v>3176</v>
      </c>
      <c r="J847" s="282" t="s">
        <v>1550</v>
      </c>
    </row>
    <row r="848" spans="1:10" ht="14.4" hidden="1">
      <c r="A848" s="380" t="s">
        <v>1182</v>
      </c>
      <c r="B848" s="380" t="s">
        <v>1187</v>
      </c>
      <c r="C848" s="381" t="s">
        <v>4581</v>
      </c>
      <c r="D848" s="380" t="s">
        <v>4582</v>
      </c>
      <c r="E848" s="382" t="s">
        <v>4583</v>
      </c>
      <c r="F848" s="282" t="s">
        <v>4584</v>
      </c>
      <c r="G848" s="282" t="s">
        <v>3176</v>
      </c>
      <c r="J848" s="282" t="s">
        <v>1550</v>
      </c>
    </row>
    <row r="849" spans="1:10" ht="14.4" hidden="1">
      <c r="A849" s="380" t="s">
        <v>1182</v>
      </c>
      <c r="B849" s="380" t="s">
        <v>1187</v>
      </c>
      <c r="C849" s="381" t="s">
        <v>4585</v>
      </c>
      <c r="D849" s="380" t="s">
        <v>4586</v>
      </c>
      <c r="E849" s="382" t="s">
        <v>4587</v>
      </c>
      <c r="F849" s="282" t="s">
        <v>4588</v>
      </c>
      <c r="G849" s="282" t="s">
        <v>3176</v>
      </c>
      <c r="J849" s="282" t="s">
        <v>1550</v>
      </c>
    </row>
    <row r="850" spans="1:10" ht="14.4" hidden="1">
      <c r="A850" s="380" t="s">
        <v>1182</v>
      </c>
      <c r="B850" s="380" t="s">
        <v>1187</v>
      </c>
      <c r="C850" s="381" t="s">
        <v>4589</v>
      </c>
      <c r="D850" s="380" t="s">
        <v>4590</v>
      </c>
      <c r="E850" s="382" t="s">
        <v>4591</v>
      </c>
      <c r="F850" s="282" t="s">
        <v>4592</v>
      </c>
      <c r="G850" s="282" t="s">
        <v>3176</v>
      </c>
      <c r="J850" s="282" t="s">
        <v>1550</v>
      </c>
    </row>
    <row r="851" spans="1:10" ht="14.4" hidden="1">
      <c r="A851" s="380" t="s">
        <v>1182</v>
      </c>
      <c r="B851" s="380" t="s">
        <v>1187</v>
      </c>
      <c r="C851" s="381" t="s">
        <v>4593</v>
      </c>
      <c r="D851" s="380" t="s">
        <v>4594</v>
      </c>
      <c r="E851" s="382" t="s">
        <v>4595</v>
      </c>
      <c r="F851" s="282" t="s">
        <v>4596</v>
      </c>
      <c r="G851" s="282" t="s">
        <v>3176</v>
      </c>
      <c r="J851" s="282" t="s">
        <v>1550</v>
      </c>
    </row>
    <row r="852" spans="1:10" ht="14.4" hidden="1">
      <c r="A852" s="380" t="s">
        <v>1182</v>
      </c>
      <c r="B852" s="380" t="s">
        <v>1187</v>
      </c>
      <c r="C852" s="381" t="s">
        <v>4597</v>
      </c>
      <c r="D852" s="380" t="s">
        <v>4598</v>
      </c>
      <c r="E852" s="382" t="s">
        <v>4599</v>
      </c>
      <c r="F852" s="282" t="s">
        <v>4600</v>
      </c>
      <c r="G852" s="282" t="s">
        <v>3176</v>
      </c>
      <c r="J852" s="282" t="s">
        <v>1550</v>
      </c>
    </row>
    <row r="853" spans="1:10" ht="14.4" hidden="1">
      <c r="A853" s="380" t="s">
        <v>1182</v>
      </c>
      <c r="B853" s="380" t="s">
        <v>1187</v>
      </c>
      <c r="C853" s="381" t="s">
        <v>4601</v>
      </c>
      <c r="D853" s="380" t="s">
        <v>4602</v>
      </c>
      <c r="E853" s="382" t="s">
        <v>4603</v>
      </c>
      <c r="F853" s="282" t="s">
        <v>4604</v>
      </c>
      <c r="G853" s="282" t="s">
        <v>3176</v>
      </c>
      <c r="J853" s="282" t="s">
        <v>1550</v>
      </c>
    </row>
    <row r="854" spans="1:10" ht="14.4" hidden="1">
      <c r="A854" s="380" t="s">
        <v>1182</v>
      </c>
      <c r="B854" s="380" t="s">
        <v>1187</v>
      </c>
      <c r="C854" s="381" t="s">
        <v>4605</v>
      </c>
      <c r="D854" s="380" t="s">
        <v>4606</v>
      </c>
      <c r="E854" s="382" t="s">
        <v>4607</v>
      </c>
      <c r="F854" s="282" t="s">
        <v>4608</v>
      </c>
      <c r="G854" s="282" t="s">
        <v>3176</v>
      </c>
      <c r="J854" s="282" t="s">
        <v>1550</v>
      </c>
    </row>
    <row r="855" spans="1:10" ht="14.4" hidden="1">
      <c r="A855" s="380" t="s">
        <v>1182</v>
      </c>
      <c r="B855" s="380" t="s">
        <v>1187</v>
      </c>
      <c r="C855" s="381" t="s">
        <v>4609</v>
      </c>
      <c r="D855" s="380" t="s">
        <v>4610</v>
      </c>
      <c r="E855" s="382" t="s">
        <v>4611</v>
      </c>
      <c r="F855" s="282" t="s">
        <v>4612</v>
      </c>
      <c r="G855" s="282" t="s">
        <v>3176</v>
      </c>
      <c r="J855" s="282" t="s">
        <v>1550</v>
      </c>
    </row>
    <row r="856" spans="1:10" ht="14.4" hidden="1">
      <c r="A856" s="380" t="s">
        <v>1182</v>
      </c>
      <c r="B856" s="380" t="s">
        <v>1187</v>
      </c>
      <c r="C856" s="381" t="s">
        <v>4613</v>
      </c>
      <c r="D856" s="380" t="s">
        <v>4614</v>
      </c>
      <c r="E856" s="382" t="s">
        <v>4615</v>
      </c>
      <c r="F856" s="282" t="s">
        <v>4616</v>
      </c>
      <c r="G856" s="282" t="s">
        <v>3176</v>
      </c>
      <c r="J856" s="282" t="s">
        <v>1550</v>
      </c>
    </row>
    <row r="857" spans="1:10" ht="14.4" hidden="1">
      <c r="A857" s="380" t="s">
        <v>1182</v>
      </c>
      <c r="B857" s="380" t="s">
        <v>1187</v>
      </c>
      <c r="C857" s="381" t="s">
        <v>4617</v>
      </c>
      <c r="D857" s="380" t="s">
        <v>4618</v>
      </c>
      <c r="E857" s="382" t="s">
        <v>4619</v>
      </c>
      <c r="F857" s="282" t="s">
        <v>4620</v>
      </c>
      <c r="G857" s="282" t="s">
        <v>3176</v>
      </c>
      <c r="J857" s="282" t="s">
        <v>1550</v>
      </c>
    </row>
    <row r="858" spans="1:10" ht="14.4" hidden="1">
      <c r="A858" s="380" t="s">
        <v>1182</v>
      </c>
      <c r="B858" s="380" t="s">
        <v>1187</v>
      </c>
      <c r="C858" s="381" t="s">
        <v>4621</v>
      </c>
      <c r="D858" s="380" t="s">
        <v>4622</v>
      </c>
      <c r="E858" s="382" t="s">
        <v>4623</v>
      </c>
      <c r="F858" s="282" t="s">
        <v>4624</v>
      </c>
      <c r="G858" s="282" t="s">
        <v>3176</v>
      </c>
      <c r="H858" s="282" t="s">
        <v>1548</v>
      </c>
      <c r="J858" s="282" t="s">
        <v>1550</v>
      </c>
    </row>
    <row r="859" spans="1:10" ht="14.4" hidden="1">
      <c r="A859" s="380" t="s">
        <v>1182</v>
      </c>
      <c r="B859" s="380" t="s">
        <v>1187</v>
      </c>
      <c r="C859" s="381" t="s">
        <v>4625</v>
      </c>
      <c r="D859" s="380" t="s">
        <v>4626</v>
      </c>
      <c r="E859" s="382" t="s">
        <v>4627</v>
      </c>
      <c r="F859" s="282" t="s">
        <v>4628</v>
      </c>
      <c r="G859" s="282" t="s">
        <v>3176</v>
      </c>
      <c r="J859" s="282" t="s">
        <v>1550</v>
      </c>
    </row>
    <row r="860" spans="1:10" ht="14.4" hidden="1">
      <c r="A860" s="380" t="s">
        <v>1182</v>
      </c>
      <c r="B860" s="380" t="s">
        <v>1187</v>
      </c>
      <c r="C860" s="381" t="s">
        <v>4629</v>
      </c>
      <c r="D860" s="380" t="s">
        <v>4630</v>
      </c>
      <c r="E860" s="382" t="s">
        <v>4631</v>
      </c>
      <c r="F860" s="282" t="s">
        <v>4632</v>
      </c>
      <c r="G860" s="282" t="s">
        <v>3176</v>
      </c>
      <c r="J860" s="282" t="s">
        <v>1550</v>
      </c>
    </row>
    <row r="861" spans="1:10" ht="14.4" hidden="1">
      <c r="A861" s="380" t="s">
        <v>1182</v>
      </c>
      <c r="B861" s="380" t="s">
        <v>1187</v>
      </c>
      <c r="C861" s="381" t="s">
        <v>4633</v>
      </c>
      <c r="D861" s="380" t="s">
        <v>4634</v>
      </c>
      <c r="E861" s="382" t="s">
        <v>4635</v>
      </c>
      <c r="F861" s="282" t="s">
        <v>4636</v>
      </c>
      <c r="G861" s="282" t="s">
        <v>3176</v>
      </c>
      <c r="J861" s="282" t="s">
        <v>1550</v>
      </c>
    </row>
    <row r="862" spans="1:10" ht="14.4" hidden="1">
      <c r="A862" s="380" t="s">
        <v>1182</v>
      </c>
      <c r="B862" s="380" t="s">
        <v>1187</v>
      </c>
      <c r="C862" s="381" t="s">
        <v>4637</v>
      </c>
      <c r="D862" s="380" t="s">
        <v>4638</v>
      </c>
      <c r="E862" s="382" t="s">
        <v>4639</v>
      </c>
      <c r="F862" s="282" t="s">
        <v>4640</v>
      </c>
      <c r="G862" s="282" t="s">
        <v>3176</v>
      </c>
      <c r="J862" s="282" t="s">
        <v>1550</v>
      </c>
    </row>
    <row r="863" spans="1:10" ht="14.4" hidden="1">
      <c r="A863" s="380" t="s">
        <v>1182</v>
      </c>
      <c r="B863" s="380" t="s">
        <v>1187</v>
      </c>
      <c r="C863" s="381" t="s">
        <v>4641</v>
      </c>
      <c r="D863" s="380" t="s">
        <v>4642</v>
      </c>
      <c r="E863" s="382" t="s">
        <v>4643</v>
      </c>
      <c r="F863" s="282" t="s">
        <v>4644</v>
      </c>
      <c r="G863" s="282" t="s">
        <v>3176</v>
      </c>
      <c r="J863" s="282" t="s">
        <v>1550</v>
      </c>
    </row>
    <row r="864" spans="1:10" ht="14.4" hidden="1">
      <c r="A864" s="380" t="s">
        <v>1182</v>
      </c>
      <c r="B864" s="380" t="s">
        <v>1187</v>
      </c>
      <c r="C864" s="381" t="s">
        <v>4645</v>
      </c>
      <c r="D864" s="380" t="s">
        <v>4646</v>
      </c>
      <c r="E864" s="382" t="s">
        <v>4647</v>
      </c>
      <c r="F864" s="282" t="s">
        <v>4648</v>
      </c>
      <c r="G864" s="282" t="s">
        <v>3176</v>
      </c>
      <c r="J864" s="282" t="s">
        <v>1550</v>
      </c>
    </row>
    <row r="865" spans="1:10" ht="14.4" hidden="1">
      <c r="A865" s="380" t="s">
        <v>1182</v>
      </c>
      <c r="B865" s="380" t="s">
        <v>1187</v>
      </c>
      <c r="C865" s="381" t="s">
        <v>4649</v>
      </c>
      <c r="D865" s="380" t="s">
        <v>4650</v>
      </c>
      <c r="E865" s="382" t="s">
        <v>4651</v>
      </c>
      <c r="F865" s="282" t="s">
        <v>4652</v>
      </c>
      <c r="G865" s="282" t="s">
        <v>3176</v>
      </c>
      <c r="J865" s="282" t="s">
        <v>1550</v>
      </c>
    </row>
    <row r="866" spans="1:10" ht="14.4" hidden="1">
      <c r="A866" s="380" t="s">
        <v>1182</v>
      </c>
      <c r="B866" s="380" t="s">
        <v>1187</v>
      </c>
      <c r="C866" s="381" t="s">
        <v>4653</v>
      </c>
      <c r="D866" s="380" t="s">
        <v>4654</v>
      </c>
      <c r="E866" s="382" t="s">
        <v>4655</v>
      </c>
      <c r="F866" s="282" t="s">
        <v>4656</v>
      </c>
      <c r="G866" s="282" t="s">
        <v>3176</v>
      </c>
      <c r="J866" s="282" t="s">
        <v>1550</v>
      </c>
    </row>
    <row r="867" spans="1:10" ht="14.4" hidden="1">
      <c r="A867" s="380" t="s">
        <v>1182</v>
      </c>
      <c r="B867" s="380" t="s">
        <v>1187</v>
      </c>
      <c r="C867" s="381" t="s">
        <v>4657</v>
      </c>
      <c r="D867" s="380" t="s">
        <v>4658</v>
      </c>
      <c r="E867" s="382" t="s">
        <v>4659</v>
      </c>
      <c r="F867" s="282" t="s">
        <v>4660</v>
      </c>
      <c r="G867" s="282" t="s">
        <v>3176</v>
      </c>
      <c r="J867" s="282" t="s">
        <v>1550</v>
      </c>
    </row>
    <row r="868" spans="1:10" ht="14.4" hidden="1">
      <c r="A868" s="380" t="s">
        <v>1182</v>
      </c>
      <c r="B868" s="380" t="s">
        <v>1187</v>
      </c>
      <c r="C868" s="381" t="s">
        <v>4661</v>
      </c>
      <c r="D868" s="380" t="s">
        <v>4662</v>
      </c>
      <c r="E868" s="382" t="s">
        <v>4663</v>
      </c>
      <c r="F868" s="282" t="s">
        <v>4664</v>
      </c>
      <c r="G868" s="282" t="s">
        <v>3176</v>
      </c>
      <c r="J868" s="282" t="s">
        <v>1550</v>
      </c>
    </row>
    <row r="869" spans="1:10" ht="14.4" hidden="1">
      <c r="A869" s="380" t="s">
        <v>1182</v>
      </c>
      <c r="B869" s="380" t="s">
        <v>1187</v>
      </c>
      <c r="C869" s="381" t="s">
        <v>4665</v>
      </c>
      <c r="D869" s="380" t="s">
        <v>4666</v>
      </c>
      <c r="E869" s="382" t="s">
        <v>4667</v>
      </c>
      <c r="F869" s="282" t="s">
        <v>4668</v>
      </c>
      <c r="G869" s="282" t="s">
        <v>3176</v>
      </c>
      <c r="H869" s="282" t="s">
        <v>1548</v>
      </c>
      <c r="I869" s="383" t="s">
        <v>4669</v>
      </c>
      <c r="J869" s="282" t="s">
        <v>1550</v>
      </c>
    </row>
    <row r="870" spans="1:10" ht="14.4" hidden="1">
      <c r="A870" s="380" t="s">
        <v>1182</v>
      </c>
      <c r="B870" s="380" t="s">
        <v>1187</v>
      </c>
      <c r="C870" s="381" t="s">
        <v>4670</v>
      </c>
      <c r="D870" s="380" t="s">
        <v>4671</v>
      </c>
      <c r="E870" s="382" t="s">
        <v>4672</v>
      </c>
      <c r="F870" s="282" t="s">
        <v>4673</v>
      </c>
      <c r="G870" s="282" t="s">
        <v>3176</v>
      </c>
      <c r="J870" s="282" t="s">
        <v>1550</v>
      </c>
    </row>
    <row r="871" spans="1:10" ht="14.4" hidden="1">
      <c r="A871" s="380" t="s">
        <v>1182</v>
      </c>
      <c r="B871" s="380" t="s">
        <v>1187</v>
      </c>
      <c r="C871" s="381" t="s">
        <v>4674</v>
      </c>
      <c r="D871" s="380" t="s">
        <v>4675</v>
      </c>
      <c r="E871" s="382" t="s">
        <v>4676</v>
      </c>
      <c r="F871" s="282" t="s">
        <v>4677</v>
      </c>
      <c r="G871" s="282" t="s">
        <v>3176</v>
      </c>
      <c r="J871" s="282" t="s">
        <v>1550</v>
      </c>
    </row>
    <row r="872" spans="1:10" ht="14.4" hidden="1">
      <c r="A872" s="380" t="s">
        <v>1182</v>
      </c>
      <c r="B872" s="380" t="s">
        <v>1187</v>
      </c>
      <c r="C872" s="381" t="s">
        <v>4678</v>
      </c>
      <c r="D872" s="380" t="s">
        <v>4679</v>
      </c>
      <c r="E872" s="382" t="s">
        <v>4680</v>
      </c>
      <c r="F872" s="282" t="s">
        <v>4681</v>
      </c>
      <c r="G872" s="282" t="s">
        <v>3176</v>
      </c>
      <c r="J872" s="282" t="s">
        <v>1550</v>
      </c>
    </row>
    <row r="873" spans="1:10" ht="14.4" hidden="1">
      <c r="A873" s="380" t="s">
        <v>1182</v>
      </c>
      <c r="B873" s="380" t="s">
        <v>1187</v>
      </c>
      <c r="C873" s="381" t="s">
        <v>4682</v>
      </c>
      <c r="D873" s="380" t="s">
        <v>4683</v>
      </c>
      <c r="E873" s="382" t="s">
        <v>4684</v>
      </c>
      <c r="F873" s="282" t="s">
        <v>4685</v>
      </c>
      <c r="G873" s="282" t="s">
        <v>3176</v>
      </c>
      <c r="J873" s="282" t="s">
        <v>1550</v>
      </c>
    </row>
    <row r="874" spans="1:10" ht="14.4" hidden="1">
      <c r="A874" s="380" t="s">
        <v>1182</v>
      </c>
      <c r="B874" s="380" t="s">
        <v>1187</v>
      </c>
      <c r="C874" s="381" t="s">
        <v>4686</v>
      </c>
      <c r="D874" s="380" t="s">
        <v>4687</v>
      </c>
      <c r="E874" s="382" t="s">
        <v>4688</v>
      </c>
      <c r="F874" s="282" t="s">
        <v>4689</v>
      </c>
      <c r="G874" s="282" t="s">
        <v>3176</v>
      </c>
      <c r="J874" s="282" t="s">
        <v>1550</v>
      </c>
    </row>
    <row r="875" spans="1:10" ht="14.4" hidden="1">
      <c r="A875" s="380" t="s">
        <v>1182</v>
      </c>
      <c r="B875" s="380" t="s">
        <v>1187</v>
      </c>
      <c r="C875" s="381" t="s">
        <v>4690</v>
      </c>
      <c r="D875" s="380" t="s">
        <v>4691</v>
      </c>
      <c r="E875" s="382" t="s">
        <v>4692</v>
      </c>
      <c r="F875" s="282" t="s">
        <v>4693</v>
      </c>
      <c r="G875" s="282" t="s">
        <v>3176</v>
      </c>
      <c r="J875" s="282" t="s">
        <v>1550</v>
      </c>
    </row>
    <row r="876" spans="1:10" ht="14.4" hidden="1">
      <c r="A876" s="380" t="s">
        <v>1182</v>
      </c>
      <c r="B876" s="380" t="s">
        <v>1187</v>
      </c>
      <c r="C876" s="381" t="s">
        <v>4694</v>
      </c>
      <c r="D876" s="380" t="s">
        <v>4695</v>
      </c>
      <c r="E876" s="382" t="s">
        <v>4696</v>
      </c>
      <c r="F876" s="282" t="s">
        <v>4697</v>
      </c>
      <c r="G876" s="282" t="s">
        <v>3176</v>
      </c>
      <c r="J876" s="282" t="s">
        <v>1550</v>
      </c>
    </row>
    <row r="877" spans="1:10" ht="14.4" hidden="1">
      <c r="A877" s="380" t="s">
        <v>1182</v>
      </c>
      <c r="B877" s="380" t="s">
        <v>1187</v>
      </c>
      <c r="C877" s="381" t="s">
        <v>4698</v>
      </c>
      <c r="D877" s="380" t="s">
        <v>4699</v>
      </c>
      <c r="E877" s="382" t="s">
        <v>4700</v>
      </c>
      <c r="F877" s="282" t="s">
        <v>4701</v>
      </c>
      <c r="G877" s="282" t="s">
        <v>3176</v>
      </c>
      <c r="J877" s="282" t="s">
        <v>1550</v>
      </c>
    </row>
    <row r="878" spans="1:10" ht="14.4" hidden="1">
      <c r="A878" s="380" t="s">
        <v>1182</v>
      </c>
      <c r="B878" s="380" t="s">
        <v>1187</v>
      </c>
      <c r="C878" s="381" t="s">
        <v>4702</v>
      </c>
      <c r="D878" s="380" t="s">
        <v>4703</v>
      </c>
      <c r="E878" s="382" t="s">
        <v>4704</v>
      </c>
      <c r="F878" s="282" t="s">
        <v>4705</v>
      </c>
      <c r="G878" s="282" t="s">
        <v>3176</v>
      </c>
      <c r="J878" s="282" t="s">
        <v>1550</v>
      </c>
    </row>
    <row r="879" spans="1:10" ht="14.4" hidden="1">
      <c r="A879" s="380" t="s">
        <v>1182</v>
      </c>
      <c r="B879" s="380" t="s">
        <v>1187</v>
      </c>
      <c r="C879" s="381" t="s">
        <v>4706</v>
      </c>
      <c r="D879" s="380" t="s">
        <v>4707</v>
      </c>
      <c r="E879" s="382" t="s">
        <v>4708</v>
      </c>
      <c r="F879" s="282" t="s">
        <v>4709</v>
      </c>
      <c r="G879" s="282" t="s">
        <v>3176</v>
      </c>
      <c r="J879" s="282" t="s">
        <v>1550</v>
      </c>
    </row>
    <row r="880" spans="1:10" ht="14.4" hidden="1">
      <c r="A880" s="380" t="s">
        <v>1182</v>
      </c>
      <c r="B880" s="380" t="s">
        <v>1187</v>
      </c>
      <c r="C880" s="381" t="s">
        <v>4710</v>
      </c>
      <c r="D880" s="380" t="s">
        <v>4711</v>
      </c>
      <c r="E880" s="382" t="s">
        <v>4712</v>
      </c>
      <c r="F880" s="282" t="s">
        <v>4713</v>
      </c>
      <c r="G880" s="282" t="s">
        <v>3176</v>
      </c>
      <c r="J880" s="282" t="s">
        <v>1550</v>
      </c>
    </row>
    <row r="881" spans="1:10" ht="14.4" hidden="1">
      <c r="A881" s="380" t="s">
        <v>1182</v>
      </c>
      <c r="B881" s="380" t="s">
        <v>1187</v>
      </c>
      <c r="C881" s="381" t="s">
        <v>4714</v>
      </c>
      <c r="D881" s="380" t="s">
        <v>4715</v>
      </c>
      <c r="E881" s="382" t="s">
        <v>4716</v>
      </c>
      <c r="F881" s="282" t="s">
        <v>4717</v>
      </c>
      <c r="G881" s="282" t="s">
        <v>3176</v>
      </c>
      <c r="J881" s="282" t="s">
        <v>1550</v>
      </c>
    </row>
    <row r="882" spans="1:10" ht="14.4" hidden="1">
      <c r="A882" s="380" t="s">
        <v>1182</v>
      </c>
      <c r="B882" s="380" t="s">
        <v>1187</v>
      </c>
      <c r="C882" s="381" t="s">
        <v>4718</v>
      </c>
      <c r="D882" s="380" t="s">
        <v>4719</v>
      </c>
      <c r="E882" s="382" t="s">
        <v>4720</v>
      </c>
      <c r="F882" s="282" t="s">
        <v>4721</v>
      </c>
      <c r="G882" s="282" t="s">
        <v>3176</v>
      </c>
      <c r="J882" s="282" t="s">
        <v>1550</v>
      </c>
    </row>
    <row r="883" spans="1:10" ht="14.4" hidden="1">
      <c r="A883" s="380" t="s">
        <v>1182</v>
      </c>
      <c r="B883" s="380" t="s">
        <v>1187</v>
      </c>
      <c r="C883" s="381" t="s">
        <v>4722</v>
      </c>
      <c r="D883" s="380" t="s">
        <v>4723</v>
      </c>
      <c r="E883" s="382" t="s">
        <v>4724</v>
      </c>
      <c r="F883" s="282" t="s">
        <v>4725</v>
      </c>
      <c r="G883" s="282" t="s">
        <v>3176</v>
      </c>
      <c r="J883" s="282" t="s">
        <v>1550</v>
      </c>
    </row>
    <row r="884" spans="1:10" ht="14.4" hidden="1">
      <c r="A884" s="380" t="s">
        <v>1182</v>
      </c>
      <c r="B884" s="380" t="s">
        <v>1187</v>
      </c>
      <c r="C884" s="381" t="s">
        <v>4726</v>
      </c>
      <c r="D884" s="380" t="s">
        <v>4727</v>
      </c>
      <c r="E884" s="382" t="s">
        <v>4728</v>
      </c>
      <c r="F884" s="282" t="s">
        <v>4729</v>
      </c>
      <c r="G884" s="282" t="s">
        <v>3176</v>
      </c>
      <c r="J884" s="282" t="s">
        <v>1550</v>
      </c>
    </row>
    <row r="885" spans="1:10" ht="14.4" hidden="1">
      <c r="A885" s="380" t="s">
        <v>1182</v>
      </c>
      <c r="B885" s="380" t="s">
        <v>1187</v>
      </c>
      <c r="C885" s="381" t="s">
        <v>4730</v>
      </c>
      <c r="D885" s="380" t="s">
        <v>4731</v>
      </c>
      <c r="E885" s="382" t="s">
        <v>4732</v>
      </c>
      <c r="F885" s="282" t="s">
        <v>4733</v>
      </c>
      <c r="G885" s="282" t="s">
        <v>3176</v>
      </c>
      <c r="J885" s="282" t="s">
        <v>1550</v>
      </c>
    </row>
    <row r="886" spans="1:10" ht="14.4" hidden="1">
      <c r="A886" s="380" t="s">
        <v>1182</v>
      </c>
      <c r="B886" s="380" t="s">
        <v>1187</v>
      </c>
      <c r="C886" s="381" t="s">
        <v>4734</v>
      </c>
      <c r="D886" s="380" t="s">
        <v>4735</v>
      </c>
      <c r="E886" s="382" t="s">
        <v>4736</v>
      </c>
      <c r="F886" s="282" t="s">
        <v>4737</v>
      </c>
      <c r="G886" s="282" t="s">
        <v>3176</v>
      </c>
      <c r="J886" s="282" t="s">
        <v>1550</v>
      </c>
    </row>
    <row r="887" spans="1:10" ht="14.4" hidden="1">
      <c r="A887" s="380" t="s">
        <v>1182</v>
      </c>
      <c r="B887" s="380" t="s">
        <v>1187</v>
      </c>
      <c r="C887" s="381" t="s">
        <v>4738</v>
      </c>
      <c r="D887" s="380" t="s">
        <v>4739</v>
      </c>
      <c r="E887" s="382" t="s">
        <v>4740</v>
      </c>
      <c r="F887" s="282" t="s">
        <v>4741</v>
      </c>
      <c r="G887" s="282" t="s">
        <v>3176</v>
      </c>
      <c r="J887" s="282" t="s">
        <v>1550</v>
      </c>
    </row>
    <row r="888" spans="1:10" ht="14.4" hidden="1">
      <c r="A888" s="380" t="s">
        <v>1182</v>
      </c>
      <c r="B888" s="380" t="s">
        <v>1187</v>
      </c>
      <c r="C888" s="381" t="s">
        <v>4742</v>
      </c>
      <c r="D888" s="380" t="s">
        <v>4743</v>
      </c>
      <c r="E888" s="382" t="s">
        <v>4744</v>
      </c>
      <c r="F888" s="282" t="s">
        <v>4745</v>
      </c>
      <c r="G888" s="282" t="s">
        <v>3176</v>
      </c>
      <c r="J888" s="282" t="s">
        <v>1550</v>
      </c>
    </row>
    <row r="889" spans="1:10" ht="14.4" hidden="1">
      <c r="A889" s="380" t="s">
        <v>1182</v>
      </c>
      <c r="B889" s="380" t="s">
        <v>1187</v>
      </c>
      <c r="C889" s="381" t="s">
        <v>4746</v>
      </c>
      <c r="D889" s="380" t="s">
        <v>4747</v>
      </c>
      <c r="E889" s="382" t="s">
        <v>4748</v>
      </c>
      <c r="F889" s="282" t="s">
        <v>4749</v>
      </c>
      <c r="G889" s="282" t="s">
        <v>3176</v>
      </c>
      <c r="J889" s="282" t="s">
        <v>1550</v>
      </c>
    </row>
    <row r="890" spans="1:10" ht="14.4" hidden="1">
      <c r="A890" s="380" t="s">
        <v>1182</v>
      </c>
      <c r="B890" s="380" t="s">
        <v>1187</v>
      </c>
      <c r="C890" s="381" t="s">
        <v>4750</v>
      </c>
      <c r="D890" s="380" t="s">
        <v>4751</v>
      </c>
      <c r="E890" s="382" t="s">
        <v>4752</v>
      </c>
      <c r="F890" s="282" t="s">
        <v>4753</v>
      </c>
      <c r="G890" s="282" t="s">
        <v>3176</v>
      </c>
      <c r="J890" s="282" t="s">
        <v>1550</v>
      </c>
    </row>
    <row r="891" spans="1:10" ht="14.4" hidden="1">
      <c r="A891" s="380" t="s">
        <v>1182</v>
      </c>
      <c r="B891" s="380" t="s">
        <v>1187</v>
      </c>
      <c r="C891" s="381" t="s">
        <v>4754</v>
      </c>
      <c r="D891" s="380" t="s">
        <v>4755</v>
      </c>
      <c r="E891" s="382" t="s">
        <v>4756</v>
      </c>
      <c r="F891" s="282" t="s">
        <v>4757</v>
      </c>
      <c r="G891" s="282" t="s">
        <v>3176</v>
      </c>
      <c r="J891" s="282" t="s">
        <v>1550</v>
      </c>
    </row>
    <row r="892" spans="1:10" ht="14.4" hidden="1">
      <c r="A892" s="380" t="s">
        <v>1182</v>
      </c>
      <c r="B892" s="380" t="s">
        <v>1187</v>
      </c>
      <c r="C892" s="381" t="s">
        <v>4758</v>
      </c>
      <c r="D892" s="380" t="s">
        <v>4759</v>
      </c>
      <c r="E892" s="382" t="s">
        <v>4760</v>
      </c>
      <c r="F892" s="282" t="s">
        <v>4761</v>
      </c>
      <c r="G892" s="282" t="s">
        <v>3176</v>
      </c>
      <c r="J892" s="282" t="s">
        <v>1550</v>
      </c>
    </row>
    <row r="893" spans="1:10" ht="14.4" hidden="1">
      <c r="A893" s="380" t="s">
        <v>1182</v>
      </c>
      <c r="B893" s="380" t="s">
        <v>1187</v>
      </c>
      <c r="C893" s="381" t="s">
        <v>4762</v>
      </c>
      <c r="D893" s="380" t="s">
        <v>4763</v>
      </c>
      <c r="E893" s="382" t="s">
        <v>4764</v>
      </c>
      <c r="F893" s="282" t="s">
        <v>4765</v>
      </c>
      <c r="G893" s="282" t="s">
        <v>3176</v>
      </c>
      <c r="J893" s="282" t="s">
        <v>1550</v>
      </c>
    </row>
    <row r="894" spans="1:10" ht="14.4" hidden="1">
      <c r="A894" s="380" t="s">
        <v>1182</v>
      </c>
      <c r="B894" s="380" t="s">
        <v>1187</v>
      </c>
      <c r="C894" s="381" t="s">
        <v>4766</v>
      </c>
      <c r="D894" s="380" t="s">
        <v>4767</v>
      </c>
      <c r="E894" s="382" t="s">
        <v>4768</v>
      </c>
      <c r="F894" s="282" t="s">
        <v>4769</v>
      </c>
      <c r="G894" s="282" t="s">
        <v>3176</v>
      </c>
      <c r="J894" s="282" t="s">
        <v>1550</v>
      </c>
    </row>
    <row r="895" spans="1:10" ht="14.4" hidden="1">
      <c r="A895" s="380" t="s">
        <v>1182</v>
      </c>
      <c r="B895" s="380" t="s">
        <v>1187</v>
      </c>
      <c r="C895" s="381" t="s">
        <v>4770</v>
      </c>
      <c r="D895" s="380" t="s">
        <v>4771</v>
      </c>
      <c r="E895" s="382" t="s">
        <v>4772</v>
      </c>
      <c r="F895" s="282" t="s">
        <v>4773</v>
      </c>
      <c r="G895" s="282" t="s">
        <v>3176</v>
      </c>
      <c r="J895" s="282" t="s">
        <v>1550</v>
      </c>
    </row>
    <row r="896" spans="1:10" ht="14.4" hidden="1">
      <c r="A896" s="380" t="s">
        <v>1182</v>
      </c>
      <c r="B896" s="380" t="s">
        <v>1187</v>
      </c>
      <c r="C896" s="381" t="s">
        <v>4774</v>
      </c>
      <c r="D896" s="380" t="s">
        <v>4775</v>
      </c>
      <c r="E896" s="382" t="s">
        <v>4776</v>
      </c>
      <c r="F896" s="282" t="s">
        <v>4777</v>
      </c>
      <c r="G896" s="282" t="s">
        <v>3176</v>
      </c>
      <c r="J896" s="282" t="s">
        <v>1550</v>
      </c>
    </row>
    <row r="897" spans="1:10" ht="14.4" hidden="1">
      <c r="A897" s="380" t="s">
        <v>1182</v>
      </c>
      <c r="B897" s="380" t="s">
        <v>1187</v>
      </c>
      <c r="C897" s="381" t="s">
        <v>4778</v>
      </c>
      <c r="D897" s="380" t="s">
        <v>4779</v>
      </c>
      <c r="E897" s="382" t="s">
        <v>4780</v>
      </c>
      <c r="F897" s="282" t="s">
        <v>4781</v>
      </c>
      <c r="G897" s="282" t="s">
        <v>3176</v>
      </c>
      <c r="J897" s="282" t="s">
        <v>1550</v>
      </c>
    </row>
    <row r="898" spans="1:10" ht="14.4" hidden="1">
      <c r="A898" s="380" t="s">
        <v>1182</v>
      </c>
      <c r="B898" s="380" t="s">
        <v>1187</v>
      </c>
      <c r="C898" s="381" t="s">
        <v>4782</v>
      </c>
      <c r="D898" s="380" t="s">
        <v>4783</v>
      </c>
      <c r="E898" s="382" t="s">
        <v>4784</v>
      </c>
      <c r="F898" s="282" t="s">
        <v>4785</v>
      </c>
      <c r="G898" s="282" t="s">
        <v>3176</v>
      </c>
      <c r="J898" s="282" t="s">
        <v>1550</v>
      </c>
    </row>
    <row r="899" spans="1:10" ht="14.4" hidden="1">
      <c r="A899" s="380" t="s">
        <v>1182</v>
      </c>
      <c r="B899" s="380" t="s">
        <v>1187</v>
      </c>
      <c r="C899" s="381" t="s">
        <v>4786</v>
      </c>
      <c r="D899" s="380" t="s">
        <v>4787</v>
      </c>
      <c r="E899" s="382" t="s">
        <v>4788</v>
      </c>
      <c r="F899" s="282" t="s">
        <v>4789</v>
      </c>
      <c r="G899" s="282" t="s">
        <v>3176</v>
      </c>
      <c r="J899" s="282" t="s">
        <v>1550</v>
      </c>
    </row>
    <row r="900" spans="1:10" ht="14.4" hidden="1">
      <c r="A900" s="380" t="s">
        <v>1182</v>
      </c>
      <c r="B900" s="380" t="s">
        <v>1187</v>
      </c>
      <c r="C900" s="381" t="s">
        <v>4790</v>
      </c>
      <c r="D900" s="380" t="s">
        <v>4791</v>
      </c>
      <c r="E900" s="382" t="s">
        <v>4792</v>
      </c>
      <c r="F900" s="282" t="s">
        <v>4793</v>
      </c>
      <c r="G900" s="282" t="s">
        <v>3176</v>
      </c>
      <c r="J900" s="282" t="s">
        <v>1550</v>
      </c>
    </row>
    <row r="901" spans="1:10" ht="14.4" hidden="1">
      <c r="A901" s="380" t="s">
        <v>1182</v>
      </c>
      <c r="B901" s="380" t="s">
        <v>1187</v>
      </c>
      <c r="C901" s="381" t="s">
        <v>4794</v>
      </c>
      <c r="D901" s="380" t="s">
        <v>4795</v>
      </c>
      <c r="E901" s="382" t="s">
        <v>4796</v>
      </c>
      <c r="F901" s="282" t="s">
        <v>4797</v>
      </c>
      <c r="G901" s="282" t="s">
        <v>3176</v>
      </c>
      <c r="J901" s="282" t="s">
        <v>1550</v>
      </c>
    </row>
    <row r="902" spans="1:10" ht="14.4" hidden="1">
      <c r="A902" s="380" t="s">
        <v>1182</v>
      </c>
      <c r="B902" s="380" t="s">
        <v>1187</v>
      </c>
      <c r="C902" s="381" t="s">
        <v>4798</v>
      </c>
      <c r="D902" s="380" t="s">
        <v>4799</v>
      </c>
      <c r="E902" s="382" t="s">
        <v>4800</v>
      </c>
      <c r="F902" s="282" t="s">
        <v>4801</v>
      </c>
      <c r="G902" s="282" t="s">
        <v>3176</v>
      </c>
      <c r="J902" s="282" t="s">
        <v>1550</v>
      </c>
    </row>
    <row r="903" spans="1:10" ht="14.4" hidden="1">
      <c r="A903" s="380" t="s">
        <v>1182</v>
      </c>
      <c r="B903" s="380" t="s">
        <v>1187</v>
      </c>
      <c r="C903" s="381" t="s">
        <v>4802</v>
      </c>
      <c r="D903" s="380" t="s">
        <v>4803</v>
      </c>
      <c r="E903" s="382" t="s">
        <v>4804</v>
      </c>
      <c r="F903" s="282" t="s">
        <v>4805</v>
      </c>
      <c r="G903" s="282" t="s">
        <v>3176</v>
      </c>
      <c r="J903" s="282" t="s">
        <v>1550</v>
      </c>
    </row>
    <row r="904" spans="1:10" ht="14.4" hidden="1">
      <c r="A904" s="380" t="s">
        <v>1182</v>
      </c>
      <c r="B904" s="380" t="s">
        <v>1187</v>
      </c>
      <c r="C904" s="381" t="s">
        <v>4806</v>
      </c>
      <c r="D904" s="380" t="s">
        <v>4807</v>
      </c>
      <c r="E904" s="382" t="s">
        <v>4808</v>
      </c>
      <c r="F904" s="282" t="s">
        <v>4809</v>
      </c>
      <c r="G904" s="282" t="s">
        <v>3176</v>
      </c>
      <c r="J904" s="282" t="s">
        <v>1550</v>
      </c>
    </row>
    <row r="905" spans="1:10" ht="14.4" hidden="1">
      <c r="A905" s="380" t="s">
        <v>1182</v>
      </c>
      <c r="B905" s="380" t="s">
        <v>1187</v>
      </c>
      <c r="C905" s="381" t="s">
        <v>4810</v>
      </c>
      <c r="D905" s="380" t="s">
        <v>4811</v>
      </c>
      <c r="E905" s="382" t="s">
        <v>4812</v>
      </c>
      <c r="F905" s="282" t="s">
        <v>4813</v>
      </c>
      <c r="G905" s="282" t="s">
        <v>3176</v>
      </c>
      <c r="J905" s="282" t="s">
        <v>1550</v>
      </c>
    </row>
    <row r="906" spans="1:10" ht="14.4" hidden="1">
      <c r="A906" s="380" t="s">
        <v>1182</v>
      </c>
      <c r="B906" s="380" t="s">
        <v>1187</v>
      </c>
      <c r="C906" s="381" t="s">
        <v>4814</v>
      </c>
      <c r="D906" s="380" t="s">
        <v>4815</v>
      </c>
      <c r="E906" s="382" t="s">
        <v>4816</v>
      </c>
      <c r="F906" s="282" t="s">
        <v>4817</v>
      </c>
      <c r="G906" s="282" t="s">
        <v>3176</v>
      </c>
      <c r="J906" s="282" t="s">
        <v>1550</v>
      </c>
    </row>
    <row r="907" spans="1:10" ht="14.4" hidden="1">
      <c r="A907" s="380" t="s">
        <v>1182</v>
      </c>
      <c r="B907" s="380" t="s">
        <v>1187</v>
      </c>
      <c r="C907" s="381" t="s">
        <v>4818</v>
      </c>
      <c r="D907" s="380" t="s">
        <v>4819</v>
      </c>
      <c r="E907" s="382" t="s">
        <v>4820</v>
      </c>
      <c r="F907" s="282" t="s">
        <v>4821</v>
      </c>
      <c r="G907" s="282" t="s">
        <v>3176</v>
      </c>
      <c r="J907" s="282" t="s">
        <v>1550</v>
      </c>
    </row>
    <row r="908" spans="1:10" ht="14.4" hidden="1">
      <c r="A908" s="380" t="s">
        <v>1182</v>
      </c>
      <c r="B908" s="380" t="s">
        <v>1187</v>
      </c>
      <c r="C908" s="381" t="s">
        <v>4822</v>
      </c>
      <c r="D908" s="380" t="s">
        <v>4823</v>
      </c>
      <c r="E908" s="382" t="s">
        <v>4824</v>
      </c>
      <c r="F908" s="282" t="s">
        <v>4825</v>
      </c>
      <c r="G908" s="282" t="s">
        <v>3176</v>
      </c>
      <c r="J908" s="282" t="s">
        <v>1550</v>
      </c>
    </row>
    <row r="909" spans="1:10" ht="14.4" hidden="1">
      <c r="A909" s="380" t="s">
        <v>1182</v>
      </c>
      <c r="B909" s="380" t="s">
        <v>1187</v>
      </c>
      <c r="C909" s="381" t="s">
        <v>4826</v>
      </c>
      <c r="D909" s="380" t="s">
        <v>4827</v>
      </c>
      <c r="E909" s="382" t="s">
        <v>4828</v>
      </c>
      <c r="F909" s="282" t="s">
        <v>4829</v>
      </c>
      <c r="G909" s="282" t="s">
        <v>3176</v>
      </c>
      <c r="J909" s="282" t="s">
        <v>1550</v>
      </c>
    </row>
    <row r="910" spans="1:10" ht="14.4" hidden="1">
      <c r="A910" s="380" t="s">
        <v>1182</v>
      </c>
      <c r="B910" s="380" t="s">
        <v>1187</v>
      </c>
      <c r="C910" s="381" t="s">
        <v>4830</v>
      </c>
      <c r="D910" s="380" t="s">
        <v>4831</v>
      </c>
      <c r="E910" s="382" t="s">
        <v>4832</v>
      </c>
      <c r="F910" s="282" t="s">
        <v>4833</v>
      </c>
      <c r="G910" s="282" t="s">
        <v>3176</v>
      </c>
      <c r="J910" s="282" t="s">
        <v>1550</v>
      </c>
    </row>
    <row r="911" spans="1:10" ht="14.4" hidden="1">
      <c r="A911" s="380" t="s">
        <v>1182</v>
      </c>
      <c r="B911" s="380" t="s">
        <v>1187</v>
      </c>
      <c r="C911" s="381" t="s">
        <v>4834</v>
      </c>
      <c r="D911" s="380" t="s">
        <v>4835</v>
      </c>
      <c r="E911" s="382" t="s">
        <v>4836</v>
      </c>
      <c r="F911" s="282" t="s">
        <v>4837</v>
      </c>
      <c r="G911" s="282" t="s">
        <v>3176</v>
      </c>
      <c r="J911" s="282" t="s">
        <v>1550</v>
      </c>
    </row>
    <row r="912" spans="1:10" ht="14.4" hidden="1">
      <c r="A912" s="380" t="s">
        <v>1182</v>
      </c>
      <c r="B912" s="380" t="s">
        <v>1187</v>
      </c>
      <c r="C912" s="381" t="s">
        <v>4838</v>
      </c>
      <c r="D912" s="380" t="s">
        <v>4839</v>
      </c>
      <c r="E912" s="382" t="s">
        <v>4840</v>
      </c>
      <c r="F912" s="282" t="s">
        <v>4841</v>
      </c>
      <c r="G912" s="282" t="s">
        <v>3176</v>
      </c>
      <c r="J912" s="282" t="s">
        <v>1550</v>
      </c>
    </row>
    <row r="913" spans="1:10" ht="14.4" hidden="1">
      <c r="A913" s="380" t="s">
        <v>1182</v>
      </c>
      <c r="B913" s="380" t="s">
        <v>1187</v>
      </c>
      <c r="C913" s="381" t="s">
        <v>4842</v>
      </c>
      <c r="D913" s="380" t="s">
        <v>4843</v>
      </c>
      <c r="E913" s="382" t="s">
        <v>4844</v>
      </c>
      <c r="F913" s="282" t="s">
        <v>4845</v>
      </c>
      <c r="G913" s="282" t="s">
        <v>3176</v>
      </c>
      <c r="J913" s="282" t="s">
        <v>1550</v>
      </c>
    </row>
    <row r="914" spans="1:10" ht="14.4" hidden="1">
      <c r="A914" s="380" t="s">
        <v>1182</v>
      </c>
      <c r="B914" s="380" t="s">
        <v>1187</v>
      </c>
      <c r="C914" s="381" t="s">
        <v>4846</v>
      </c>
      <c r="D914" s="380" t="s">
        <v>4847</v>
      </c>
      <c r="E914" s="382" t="s">
        <v>4848</v>
      </c>
      <c r="F914" s="282" t="s">
        <v>4849</v>
      </c>
      <c r="G914" s="282" t="s">
        <v>3176</v>
      </c>
      <c r="J914" s="282" t="s">
        <v>1550</v>
      </c>
    </row>
    <row r="915" spans="1:10" ht="14.4" hidden="1">
      <c r="A915" s="380" t="s">
        <v>1182</v>
      </c>
      <c r="B915" s="380" t="s">
        <v>1187</v>
      </c>
      <c r="C915" s="381" t="s">
        <v>4850</v>
      </c>
      <c r="D915" s="380" t="s">
        <v>4851</v>
      </c>
      <c r="E915" s="382" t="s">
        <v>4852</v>
      </c>
      <c r="F915" s="282" t="s">
        <v>4853</v>
      </c>
      <c r="G915" s="282" t="s">
        <v>3176</v>
      </c>
      <c r="J915" s="282" t="s">
        <v>1550</v>
      </c>
    </row>
    <row r="916" spans="1:10" ht="14.4" hidden="1">
      <c r="A916" s="380" t="s">
        <v>1182</v>
      </c>
      <c r="B916" s="380" t="s">
        <v>1187</v>
      </c>
      <c r="C916" s="381" t="s">
        <v>4854</v>
      </c>
      <c r="D916" s="380" t="s">
        <v>4855</v>
      </c>
      <c r="E916" s="382" t="s">
        <v>4856</v>
      </c>
      <c r="F916" s="282" t="s">
        <v>4857</v>
      </c>
      <c r="G916" s="282" t="s">
        <v>3176</v>
      </c>
      <c r="H916" s="282" t="s">
        <v>1548</v>
      </c>
      <c r="J916" s="282" t="s">
        <v>1550</v>
      </c>
    </row>
    <row r="917" spans="1:10" ht="14.4" hidden="1">
      <c r="A917" s="380" t="s">
        <v>1182</v>
      </c>
      <c r="B917" s="380" t="s">
        <v>1187</v>
      </c>
      <c r="C917" s="381" t="s">
        <v>4858</v>
      </c>
      <c r="D917" s="380" t="s">
        <v>4859</v>
      </c>
      <c r="E917" s="382" t="s">
        <v>4860</v>
      </c>
      <c r="F917" s="282" t="s">
        <v>4861</v>
      </c>
      <c r="G917" s="282" t="s">
        <v>3176</v>
      </c>
      <c r="J917" s="282" t="s">
        <v>1550</v>
      </c>
    </row>
    <row r="918" spans="1:10" ht="14.4" hidden="1">
      <c r="A918" s="380" t="s">
        <v>1182</v>
      </c>
      <c r="B918" s="380" t="s">
        <v>1187</v>
      </c>
      <c r="C918" s="381" t="s">
        <v>4862</v>
      </c>
      <c r="D918" s="380" t="s">
        <v>4863</v>
      </c>
      <c r="E918" s="382" t="s">
        <v>4864</v>
      </c>
      <c r="F918" s="282" t="s">
        <v>4865</v>
      </c>
      <c r="G918" s="282" t="s">
        <v>3176</v>
      </c>
      <c r="J918" s="282" t="s">
        <v>1550</v>
      </c>
    </row>
    <row r="919" spans="1:10" ht="14.4" hidden="1">
      <c r="A919" s="380" t="s">
        <v>1182</v>
      </c>
      <c r="B919" s="380" t="s">
        <v>1187</v>
      </c>
      <c r="C919" s="381" t="s">
        <v>4866</v>
      </c>
      <c r="D919" s="380" t="s">
        <v>4867</v>
      </c>
      <c r="E919" s="382" t="s">
        <v>4868</v>
      </c>
      <c r="F919" s="282" t="s">
        <v>4869</v>
      </c>
      <c r="G919" s="282" t="s">
        <v>3176</v>
      </c>
      <c r="J919" s="282" t="s">
        <v>1550</v>
      </c>
    </row>
    <row r="920" spans="1:10" ht="14.4" hidden="1">
      <c r="A920" s="380" t="s">
        <v>1182</v>
      </c>
      <c r="B920" s="380" t="s">
        <v>1187</v>
      </c>
      <c r="C920" s="381" t="s">
        <v>4870</v>
      </c>
      <c r="D920" s="380" t="s">
        <v>4871</v>
      </c>
      <c r="E920" s="382" t="s">
        <v>4872</v>
      </c>
      <c r="F920" s="282" t="s">
        <v>4873</v>
      </c>
      <c r="G920" s="282" t="s">
        <v>3176</v>
      </c>
      <c r="J920" s="282" t="s">
        <v>1550</v>
      </c>
    </row>
    <row r="921" spans="1:10" ht="14.4" hidden="1">
      <c r="A921" s="380" t="s">
        <v>1182</v>
      </c>
      <c r="B921" s="380" t="s">
        <v>1187</v>
      </c>
      <c r="C921" s="381" t="s">
        <v>4874</v>
      </c>
      <c r="D921" s="380" t="s">
        <v>4875</v>
      </c>
      <c r="E921" s="382" t="s">
        <v>4876</v>
      </c>
      <c r="F921" s="282" t="s">
        <v>4877</v>
      </c>
      <c r="G921" s="282" t="s">
        <v>3176</v>
      </c>
      <c r="J921" s="282" t="s">
        <v>1550</v>
      </c>
    </row>
    <row r="922" spans="1:10" ht="14.4" hidden="1">
      <c r="A922" s="380" t="s">
        <v>1182</v>
      </c>
      <c r="B922" s="380" t="s">
        <v>1187</v>
      </c>
      <c r="C922" s="381" t="s">
        <v>4878</v>
      </c>
      <c r="D922" s="380" t="s">
        <v>4879</v>
      </c>
      <c r="E922" s="382" t="s">
        <v>4880</v>
      </c>
      <c r="F922" s="282" t="s">
        <v>4881</v>
      </c>
      <c r="G922" s="282" t="s">
        <v>3176</v>
      </c>
      <c r="J922" s="282" t="s">
        <v>1550</v>
      </c>
    </row>
    <row r="923" spans="1:10" ht="14.4" hidden="1">
      <c r="A923" s="380" t="s">
        <v>1182</v>
      </c>
      <c r="B923" s="380" t="s">
        <v>1187</v>
      </c>
      <c r="C923" s="381" t="s">
        <v>4882</v>
      </c>
      <c r="D923" s="380" t="s">
        <v>4883</v>
      </c>
      <c r="E923" s="382" t="s">
        <v>4884</v>
      </c>
      <c r="F923" s="282" t="s">
        <v>4885</v>
      </c>
      <c r="G923" s="282" t="s">
        <v>3176</v>
      </c>
      <c r="J923" s="282" t="s">
        <v>1550</v>
      </c>
    </row>
    <row r="924" spans="1:10" ht="14.4" hidden="1">
      <c r="A924" s="380" t="s">
        <v>1182</v>
      </c>
      <c r="B924" s="380" t="s">
        <v>1187</v>
      </c>
      <c r="C924" s="381" t="s">
        <v>4886</v>
      </c>
      <c r="D924" s="380" t="s">
        <v>4887</v>
      </c>
      <c r="E924" s="382" t="s">
        <v>4888</v>
      </c>
      <c r="F924" s="282" t="s">
        <v>4889</v>
      </c>
      <c r="G924" s="282" t="s">
        <v>3176</v>
      </c>
      <c r="J924" s="282" t="s">
        <v>1550</v>
      </c>
    </row>
    <row r="925" spans="1:10" ht="14.4" hidden="1">
      <c r="A925" s="380" t="s">
        <v>1182</v>
      </c>
      <c r="B925" s="380" t="s">
        <v>1187</v>
      </c>
      <c r="C925" s="381" t="s">
        <v>4890</v>
      </c>
      <c r="D925" s="380" t="s">
        <v>4891</v>
      </c>
      <c r="E925" s="382" t="s">
        <v>4892</v>
      </c>
      <c r="F925" s="282" t="s">
        <v>4893</v>
      </c>
      <c r="G925" s="282" t="s">
        <v>3176</v>
      </c>
      <c r="J925" s="282" t="s">
        <v>1550</v>
      </c>
    </row>
    <row r="926" spans="1:10" ht="14.4" hidden="1">
      <c r="A926" s="380" t="s">
        <v>1182</v>
      </c>
      <c r="B926" s="380" t="s">
        <v>1187</v>
      </c>
      <c r="C926" s="381" t="s">
        <v>4894</v>
      </c>
      <c r="D926" s="380" t="s">
        <v>4895</v>
      </c>
      <c r="E926" s="382" t="s">
        <v>4896</v>
      </c>
      <c r="F926" s="282" t="s">
        <v>4897</v>
      </c>
      <c r="G926" s="282" t="s">
        <v>3176</v>
      </c>
      <c r="J926" s="282" t="s">
        <v>1550</v>
      </c>
    </row>
    <row r="927" spans="1:10" ht="14.4" hidden="1">
      <c r="A927" s="380" t="s">
        <v>1182</v>
      </c>
      <c r="B927" s="380" t="s">
        <v>1187</v>
      </c>
      <c r="C927" s="381" t="s">
        <v>4898</v>
      </c>
      <c r="D927" s="380" t="s">
        <v>4899</v>
      </c>
      <c r="E927" s="382" t="s">
        <v>4900</v>
      </c>
      <c r="F927" s="282" t="s">
        <v>4901</v>
      </c>
      <c r="G927" s="282" t="s">
        <v>3176</v>
      </c>
      <c r="J927" s="282" t="s">
        <v>1550</v>
      </c>
    </row>
    <row r="928" spans="1:10" ht="14.4" hidden="1">
      <c r="A928" s="380" t="s">
        <v>1182</v>
      </c>
      <c r="B928" s="380" t="s">
        <v>1187</v>
      </c>
      <c r="C928" s="381" t="s">
        <v>4902</v>
      </c>
      <c r="D928" s="380" t="s">
        <v>4903</v>
      </c>
      <c r="E928" s="382" t="s">
        <v>4904</v>
      </c>
      <c r="F928" s="282" t="s">
        <v>4905</v>
      </c>
      <c r="G928" s="282" t="s">
        <v>4906</v>
      </c>
      <c r="J928" s="282" t="s">
        <v>1550</v>
      </c>
    </row>
    <row r="929" spans="1:10" ht="14.4" hidden="1">
      <c r="A929" s="380" t="s">
        <v>1182</v>
      </c>
      <c r="B929" s="380" t="s">
        <v>1187</v>
      </c>
      <c r="C929" s="381" t="s">
        <v>4907</v>
      </c>
      <c r="D929" s="380" t="s">
        <v>4908</v>
      </c>
      <c r="E929" s="382" t="s">
        <v>4909</v>
      </c>
      <c r="F929" s="282" t="s">
        <v>4910</v>
      </c>
      <c r="G929" s="282" t="s">
        <v>4906</v>
      </c>
      <c r="J929" s="282" t="s">
        <v>1550</v>
      </c>
    </row>
    <row r="930" spans="1:10" ht="14.4" hidden="1">
      <c r="A930" s="380" t="s">
        <v>1182</v>
      </c>
      <c r="B930" s="380" t="s">
        <v>1187</v>
      </c>
      <c r="C930" s="381" t="s">
        <v>4911</v>
      </c>
      <c r="D930" s="380" t="s">
        <v>4912</v>
      </c>
      <c r="E930" s="382" t="s">
        <v>4913</v>
      </c>
      <c r="F930" s="282" t="s">
        <v>4914</v>
      </c>
      <c r="G930" s="282" t="s">
        <v>4906</v>
      </c>
      <c r="J930" s="282" t="s">
        <v>1550</v>
      </c>
    </row>
    <row r="931" spans="1:10" ht="14.4" hidden="1">
      <c r="A931" s="380" t="s">
        <v>1182</v>
      </c>
      <c r="B931" s="380" t="s">
        <v>1187</v>
      </c>
      <c r="C931" s="381" t="s">
        <v>4915</v>
      </c>
      <c r="D931" s="380" t="s">
        <v>4916</v>
      </c>
      <c r="E931" s="382" t="s">
        <v>4917</v>
      </c>
      <c r="F931" s="282" t="s">
        <v>4918</v>
      </c>
      <c r="G931" s="282" t="s">
        <v>4906</v>
      </c>
      <c r="J931" s="282" t="s">
        <v>1550</v>
      </c>
    </row>
    <row r="932" spans="1:10" ht="14.4" hidden="1">
      <c r="A932" s="380" t="s">
        <v>1182</v>
      </c>
      <c r="B932" s="380" t="s">
        <v>1187</v>
      </c>
      <c r="C932" s="381" t="s">
        <v>4919</v>
      </c>
      <c r="D932" s="380" t="s">
        <v>4920</v>
      </c>
      <c r="E932" s="382" t="s">
        <v>4921</v>
      </c>
      <c r="F932" s="282" t="s">
        <v>4922</v>
      </c>
      <c r="G932" s="282" t="s">
        <v>4906</v>
      </c>
      <c r="J932" s="282" t="s">
        <v>1550</v>
      </c>
    </row>
    <row r="933" spans="1:10" ht="14.4" hidden="1">
      <c r="A933" s="380" t="s">
        <v>1182</v>
      </c>
      <c r="B933" s="380" t="s">
        <v>1187</v>
      </c>
      <c r="C933" s="381" t="s">
        <v>4923</v>
      </c>
      <c r="D933" s="380" t="s">
        <v>4924</v>
      </c>
      <c r="E933" s="382" t="s">
        <v>4925</v>
      </c>
      <c r="F933" s="282" t="s">
        <v>4926</v>
      </c>
      <c r="G933" s="282" t="s">
        <v>4906</v>
      </c>
      <c r="J933" s="282" t="s">
        <v>1550</v>
      </c>
    </row>
    <row r="934" spans="1:10" ht="14.4" hidden="1">
      <c r="A934" s="380" t="s">
        <v>1182</v>
      </c>
      <c r="B934" s="380" t="s">
        <v>1187</v>
      </c>
      <c r="C934" s="381" t="s">
        <v>4927</v>
      </c>
      <c r="D934" s="380" t="s">
        <v>4928</v>
      </c>
      <c r="E934" s="382" t="s">
        <v>4929</v>
      </c>
      <c r="F934" s="282" t="s">
        <v>4930</v>
      </c>
      <c r="G934" s="282" t="s">
        <v>4906</v>
      </c>
      <c r="J934" s="282" t="s">
        <v>1550</v>
      </c>
    </row>
    <row r="935" spans="1:10" ht="14.4" hidden="1">
      <c r="A935" s="380" t="s">
        <v>1182</v>
      </c>
      <c r="B935" s="380" t="s">
        <v>1187</v>
      </c>
      <c r="C935" s="381" t="s">
        <v>4931</v>
      </c>
      <c r="D935" s="380" t="s">
        <v>4932</v>
      </c>
      <c r="E935" s="382" t="s">
        <v>4933</v>
      </c>
      <c r="F935" s="282" t="s">
        <v>4934</v>
      </c>
      <c r="G935" s="282" t="s">
        <v>4906</v>
      </c>
      <c r="J935" s="282" t="s">
        <v>1550</v>
      </c>
    </row>
    <row r="936" spans="1:10" ht="14.4" hidden="1">
      <c r="A936" s="380" t="s">
        <v>1182</v>
      </c>
      <c r="B936" s="380" t="s">
        <v>1187</v>
      </c>
      <c r="C936" s="381" t="s">
        <v>4935</v>
      </c>
      <c r="D936" s="380" t="s">
        <v>4936</v>
      </c>
      <c r="E936" s="382" t="s">
        <v>4937</v>
      </c>
      <c r="F936" s="282" t="s">
        <v>4938</v>
      </c>
      <c r="G936" s="282" t="s">
        <v>4906</v>
      </c>
      <c r="J936" s="282" t="s">
        <v>1550</v>
      </c>
    </row>
    <row r="937" spans="1:10" ht="14.4" hidden="1">
      <c r="A937" s="380" t="s">
        <v>1182</v>
      </c>
      <c r="B937" s="380" t="s">
        <v>1187</v>
      </c>
      <c r="C937" s="381" t="s">
        <v>4939</v>
      </c>
      <c r="D937" s="380" t="s">
        <v>4940</v>
      </c>
      <c r="E937" s="382" t="s">
        <v>4941</v>
      </c>
      <c r="F937" s="282" t="s">
        <v>4942</v>
      </c>
      <c r="G937" s="282" t="s">
        <v>4906</v>
      </c>
      <c r="J937" s="282" t="s">
        <v>1550</v>
      </c>
    </row>
    <row r="938" spans="1:10" ht="14.4" hidden="1">
      <c r="A938" s="380" t="s">
        <v>1182</v>
      </c>
      <c r="B938" s="380" t="s">
        <v>1187</v>
      </c>
      <c r="C938" s="381" t="s">
        <v>4943</v>
      </c>
      <c r="D938" s="380" t="s">
        <v>4944</v>
      </c>
      <c r="E938" s="382" t="s">
        <v>4945</v>
      </c>
      <c r="F938" s="282" t="s">
        <v>4946</v>
      </c>
      <c r="G938" s="282" t="s">
        <v>4906</v>
      </c>
      <c r="J938" s="282" t="s">
        <v>1550</v>
      </c>
    </row>
    <row r="939" spans="1:10" ht="14.4" hidden="1">
      <c r="A939" s="380" t="s">
        <v>1182</v>
      </c>
      <c r="B939" s="380" t="s">
        <v>1187</v>
      </c>
      <c r="C939" s="381" t="s">
        <v>4947</v>
      </c>
      <c r="D939" s="380" t="s">
        <v>4948</v>
      </c>
      <c r="E939" s="382" t="s">
        <v>4949</v>
      </c>
      <c r="F939" s="282" t="s">
        <v>4950</v>
      </c>
      <c r="G939" s="282" t="s">
        <v>4906</v>
      </c>
      <c r="J939" s="282" t="s">
        <v>1550</v>
      </c>
    </row>
    <row r="940" spans="1:10" ht="14.4" hidden="1">
      <c r="A940" s="380" t="s">
        <v>1182</v>
      </c>
      <c r="B940" s="380" t="s">
        <v>1187</v>
      </c>
      <c r="C940" s="381" t="s">
        <v>4951</v>
      </c>
      <c r="D940" s="380" t="s">
        <v>4952</v>
      </c>
      <c r="E940" s="382" t="s">
        <v>4953</v>
      </c>
      <c r="F940" s="282" t="s">
        <v>4954</v>
      </c>
      <c r="G940" s="282" t="s">
        <v>4955</v>
      </c>
      <c r="J940" s="282" t="s">
        <v>1550</v>
      </c>
    </row>
    <row r="941" spans="1:10" ht="14.4" hidden="1">
      <c r="A941" s="380" t="s">
        <v>1182</v>
      </c>
      <c r="B941" s="380" t="s">
        <v>1187</v>
      </c>
      <c r="C941" s="381" t="s">
        <v>4956</v>
      </c>
      <c r="D941" s="380" t="s">
        <v>4957</v>
      </c>
      <c r="E941" s="382" t="s">
        <v>4958</v>
      </c>
      <c r="F941" s="282" t="s">
        <v>4959</v>
      </c>
      <c r="G941" s="282" t="s">
        <v>4955</v>
      </c>
      <c r="J941" s="282" t="s">
        <v>1550</v>
      </c>
    </row>
    <row r="942" spans="1:10" ht="14.4" hidden="1">
      <c r="A942" s="380" t="s">
        <v>1182</v>
      </c>
      <c r="B942" s="380" t="s">
        <v>1187</v>
      </c>
      <c r="C942" s="381" t="s">
        <v>4960</v>
      </c>
      <c r="D942" s="380" t="s">
        <v>4961</v>
      </c>
      <c r="E942" s="382" t="s">
        <v>4962</v>
      </c>
      <c r="F942" s="282" t="s">
        <v>4963</v>
      </c>
      <c r="G942" s="282" t="s">
        <v>4955</v>
      </c>
      <c r="J942" s="282" t="s">
        <v>1550</v>
      </c>
    </row>
    <row r="943" spans="1:10" ht="14.4" hidden="1">
      <c r="A943" s="380" t="s">
        <v>1182</v>
      </c>
      <c r="B943" s="380" t="s">
        <v>1187</v>
      </c>
      <c r="C943" s="381" t="s">
        <v>4964</v>
      </c>
      <c r="D943" s="380" t="s">
        <v>4965</v>
      </c>
      <c r="E943" s="382" t="s">
        <v>4966</v>
      </c>
      <c r="F943" s="282" t="s">
        <v>4967</v>
      </c>
      <c r="G943" s="282" t="s">
        <v>4955</v>
      </c>
      <c r="J943" s="282" t="s">
        <v>1550</v>
      </c>
    </row>
    <row r="944" spans="1:10" ht="14.4" hidden="1">
      <c r="A944" s="380" t="s">
        <v>1182</v>
      </c>
      <c r="B944" s="380" t="s">
        <v>1187</v>
      </c>
      <c r="C944" s="381" t="s">
        <v>4968</v>
      </c>
      <c r="D944" s="380" t="s">
        <v>4969</v>
      </c>
      <c r="E944" s="382" t="s">
        <v>4970</v>
      </c>
      <c r="F944" s="282" t="s">
        <v>4971</v>
      </c>
      <c r="G944" s="282" t="s">
        <v>4955</v>
      </c>
      <c r="J944" s="282" t="s">
        <v>1550</v>
      </c>
    </row>
    <row r="945" spans="1:10" ht="14.4" hidden="1">
      <c r="A945" s="380" t="s">
        <v>1182</v>
      </c>
      <c r="B945" s="380" t="s">
        <v>1187</v>
      </c>
      <c r="C945" s="381" t="s">
        <v>4972</v>
      </c>
      <c r="D945" s="380" t="s">
        <v>4973</v>
      </c>
      <c r="E945" s="382" t="s">
        <v>4974</v>
      </c>
      <c r="F945" s="282" t="s">
        <v>4975</v>
      </c>
      <c r="G945" s="282" t="s">
        <v>4955</v>
      </c>
      <c r="J945" s="282" t="s">
        <v>1550</v>
      </c>
    </row>
    <row r="946" spans="1:10" ht="14.4" hidden="1">
      <c r="A946" s="380" t="s">
        <v>1182</v>
      </c>
      <c r="B946" s="380" t="s">
        <v>1187</v>
      </c>
      <c r="C946" s="381" t="s">
        <v>4976</v>
      </c>
      <c r="D946" s="380" t="s">
        <v>4977</v>
      </c>
      <c r="E946" s="382" t="s">
        <v>4978</v>
      </c>
      <c r="F946" s="282" t="s">
        <v>4979</v>
      </c>
      <c r="G946" s="282" t="s">
        <v>4955</v>
      </c>
      <c r="J946" s="282" t="s">
        <v>1550</v>
      </c>
    </row>
    <row r="947" spans="1:10" ht="14.4" hidden="1">
      <c r="A947" s="380" t="s">
        <v>1182</v>
      </c>
      <c r="B947" s="380" t="s">
        <v>1187</v>
      </c>
      <c r="C947" s="381" t="s">
        <v>4980</v>
      </c>
      <c r="D947" s="380" t="s">
        <v>4981</v>
      </c>
      <c r="E947" s="382" t="s">
        <v>4982</v>
      </c>
      <c r="F947" s="282" t="s">
        <v>4983</v>
      </c>
      <c r="G947" s="282" t="s">
        <v>4955</v>
      </c>
      <c r="J947" s="282" t="s">
        <v>1550</v>
      </c>
    </row>
    <row r="948" spans="1:10" ht="14.4" hidden="1">
      <c r="A948" s="380" t="s">
        <v>1182</v>
      </c>
      <c r="B948" s="380" t="s">
        <v>1187</v>
      </c>
      <c r="C948" s="381" t="s">
        <v>4984</v>
      </c>
      <c r="D948" s="380" t="s">
        <v>4985</v>
      </c>
      <c r="E948" s="382" t="s">
        <v>4986</v>
      </c>
      <c r="F948" s="282" t="s">
        <v>4987</v>
      </c>
      <c r="G948" s="282" t="s">
        <v>4955</v>
      </c>
      <c r="J948" s="282" t="s">
        <v>1550</v>
      </c>
    </row>
    <row r="949" spans="1:10" ht="14.4" hidden="1">
      <c r="A949" s="380" t="s">
        <v>1182</v>
      </c>
      <c r="B949" s="380" t="s">
        <v>1187</v>
      </c>
      <c r="C949" s="381" t="s">
        <v>4988</v>
      </c>
      <c r="D949" s="380" t="s">
        <v>4989</v>
      </c>
      <c r="E949" s="382" t="s">
        <v>4990</v>
      </c>
      <c r="F949" s="282" t="s">
        <v>4991</v>
      </c>
      <c r="G949" s="282" t="s">
        <v>4955</v>
      </c>
      <c r="J949" s="282" t="s">
        <v>1550</v>
      </c>
    </row>
    <row r="950" spans="1:10" ht="14.4" hidden="1">
      <c r="A950" s="380" t="s">
        <v>1182</v>
      </c>
      <c r="B950" s="380" t="s">
        <v>1187</v>
      </c>
      <c r="C950" s="381" t="s">
        <v>4992</v>
      </c>
      <c r="D950" s="380" t="s">
        <v>4993</v>
      </c>
      <c r="E950" s="382" t="s">
        <v>4994</v>
      </c>
      <c r="F950" s="282" t="s">
        <v>4995</v>
      </c>
      <c r="G950" s="282" t="s">
        <v>4955</v>
      </c>
      <c r="J950" s="282" t="s">
        <v>1550</v>
      </c>
    </row>
    <row r="951" spans="1:10" ht="14.4" hidden="1">
      <c r="A951" s="380" t="s">
        <v>1182</v>
      </c>
      <c r="B951" s="380" t="s">
        <v>1187</v>
      </c>
      <c r="C951" s="381" t="s">
        <v>4996</v>
      </c>
      <c r="D951" s="380" t="s">
        <v>4997</v>
      </c>
      <c r="E951" s="382" t="s">
        <v>4998</v>
      </c>
      <c r="F951" s="282" t="s">
        <v>4999</v>
      </c>
      <c r="G951" s="282" t="s">
        <v>4955</v>
      </c>
      <c r="J951" s="282" t="s">
        <v>1550</v>
      </c>
    </row>
    <row r="952" spans="1:10" ht="14.4" hidden="1">
      <c r="A952" s="380" t="s">
        <v>1182</v>
      </c>
      <c r="B952" s="380" t="s">
        <v>1187</v>
      </c>
      <c r="C952" s="381" t="s">
        <v>5000</v>
      </c>
      <c r="D952" s="380" t="s">
        <v>5001</v>
      </c>
      <c r="E952" s="382" t="s">
        <v>5002</v>
      </c>
      <c r="F952" s="282" t="s">
        <v>5003</v>
      </c>
      <c r="G952" s="282" t="s">
        <v>4955</v>
      </c>
      <c r="J952" s="282" t="s">
        <v>1550</v>
      </c>
    </row>
    <row r="953" spans="1:10" ht="14.4" hidden="1">
      <c r="A953" s="380" t="s">
        <v>1182</v>
      </c>
      <c r="B953" s="380" t="s">
        <v>1187</v>
      </c>
      <c r="C953" s="381" t="s">
        <v>5004</v>
      </c>
      <c r="D953" s="380" t="s">
        <v>5005</v>
      </c>
      <c r="E953" s="382" t="s">
        <v>5006</v>
      </c>
      <c r="F953" s="282" t="s">
        <v>5007</v>
      </c>
      <c r="G953" s="282" t="s">
        <v>4955</v>
      </c>
      <c r="J953" s="282" t="s">
        <v>1550</v>
      </c>
    </row>
    <row r="954" spans="1:10" ht="14.4" hidden="1">
      <c r="A954" s="380" t="s">
        <v>1182</v>
      </c>
      <c r="B954" s="380" t="s">
        <v>1187</v>
      </c>
      <c r="C954" s="381" t="s">
        <v>5008</v>
      </c>
      <c r="D954" s="380" t="s">
        <v>5009</v>
      </c>
      <c r="E954" s="382" t="s">
        <v>5010</v>
      </c>
      <c r="F954" s="282" t="s">
        <v>5011</v>
      </c>
      <c r="G954" s="282" t="s">
        <v>4955</v>
      </c>
      <c r="J954" s="282" t="s">
        <v>1550</v>
      </c>
    </row>
    <row r="955" spans="1:10" ht="14.4" hidden="1">
      <c r="A955" s="380" t="s">
        <v>1182</v>
      </c>
      <c r="B955" s="380" t="s">
        <v>1187</v>
      </c>
      <c r="C955" s="381" t="s">
        <v>5012</v>
      </c>
      <c r="D955" s="380" t="s">
        <v>5013</v>
      </c>
      <c r="E955" s="382" t="s">
        <v>5014</v>
      </c>
      <c r="F955" s="282" t="s">
        <v>5015</v>
      </c>
      <c r="G955" s="282" t="s">
        <v>4955</v>
      </c>
      <c r="J955" s="282" t="s">
        <v>1550</v>
      </c>
    </row>
    <row r="956" spans="1:10" ht="14.4" hidden="1">
      <c r="A956" s="380" t="s">
        <v>1182</v>
      </c>
      <c r="B956" s="380" t="s">
        <v>1187</v>
      </c>
      <c r="C956" s="381" t="s">
        <v>5016</v>
      </c>
      <c r="D956" s="380" t="s">
        <v>5017</v>
      </c>
      <c r="E956" s="382" t="s">
        <v>5018</v>
      </c>
      <c r="F956" s="282" t="s">
        <v>5019</v>
      </c>
      <c r="G956" s="282" t="s">
        <v>4955</v>
      </c>
      <c r="J956" s="282" t="s">
        <v>1550</v>
      </c>
    </row>
    <row r="957" spans="1:10" ht="14.4" hidden="1">
      <c r="A957" s="380" t="s">
        <v>1182</v>
      </c>
      <c r="B957" s="380" t="s">
        <v>1187</v>
      </c>
      <c r="C957" s="381" t="s">
        <v>5020</v>
      </c>
      <c r="D957" s="380" t="s">
        <v>5021</v>
      </c>
      <c r="E957" s="382" t="s">
        <v>5022</v>
      </c>
      <c r="F957" s="282" t="s">
        <v>5023</v>
      </c>
      <c r="G957" s="282" t="s">
        <v>4955</v>
      </c>
      <c r="J957" s="282" t="s">
        <v>1550</v>
      </c>
    </row>
    <row r="958" spans="1:10" ht="14.4" hidden="1">
      <c r="A958" s="380" t="s">
        <v>1182</v>
      </c>
      <c r="B958" s="380" t="s">
        <v>1187</v>
      </c>
      <c r="C958" s="381" t="s">
        <v>5024</v>
      </c>
      <c r="D958" s="380" t="s">
        <v>5025</v>
      </c>
      <c r="E958" s="382" t="s">
        <v>5026</v>
      </c>
      <c r="F958" s="282" t="s">
        <v>5027</v>
      </c>
      <c r="G958" s="282" t="s">
        <v>4955</v>
      </c>
      <c r="J958" s="282" t="s">
        <v>1550</v>
      </c>
    </row>
    <row r="959" spans="1:10" ht="14.4" hidden="1">
      <c r="A959" s="380" t="s">
        <v>1182</v>
      </c>
      <c r="B959" s="380" t="s">
        <v>1187</v>
      </c>
      <c r="C959" s="381" t="s">
        <v>5028</v>
      </c>
      <c r="D959" s="380" t="s">
        <v>5029</v>
      </c>
      <c r="E959" s="382" t="s">
        <v>5030</v>
      </c>
      <c r="F959" s="282" t="s">
        <v>5031</v>
      </c>
      <c r="G959" s="282" t="s">
        <v>4955</v>
      </c>
      <c r="J959" s="282" t="s">
        <v>1550</v>
      </c>
    </row>
    <row r="960" spans="1:10" ht="14.4" hidden="1">
      <c r="A960" s="380" t="s">
        <v>1182</v>
      </c>
      <c r="B960" s="380" t="s">
        <v>1187</v>
      </c>
      <c r="C960" s="381" t="s">
        <v>5032</v>
      </c>
      <c r="D960" s="380" t="s">
        <v>5033</v>
      </c>
      <c r="E960" s="382" t="s">
        <v>5034</v>
      </c>
      <c r="F960" s="282" t="s">
        <v>5035</v>
      </c>
      <c r="G960" s="282" t="s">
        <v>4955</v>
      </c>
      <c r="J960" s="282" t="s">
        <v>1550</v>
      </c>
    </row>
    <row r="961" spans="1:10" ht="14.4" hidden="1">
      <c r="A961" s="380" t="s">
        <v>1182</v>
      </c>
      <c r="B961" s="380" t="s">
        <v>1187</v>
      </c>
      <c r="C961" s="381" t="s">
        <v>5036</v>
      </c>
      <c r="D961" s="380" t="s">
        <v>5037</v>
      </c>
      <c r="E961" s="382" t="s">
        <v>5038</v>
      </c>
      <c r="F961" s="282" t="s">
        <v>5039</v>
      </c>
      <c r="G961" s="282" t="s">
        <v>4955</v>
      </c>
      <c r="J961" s="282" t="s">
        <v>1550</v>
      </c>
    </row>
    <row r="962" spans="1:10" ht="14.4" hidden="1">
      <c r="A962" s="380" t="s">
        <v>1182</v>
      </c>
      <c r="B962" s="380" t="s">
        <v>1187</v>
      </c>
      <c r="C962" s="381" t="s">
        <v>5040</v>
      </c>
      <c r="D962" s="380" t="s">
        <v>5041</v>
      </c>
      <c r="E962" s="382" t="s">
        <v>5042</v>
      </c>
      <c r="F962" s="282" t="s">
        <v>5043</v>
      </c>
      <c r="G962" s="282" t="s">
        <v>4955</v>
      </c>
      <c r="J962" s="282" t="s">
        <v>1550</v>
      </c>
    </row>
    <row r="963" spans="1:10" ht="14.4" hidden="1">
      <c r="A963" s="380" t="s">
        <v>1182</v>
      </c>
      <c r="B963" s="380" t="s">
        <v>1187</v>
      </c>
      <c r="C963" s="381" t="s">
        <v>5044</v>
      </c>
      <c r="D963" s="380" t="s">
        <v>5045</v>
      </c>
      <c r="E963" s="382" t="s">
        <v>5046</v>
      </c>
      <c r="F963" s="282" t="s">
        <v>5047</v>
      </c>
      <c r="G963" s="282" t="s">
        <v>4955</v>
      </c>
      <c r="J963" s="282" t="s">
        <v>1550</v>
      </c>
    </row>
    <row r="964" spans="1:10" ht="14.4" hidden="1">
      <c r="A964" s="380" t="s">
        <v>1182</v>
      </c>
      <c r="B964" s="380" t="s">
        <v>1187</v>
      </c>
      <c r="C964" s="381" t="s">
        <v>5048</v>
      </c>
      <c r="D964" s="380" t="s">
        <v>5049</v>
      </c>
      <c r="E964" s="382" t="s">
        <v>5050</v>
      </c>
      <c r="F964" s="282" t="s">
        <v>5051</v>
      </c>
      <c r="G964" s="282" t="s">
        <v>4955</v>
      </c>
      <c r="J964" s="282" t="s">
        <v>1550</v>
      </c>
    </row>
    <row r="965" spans="1:10" ht="14.4" hidden="1">
      <c r="A965" s="380" t="s">
        <v>1182</v>
      </c>
      <c r="B965" s="380" t="s">
        <v>1187</v>
      </c>
      <c r="C965" s="381" t="s">
        <v>5052</v>
      </c>
      <c r="D965" s="380" t="s">
        <v>5053</v>
      </c>
      <c r="E965" s="382" t="s">
        <v>5054</v>
      </c>
      <c r="F965" s="282" t="s">
        <v>5055</v>
      </c>
      <c r="G965" s="282" t="s">
        <v>4955</v>
      </c>
      <c r="J965" s="282" t="s">
        <v>1550</v>
      </c>
    </row>
    <row r="966" spans="1:10" ht="14.4" hidden="1">
      <c r="A966" s="380" t="s">
        <v>1182</v>
      </c>
      <c r="B966" s="380" t="s">
        <v>1187</v>
      </c>
      <c r="C966" s="381" t="s">
        <v>5056</v>
      </c>
      <c r="D966" s="380" t="s">
        <v>5057</v>
      </c>
      <c r="E966" s="382" t="s">
        <v>5058</v>
      </c>
      <c r="F966" s="282" t="s">
        <v>5059</v>
      </c>
      <c r="G966" s="282" t="s">
        <v>4955</v>
      </c>
      <c r="J966" s="282" t="s">
        <v>1550</v>
      </c>
    </row>
    <row r="967" spans="1:10" ht="14.4" hidden="1">
      <c r="A967" s="380" t="s">
        <v>1182</v>
      </c>
      <c r="B967" s="380" t="s">
        <v>1187</v>
      </c>
      <c r="C967" s="381" t="s">
        <v>5060</v>
      </c>
      <c r="D967" s="380" t="s">
        <v>5061</v>
      </c>
      <c r="E967" s="382" t="s">
        <v>5062</v>
      </c>
      <c r="F967" s="282" t="s">
        <v>5063</v>
      </c>
      <c r="G967" s="282" t="s">
        <v>4955</v>
      </c>
      <c r="J967" s="282" t="s">
        <v>1550</v>
      </c>
    </row>
    <row r="968" spans="1:10" ht="14.4" hidden="1">
      <c r="A968" s="380" t="s">
        <v>1182</v>
      </c>
      <c r="B968" s="380" t="s">
        <v>1187</v>
      </c>
      <c r="C968" s="381" t="s">
        <v>5064</v>
      </c>
      <c r="D968" s="380" t="s">
        <v>5065</v>
      </c>
      <c r="E968" s="382" t="s">
        <v>5066</v>
      </c>
      <c r="F968" s="282" t="s">
        <v>5067</v>
      </c>
      <c r="G968" s="282" t="s">
        <v>4955</v>
      </c>
      <c r="J968" s="282" t="s">
        <v>1550</v>
      </c>
    </row>
    <row r="969" spans="1:10" ht="14.4" hidden="1">
      <c r="A969" s="380" t="s">
        <v>1182</v>
      </c>
      <c r="B969" s="380" t="s">
        <v>1187</v>
      </c>
      <c r="C969" s="381" t="s">
        <v>5068</v>
      </c>
      <c r="D969" s="380" t="s">
        <v>5069</v>
      </c>
      <c r="E969" s="382" t="s">
        <v>5070</v>
      </c>
      <c r="F969" s="282" t="s">
        <v>5071</v>
      </c>
      <c r="G969" s="282" t="s">
        <v>4955</v>
      </c>
      <c r="J969" s="282" t="s">
        <v>1550</v>
      </c>
    </row>
    <row r="970" spans="1:10" ht="14.4" hidden="1">
      <c r="A970" s="380" t="s">
        <v>1182</v>
      </c>
      <c r="B970" s="380" t="s">
        <v>1187</v>
      </c>
      <c r="C970" s="381" t="s">
        <v>5072</v>
      </c>
      <c r="D970" s="380" t="s">
        <v>5073</v>
      </c>
      <c r="E970" s="382" t="s">
        <v>5074</v>
      </c>
      <c r="F970" s="282" t="s">
        <v>5075</v>
      </c>
      <c r="G970" s="282" t="s">
        <v>4955</v>
      </c>
      <c r="J970" s="282" t="s">
        <v>1550</v>
      </c>
    </row>
    <row r="971" spans="1:10" ht="14.4" hidden="1">
      <c r="A971" s="380" t="s">
        <v>1182</v>
      </c>
      <c r="B971" s="380" t="s">
        <v>1187</v>
      </c>
      <c r="C971" s="381" t="s">
        <v>5076</v>
      </c>
      <c r="D971" s="380" t="s">
        <v>5077</v>
      </c>
      <c r="E971" s="382" t="s">
        <v>5078</v>
      </c>
      <c r="F971" s="282" t="s">
        <v>5079</v>
      </c>
      <c r="G971" s="282" t="s">
        <v>4955</v>
      </c>
      <c r="J971" s="282" t="s">
        <v>1550</v>
      </c>
    </row>
    <row r="972" spans="1:10" ht="14.4" hidden="1">
      <c r="A972" s="380" t="s">
        <v>1182</v>
      </c>
      <c r="B972" s="380" t="s">
        <v>1187</v>
      </c>
      <c r="C972" s="381" t="s">
        <v>5080</v>
      </c>
      <c r="D972" s="380" t="s">
        <v>5081</v>
      </c>
      <c r="E972" s="382" t="s">
        <v>5082</v>
      </c>
      <c r="F972" s="282" t="s">
        <v>5083</v>
      </c>
      <c r="G972" s="282" t="s">
        <v>4955</v>
      </c>
      <c r="J972" s="282" t="s">
        <v>1550</v>
      </c>
    </row>
    <row r="973" spans="1:10" ht="14.4" hidden="1">
      <c r="A973" s="380" t="s">
        <v>1182</v>
      </c>
      <c r="B973" s="380" t="s">
        <v>1187</v>
      </c>
      <c r="C973" s="381" t="s">
        <v>5084</v>
      </c>
      <c r="D973" s="380" t="s">
        <v>5085</v>
      </c>
      <c r="E973" s="382" t="s">
        <v>5086</v>
      </c>
      <c r="F973" s="282" t="s">
        <v>5087</v>
      </c>
      <c r="G973" s="282" t="s">
        <v>4955</v>
      </c>
      <c r="J973" s="282" t="s">
        <v>1550</v>
      </c>
    </row>
    <row r="974" spans="1:10" ht="14.4" hidden="1">
      <c r="A974" s="380" t="s">
        <v>1182</v>
      </c>
      <c r="B974" s="380" t="s">
        <v>1187</v>
      </c>
      <c r="C974" s="381" t="s">
        <v>5088</v>
      </c>
      <c r="D974" s="380" t="s">
        <v>5089</v>
      </c>
      <c r="E974" s="382" t="s">
        <v>5090</v>
      </c>
      <c r="F974" s="282" t="s">
        <v>5091</v>
      </c>
      <c r="G974" s="282" t="s">
        <v>4955</v>
      </c>
      <c r="J974" s="282" t="s">
        <v>1550</v>
      </c>
    </row>
    <row r="975" spans="1:10" ht="14.4" hidden="1">
      <c r="A975" s="380" t="s">
        <v>1182</v>
      </c>
      <c r="B975" s="380" t="s">
        <v>1187</v>
      </c>
      <c r="C975" s="381" t="s">
        <v>5092</v>
      </c>
      <c r="D975" s="380" t="s">
        <v>5093</v>
      </c>
      <c r="E975" s="382" t="s">
        <v>5094</v>
      </c>
      <c r="F975" s="282" t="s">
        <v>5095</v>
      </c>
      <c r="G975" s="282" t="s">
        <v>5096</v>
      </c>
      <c r="J975" s="282" t="s">
        <v>1550</v>
      </c>
    </row>
    <row r="976" spans="1:10" ht="14.4" hidden="1">
      <c r="A976" s="380" t="s">
        <v>1182</v>
      </c>
      <c r="B976" s="380" t="s">
        <v>1187</v>
      </c>
      <c r="C976" s="381" t="s">
        <v>5097</v>
      </c>
      <c r="D976" s="380" t="s">
        <v>5098</v>
      </c>
      <c r="E976" s="382" t="s">
        <v>5099</v>
      </c>
      <c r="F976" s="282" t="s">
        <v>5100</v>
      </c>
      <c r="G976" s="282" t="s">
        <v>5096</v>
      </c>
      <c r="J976" s="282" t="s">
        <v>1550</v>
      </c>
    </row>
    <row r="977" spans="1:10" ht="14.4" hidden="1">
      <c r="A977" s="380" t="s">
        <v>1182</v>
      </c>
      <c r="B977" s="380" t="s">
        <v>1187</v>
      </c>
      <c r="C977" s="381" t="s">
        <v>5101</v>
      </c>
      <c r="D977" s="380" t="s">
        <v>5102</v>
      </c>
      <c r="E977" s="382" t="s">
        <v>5103</v>
      </c>
      <c r="F977" s="282" t="s">
        <v>5104</v>
      </c>
      <c r="G977" s="282" t="s">
        <v>5096</v>
      </c>
      <c r="J977" s="282" t="s">
        <v>1550</v>
      </c>
    </row>
    <row r="978" spans="1:10" ht="14.4" hidden="1">
      <c r="A978" s="380" t="s">
        <v>1182</v>
      </c>
      <c r="B978" s="380" t="s">
        <v>1187</v>
      </c>
      <c r="C978" s="381" t="s">
        <v>5105</v>
      </c>
      <c r="D978" s="380" t="s">
        <v>5106</v>
      </c>
      <c r="E978" s="382" t="s">
        <v>5107</v>
      </c>
      <c r="F978" s="282" t="s">
        <v>5108</v>
      </c>
      <c r="G978" s="282" t="s">
        <v>5096</v>
      </c>
      <c r="J978" s="282" t="s">
        <v>1550</v>
      </c>
    </row>
    <row r="979" spans="1:10" ht="14.4" hidden="1">
      <c r="A979" s="380" t="s">
        <v>1182</v>
      </c>
      <c r="B979" s="380" t="s">
        <v>1187</v>
      </c>
      <c r="C979" s="381" t="s">
        <v>5109</v>
      </c>
      <c r="D979" s="380" t="s">
        <v>5110</v>
      </c>
      <c r="E979" s="382" t="s">
        <v>5111</v>
      </c>
      <c r="F979" s="282" t="s">
        <v>5112</v>
      </c>
      <c r="G979" s="282" t="s">
        <v>5096</v>
      </c>
      <c r="J979" s="282" t="s">
        <v>1550</v>
      </c>
    </row>
    <row r="980" spans="1:10" ht="14.4" hidden="1">
      <c r="A980" s="380" t="s">
        <v>1182</v>
      </c>
      <c r="B980" s="380" t="s">
        <v>1187</v>
      </c>
      <c r="C980" s="381" t="s">
        <v>5113</v>
      </c>
      <c r="D980" s="380" t="s">
        <v>5114</v>
      </c>
      <c r="E980" s="382" t="s">
        <v>5115</v>
      </c>
      <c r="F980" s="282" t="s">
        <v>5116</v>
      </c>
      <c r="G980" s="282" t="s">
        <v>5096</v>
      </c>
      <c r="J980" s="282" t="s">
        <v>1550</v>
      </c>
    </row>
    <row r="981" spans="1:10" ht="14.4" hidden="1">
      <c r="A981" s="380" t="s">
        <v>1182</v>
      </c>
      <c r="B981" s="380" t="s">
        <v>1187</v>
      </c>
      <c r="C981" s="381" t="s">
        <v>5117</v>
      </c>
      <c r="D981" s="380" t="s">
        <v>5118</v>
      </c>
      <c r="E981" s="382" t="s">
        <v>5119</v>
      </c>
      <c r="F981" s="282" t="s">
        <v>5120</v>
      </c>
      <c r="G981" s="282" t="s">
        <v>5096</v>
      </c>
      <c r="J981" s="282" t="s">
        <v>1550</v>
      </c>
    </row>
    <row r="982" spans="1:10" ht="14.4" hidden="1">
      <c r="A982" s="380" t="s">
        <v>1182</v>
      </c>
      <c r="B982" s="380" t="s">
        <v>1187</v>
      </c>
      <c r="C982" s="381" t="s">
        <v>5121</v>
      </c>
      <c r="D982" s="380" t="s">
        <v>5122</v>
      </c>
      <c r="E982" s="382" t="s">
        <v>5123</v>
      </c>
      <c r="F982" s="282" t="s">
        <v>5124</v>
      </c>
      <c r="G982" s="282" t="s">
        <v>5096</v>
      </c>
      <c r="J982" s="282" t="s">
        <v>1550</v>
      </c>
    </row>
    <row r="983" spans="1:10" ht="14.4" hidden="1">
      <c r="A983" s="380" t="s">
        <v>1182</v>
      </c>
      <c r="B983" s="380" t="s">
        <v>1187</v>
      </c>
      <c r="C983" s="381" t="s">
        <v>5125</v>
      </c>
      <c r="D983" s="380" t="s">
        <v>5126</v>
      </c>
      <c r="E983" s="382" t="s">
        <v>5127</v>
      </c>
      <c r="F983" s="282" t="s">
        <v>5128</v>
      </c>
      <c r="G983" s="282" t="s">
        <v>5096</v>
      </c>
      <c r="J983" s="282" t="s">
        <v>1550</v>
      </c>
    </row>
    <row r="984" spans="1:10" ht="14.4" hidden="1">
      <c r="A984" s="380" t="s">
        <v>1182</v>
      </c>
      <c r="B984" s="380" t="s">
        <v>1187</v>
      </c>
      <c r="C984" s="381" t="s">
        <v>5129</v>
      </c>
      <c r="D984" s="380" t="s">
        <v>5130</v>
      </c>
      <c r="E984" s="382" t="s">
        <v>5131</v>
      </c>
      <c r="F984" s="282" t="s">
        <v>5132</v>
      </c>
      <c r="G984" s="282" t="s">
        <v>5096</v>
      </c>
      <c r="J984" s="282" t="s">
        <v>1550</v>
      </c>
    </row>
    <row r="985" spans="1:10" ht="14.4" hidden="1">
      <c r="A985" s="380" t="s">
        <v>1182</v>
      </c>
      <c r="B985" s="380" t="s">
        <v>1187</v>
      </c>
      <c r="C985" s="381" t="s">
        <v>5133</v>
      </c>
      <c r="D985" s="380" t="s">
        <v>5134</v>
      </c>
      <c r="E985" s="382" t="s">
        <v>5135</v>
      </c>
      <c r="F985" s="282" t="s">
        <v>5136</v>
      </c>
      <c r="G985" s="282" t="s">
        <v>5096</v>
      </c>
      <c r="J985" s="282" t="s">
        <v>1550</v>
      </c>
    </row>
    <row r="986" spans="1:10" ht="14.4" hidden="1">
      <c r="A986" s="380" t="s">
        <v>1182</v>
      </c>
      <c r="B986" s="380" t="s">
        <v>1187</v>
      </c>
      <c r="C986" s="381" t="s">
        <v>5137</v>
      </c>
      <c r="D986" s="380" t="s">
        <v>5138</v>
      </c>
      <c r="E986" s="382" t="s">
        <v>5139</v>
      </c>
      <c r="F986" s="282" t="s">
        <v>5140</v>
      </c>
      <c r="G986" s="282" t="s">
        <v>5096</v>
      </c>
      <c r="J986" s="282" t="s">
        <v>1550</v>
      </c>
    </row>
    <row r="987" spans="1:10" ht="14.4" hidden="1">
      <c r="A987" s="380" t="s">
        <v>1182</v>
      </c>
      <c r="B987" s="380" t="s">
        <v>1187</v>
      </c>
      <c r="C987" s="381" t="s">
        <v>5141</v>
      </c>
      <c r="D987" s="380" t="s">
        <v>5142</v>
      </c>
      <c r="E987" s="382" t="s">
        <v>5143</v>
      </c>
      <c r="F987" s="282" t="s">
        <v>5144</v>
      </c>
      <c r="G987" s="282" t="s">
        <v>5096</v>
      </c>
      <c r="J987" s="282" t="s">
        <v>1550</v>
      </c>
    </row>
    <row r="988" spans="1:10" ht="14.4" hidden="1">
      <c r="A988" s="380" t="s">
        <v>1182</v>
      </c>
      <c r="B988" s="380" t="s">
        <v>1187</v>
      </c>
      <c r="C988" s="381" t="s">
        <v>5145</v>
      </c>
      <c r="D988" s="380" t="s">
        <v>5146</v>
      </c>
      <c r="E988" s="382" t="s">
        <v>5147</v>
      </c>
      <c r="F988" s="282" t="s">
        <v>5148</v>
      </c>
      <c r="G988" s="282" t="s">
        <v>5096</v>
      </c>
      <c r="J988" s="282" t="s">
        <v>1550</v>
      </c>
    </row>
    <row r="989" spans="1:10" ht="14.4" hidden="1">
      <c r="A989" s="380" t="s">
        <v>1182</v>
      </c>
      <c r="B989" s="380" t="s">
        <v>1187</v>
      </c>
      <c r="C989" s="381" t="s">
        <v>5149</v>
      </c>
      <c r="D989" s="380" t="s">
        <v>5150</v>
      </c>
      <c r="E989" s="382" t="s">
        <v>5151</v>
      </c>
      <c r="F989" s="282" t="s">
        <v>5152</v>
      </c>
      <c r="G989" s="282" t="s">
        <v>5096</v>
      </c>
      <c r="J989" s="282" t="s">
        <v>1550</v>
      </c>
    </row>
    <row r="990" spans="1:10" ht="14.4" hidden="1">
      <c r="A990" s="380" t="s">
        <v>1182</v>
      </c>
      <c r="B990" s="380" t="s">
        <v>1187</v>
      </c>
      <c r="C990" s="381" t="s">
        <v>5153</v>
      </c>
      <c r="D990" s="380" t="s">
        <v>5154</v>
      </c>
      <c r="E990" s="382" t="s">
        <v>5155</v>
      </c>
      <c r="F990" s="282" t="s">
        <v>5156</v>
      </c>
      <c r="G990" s="282" t="s">
        <v>5096</v>
      </c>
      <c r="J990" s="282" t="s">
        <v>1550</v>
      </c>
    </row>
    <row r="991" spans="1:10" ht="14.4" hidden="1">
      <c r="A991" s="380" t="s">
        <v>1182</v>
      </c>
      <c r="B991" s="380" t="s">
        <v>1187</v>
      </c>
      <c r="C991" s="381" t="s">
        <v>5157</v>
      </c>
      <c r="D991" s="380" t="s">
        <v>5158</v>
      </c>
      <c r="E991" s="382" t="s">
        <v>5159</v>
      </c>
      <c r="F991" s="282" t="s">
        <v>5160</v>
      </c>
      <c r="G991" s="282" t="s">
        <v>5096</v>
      </c>
      <c r="J991" s="282" t="s">
        <v>1550</v>
      </c>
    </row>
    <row r="992" spans="1:10" ht="14.4" hidden="1">
      <c r="A992" s="380" t="s">
        <v>1182</v>
      </c>
      <c r="B992" s="380" t="s">
        <v>1187</v>
      </c>
      <c r="C992" s="381" t="s">
        <v>5161</v>
      </c>
      <c r="D992" s="380" t="s">
        <v>5162</v>
      </c>
      <c r="E992" s="382" t="s">
        <v>5163</v>
      </c>
      <c r="F992" s="282" t="s">
        <v>5164</v>
      </c>
      <c r="G992" s="282" t="s">
        <v>5096</v>
      </c>
      <c r="J992" s="282" t="s">
        <v>1550</v>
      </c>
    </row>
    <row r="993" spans="1:10" ht="14.4" hidden="1">
      <c r="A993" s="380" t="s">
        <v>1182</v>
      </c>
      <c r="B993" s="380" t="s">
        <v>1187</v>
      </c>
      <c r="C993" s="381" t="s">
        <v>5165</v>
      </c>
      <c r="D993" s="380" t="s">
        <v>5166</v>
      </c>
      <c r="E993" s="382" t="s">
        <v>5167</v>
      </c>
      <c r="F993" s="282" t="s">
        <v>5168</v>
      </c>
      <c r="G993" s="282" t="s">
        <v>5096</v>
      </c>
      <c r="J993" s="282" t="s">
        <v>1550</v>
      </c>
    </row>
    <row r="994" spans="1:10" ht="14.4" hidden="1">
      <c r="A994" s="380" t="s">
        <v>1182</v>
      </c>
      <c r="B994" s="380" t="s">
        <v>1187</v>
      </c>
      <c r="C994" s="381" t="s">
        <v>5169</v>
      </c>
      <c r="D994" s="380" t="s">
        <v>5170</v>
      </c>
      <c r="E994" s="382" t="s">
        <v>5171</v>
      </c>
      <c r="F994" s="282" t="s">
        <v>5172</v>
      </c>
      <c r="G994" s="282" t="s">
        <v>5096</v>
      </c>
      <c r="J994" s="282" t="s">
        <v>1550</v>
      </c>
    </row>
    <row r="995" spans="1:10" ht="14.4" hidden="1">
      <c r="A995" s="380" t="s">
        <v>1182</v>
      </c>
      <c r="B995" s="380" t="s">
        <v>1187</v>
      </c>
      <c r="C995" s="381" t="s">
        <v>5173</v>
      </c>
      <c r="D995" s="380" t="s">
        <v>5174</v>
      </c>
      <c r="E995" s="382" t="s">
        <v>5175</v>
      </c>
      <c r="F995" s="282" t="s">
        <v>5176</v>
      </c>
      <c r="G995" s="282" t="s">
        <v>5096</v>
      </c>
      <c r="J995" s="282" t="s">
        <v>1550</v>
      </c>
    </row>
    <row r="996" spans="1:10" ht="14.4" hidden="1">
      <c r="A996" s="380" t="s">
        <v>1182</v>
      </c>
      <c r="B996" s="380" t="s">
        <v>1187</v>
      </c>
      <c r="C996" s="381" t="s">
        <v>5177</v>
      </c>
      <c r="D996" s="380" t="s">
        <v>5178</v>
      </c>
      <c r="E996" s="382" t="s">
        <v>5179</v>
      </c>
      <c r="F996" s="282" t="s">
        <v>5180</v>
      </c>
      <c r="G996" s="282" t="s">
        <v>5096</v>
      </c>
      <c r="J996" s="282" t="s">
        <v>1550</v>
      </c>
    </row>
    <row r="997" spans="1:10" ht="14.4" hidden="1">
      <c r="A997" s="380" t="s">
        <v>1182</v>
      </c>
      <c r="B997" s="380" t="s">
        <v>1187</v>
      </c>
      <c r="C997" s="381" t="s">
        <v>5181</v>
      </c>
      <c r="D997" s="380" t="s">
        <v>5182</v>
      </c>
      <c r="E997" s="382" t="s">
        <v>5183</v>
      </c>
      <c r="F997" s="282" t="s">
        <v>5184</v>
      </c>
      <c r="G997" s="282" t="s">
        <v>5096</v>
      </c>
      <c r="J997" s="282" t="s">
        <v>1550</v>
      </c>
    </row>
    <row r="998" spans="1:10" ht="14.4" hidden="1">
      <c r="A998" s="380" t="s">
        <v>1182</v>
      </c>
      <c r="B998" s="380" t="s">
        <v>1187</v>
      </c>
      <c r="C998" s="381" t="s">
        <v>5185</v>
      </c>
      <c r="D998" s="380" t="s">
        <v>5186</v>
      </c>
      <c r="E998" s="382" t="s">
        <v>5187</v>
      </c>
      <c r="F998" s="282" t="s">
        <v>5188</v>
      </c>
      <c r="G998" s="282" t="s">
        <v>5096</v>
      </c>
      <c r="J998" s="282" t="s">
        <v>1550</v>
      </c>
    </row>
    <row r="999" spans="1:10" ht="14.4" hidden="1">
      <c r="A999" s="380" t="s">
        <v>1182</v>
      </c>
      <c r="B999" s="380" t="s">
        <v>1187</v>
      </c>
      <c r="C999" s="381" t="s">
        <v>5189</v>
      </c>
      <c r="D999" s="380" t="s">
        <v>5190</v>
      </c>
      <c r="E999" s="382" t="s">
        <v>5191</v>
      </c>
      <c r="F999" s="282" t="s">
        <v>5192</v>
      </c>
      <c r="G999" s="282" t="s">
        <v>5096</v>
      </c>
      <c r="J999" s="282" t="s">
        <v>1550</v>
      </c>
    </row>
    <row r="1000" spans="1:10" ht="14.4" hidden="1">
      <c r="A1000" s="380" t="s">
        <v>1182</v>
      </c>
      <c r="B1000" s="380" t="s">
        <v>1187</v>
      </c>
      <c r="C1000" s="381" t="s">
        <v>5193</v>
      </c>
      <c r="D1000" s="380" t="s">
        <v>5194</v>
      </c>
      <c r="E1000" s="382" t="s">
        <v>5195</v>
      </c>
      <c r="F1000" s="282" t="s">
        <v>5196</v>
      </c>
      <c r="G1000" s="282" t="s">
        <v>5096</v>
      </c>
      <c r="J1000" s="282" t="s">
        <v>1550</v>
      </c>
    </row>
    <row r="1001" spans="1:10" ht="14.4" hidden="1">
      <c r="A1001" s="380" t="s">
        <v>1182</v>
      </c>
      <c r="B1001" s="380" t="s">
        <v>1187</v>
      </c>
      <c r="C1001" s="381" t="s">
        <v>5197</v>
      </c>
      <c r="D1001" s="380" t="s">
        <v>5198</v>
      </c>
      <c r="E1001" s="382" t="s">
        <v>5199</v>
      </c>
      <c r="F1001" s="282" t="s">
        <v>5200</v>
      </c>
      <c r="G1001" s="282" t="s">
        <v>5096</v>
      </c>
      <c r="J1001" s="282" t="s">
        <v>1550</v>
      </c>
    </row>
    <row r="1002" spans="1:10" ht="14.4" hidden="1">
      <c r="A1002" s="380" t="s">
        <v>1182</v>
      </c>
      <c r="B1002" s="380" t="s">
        <v>1187</v>
      </c>
      <c r="C1002" s="381" t="s">
        <v>5201</v>
      </c>
      <c r="D1002" s="380" t="s">
        <v>5202</v>
      </c>
      <c r="E1002" s="382" t="s">
        <v>5203</v>
      </c>
      <c r="F1002" s="282" t="s">
        <v>5204</v>
      </c>
      <c r="G1002" s="282" t="s">
        <v>5096</v>
      </c>
      <c r="J1002" s="282" t="s">
        <v>1550</v>
      </c>
    </row>
    <row r="1003" spans="1:10" ht="14.4" hidden="1">
      <c r="A1003" s="380" t="s">
        <v>1182</v>
      </c>
      <c r="B1003" s="380" t="s">
        <v>1187</v>
      </c>
      <c r="C1003" s="381" t="s">
        <v>5205</v>
      </c>
      <c r="D1003" s="380" t="s">
        <v>5206</v>
      </c>
      <c r="E1003" s="382" t="s">
        <v>5207</v>
      </c>
      <c r="F1003" s="282" t="s">
        <v>5208</v>
      </c>
      <c r="G1003" s="282" t="s">
        <v>5096</v>
      </c>
      <c r="J1003" s="282" t="s">
        <v>1550</v>
      </c>
    </row>
    <row r="1004" spans="1:10" ht="14.4" hidden="1">
      <c r="A1004" s="380" t="s">
        <v>1182</v>
      </c>
      <c r="B1004" s="380" t="s">
        <v>1187</v>
      </c>
      <c r="C1004" s="381" t="s">
        <v>5209</v>
      </c>
      <c r="D1004" s="380" t="s">
        <v>5210</v>
      </c>
      <c r="E1004" s="382" t="s">
        <v>5211</v>
      </c>
      <c r="F1004" s="282" t="s">
        <v>5212</v>
      </c>
      <c r="G1004" s="282" t="s">
        <v>5096</v>
      </c>
      <c r="J1004" s="282" t="s">
        <v>1550</v>
      </c>
    </row>
    <row r="1005" spans="1:10" ht="14.4" hidden="1">
      <c r="A1005" s="380" t="s">
        <v>1189</v>
      </c>
      <c r="B1005" s="380" t="s">
        <v>1194</v>
      </c>
      <c r="C1005" s="381" t="s">
        <v>5213</v>
      </c>
      <c r="D1005" s="380" t="s">
        <v>5214</v>
      </c>
      <c r="E1005" s="386" t="s">
        <v>5215</v>
      </c>
      <c r="F1005" s="389" t="s">
        <v>5216</v>
      </c>
      <c r="G1005" s="381" t="s">
        <v>5217</v>
      </c>
      <c r="J1005" s="390" t="s">
        <v>5218</v>
      </c>
    </row>
    <row r="1006" spans="1:10" ht="14.4" hidden="1">
      <c r="A1006" s="380" t="s">
        <v>1189</v>
      </c>
      <c r="B1006" s="380" t="s">
        <v>1194</v>
      </c>
      <c r="C1006" s="381" t="s">
        <v>5219</v>
      </c>
      <c r="D1006" s="380" t="s">
        <v>5220</v>
      </c>
      <c r="E1006" s="386" t="s">
        <v>5221</v>
      </c>
      <c r="F1006" s="389" t="s">
        <v>5222</v>
      </c>
      <c r="G1006" s="381" t="s">
        <v>5217</v>
      </c>
      <c r="J1006" s="390" t="s">
        <v>5218</v>
      </c>
    </row>
    <row r="1007" spans="1:10" ht="14.4" hidden="1">
      <c r="A1007" s="380" t="s">
        <v>1189</v>
      </c>
      <c r="B1007" s="380" t="s">
        <v>1194</v>
      </c>
      <c r="C1007" s="381" t="s">
        <v>5223</v>
      </c>
      <c r="D1007" s="380" t="s">
        <v>5224</v>
      </c>
      <c r="E1007" s="386" t="s">
        <v>5225</v>
      </c>
      <c r="F1007" s="389" t="s">
        <v>5226</v>
      </c>
      <c r="G1007" s="381" t="s">
        <v>5217</v>
      </c>
      <c r="J1007" s="390" t="s">
        <v>5218</v>
      </c>
    </row>
    <row r="1008" spans="1:10" ht="14.4" hidden="1">
      <c r="A1008" s="380" t="s">
        <v>1189</v>
      </c>
      <c r="B1008" s="380" t="s">
        <v>1194</v>
      </c>
      <c r="C1008" s="381" t="s">
        <v>5227</v>
      </c>
      <c r="D1008" s="380" t="s">
        <v>5228</v>
      </c>
      <c r="E1008" s="386" t="s">
        <v>5229</v>
      </c>
      <c r="F1008" s="389" t="s">
        <v>5230</v>
      </c>
      <c r="G1008" s="381" t="s">
        <v>5217</v>
      </c>
      <c r="J1008" s="390" t="s">
        <v>5218</v>
      </c>
    </row>
    <row r="1009" spans="1:10" ht="14.4" hidden="1">
      <c r="A1009" s="380" t="s">
        <v>1189</v>
      </c>
      <c r="B1009" s="380" t="s">
        <v>1194</v>
      </c>
      <c r="C1009" s="381" t="s">
        <v>5231</v>
      </c>
      <c r="D1009" s="380" t="s">
        <v>5232</v>
      </c>
      <c r="E1009" s="386" t="s">
        <v>5233</v>
      </c>
      <c r="F1009" s="389" t="s">
        <v>5234</v>
      </c>
      <c r="G1009" s="381" t="s">
        <v>5217</v>
      </c>
      <c r="J1009" s="390" t="s">
        <v>5218</v>
      </c>
    </row>
    <row r="1010" spans="1:10" ht="14.4" hidden="1">
      <c r="A1010" s="380" t="s">
        <v>1189</v>
      </c>
      <c r="B1010" s="380" t="s">
        <v>1194</v>
      </c>
      <c r="C1010" s="381" t="s">
        <v>5235</v>
      </c>
      <c r="D1010" s="380" t="s">
        <v>5236</v>
      </c>
      <c r="E1010" s="386" t="s">
        <v>5237</v>
      </c>
      <c r="F1010" s="389" t="s">
        <v>5238</v>
      </c>
      <c r="G1010" s="381" t="s">
        <v>5217</v>
      </c>
      <c r="J1010" s="390" t="s">
        <v>5218</v>
      </c>
    </row>
    <row r="1011" spans="1:10" ht="14.4" hidden="1">
      <c r="A1011" s="380" t="s">
        <v>1189</v>
      </c>
      <c r="B1011" s="380" t="s">
        <v>1194</v>
      </c>
      <c r="C1011" s="381" t="s">
        <v>5239</v>
      </c>
      <c r="D1011" s="380" t="s">
        <v>5240</v>
      </c>
      <c r="E1011" s="386" t="s">
        <v>5241</v>
      </c>
      <c r="F1011" s="389" t="s">
        <v>5242</v>
      </c>
      <c r="G1011" s="381" t="s">
        <v>5217</v>
      </c>
      <c r="H1011" s="282" t="s">
        <v>1548</v>
      </c>
      <c r="J1011" s="390" t="s">
        <v>5218</v>
      </c>
    </row>
    <row r="1012" spans="1:10" ht="14.4" hidden="1">
      <c r="A1012" s="380" t="s">
        <v>1189</v>
      </c>
      <c r="B1012" s="380" t="s">
        <v>1194</v>
      </c>
      <c r="C1012" s="381" t="s">
        <v>5243</v>
      </c>
      <c r="D1012" s="380" t="s">
        <v>5244</v>
      </c>
      <c r="E1012" s="386" t="s">
        <v>5245</v>
      </c>
      <c r="F1012" s="389" t="s">
        <v>5246</v>
      </c>
      <c r="G1012" s="381" t="s">
        <v>5217</v>
      </c>
      <c r="H1012" s="282" t="s">
        <v>1548</v>
      </c>
      <c r="J1012" s="390" t="s">
        <v>5218</v>
      </c>
    </row>
    <row r="1013" spans="1:10" ht="14.4" hidden="1">
      <c r="A1013" s="380" t="s">
        <v>1189</v>
      </c>
      <c r="B1013" s="380" t="s">
        <v>1194</v>
      </c>
      <c r="C1013" s="381" t="s">
        <v>5247</v>
      </c>
      <c r="D1013" s="380" t="s">
        <v>5248</v>
      </c>
      <c r="E1013" s="386" t="s">
        <v>5249</v>
      </c>
      <c r="F1013" s="389" t="s">
        <v>5250</v>
      </c>
      <c r="G1013" s="381" t="s">
        <v>5217</v>
      </c>
      <c r="J1013" s="390" t="s">
        <v>5218</v>
      </c>
    </row>
    <row r="1014" spans="1:10" ht="14.4" hidden="1">
      <c r="A1014" s="380" t="s">
        <v>1189</v>
      </c>
      <c r="B1014" s="380" t="s">
        <v>1194</v>
      </c>
      <c r="C1014" s="381" t="s">
        <v>5251</v>
      </c>
      <c r="D1014" s="380" t="s">
        <v>5252</v>
      </c>
      <c r="E1014" s="386" t="s">
        <v>5253</v>
      </c>
      <c r="F1014" s="389" t="s">
        <v>5254</v>
      </c>
      <c r="G1014" s="381" t="s">
        <v>5217</v>
      </c>
      <c r="J1014" s="390" t="s">
        <v>5218</v>
      </c>
    </row>
    <row r="1015" spans="1:10" ht="14.4" hidden="1">
      <c r="A1015" s="380" t="s">
        <v>1189</v>
      </c>
      <c r="B1015" s="380" t="s">
        <v>1194</v>
      </c>
      <c r="C1015" s="381" t="s">
        <v>5255</v>
      </c>
      <c r="D1015" s="380" t="s">
        <v>5256</v>
      </c>
      <c r="E1015" s="386" t="s">
        <v>5257</v>
      </c>
      <c r="F1015" s="389" t="s">
        <v>5258</v>
      </c>
      <c r="G1015" s="381" t="s">
        <v>5217</v>
      </c>
      <c r="J1015" s="390" t="s">
        <v>5218</v>
      </c>
    </row>
    <row r="1016" spans="1:10" ht="14.4" hidden="1">
      <c r="A1016" s="380" t="s">
        <v>1189</v>
      </c>
      <c r="B1016" s="380" t="s">
        <v>1194</v>
      </c>
      <c r="C1016" s="381" t="s">
        <v>5259</v>
      </c>
      <c r="D1016" s="380" t="s">
        <v>5260</v>
      </c>
      <c r="E1016" s="386" t="s">
        <v>5261</v>
      </c>
      <c r="F1016" s="389" t="s">
        <v>5262</v>
      </c>
      <c r="G1016" s="381" t="s">
        <v>5217</v>
      </c>
      <c r="J1016" s="390" t="s">
        <v>5218</v>
      </c>
    </row>
    <row r="1017" spans="1:10" ht="14.4" hidden="1">
      <c r="A1017" s="380" t="s">
        <v>1189</v>
      </c>
      <c r="B1017" s="380" t="s">
        <v>1194</v>
      </c>
      <c r="C1017" s="381" t="s">
        <v>5263</v>
      </c>
      <c r="D1017" s="380" t="s">
        <v>5264</v>
      </c>
      <c r="E1017" s="386" t="s">
        <v>5265</v>
      </c>
      <c r="F1017" s="389" t="s">
        <v>5266</v>
      </c>
      <c r="G1017" s="381" t="s">
        <v>5217</v>
      </c>
      <c r="J1017" s="390" t="s">
        <v>5218</v>
      </c>
    </row>
    <row r="1018" spans="1:10" ht="14.4" hidden="1">
      <c r="A1018" s="380" t="s">
        <v>1189</v>
      </c>
      <c r="B1018" s="380" t="s">
        <v>1194</v>
      </c>
      <c r="C1018" s="381" t="s">
        <v>5267</v>
      </c>
      <c r="D1018" s="380" t="s">
        <v>5268</v>
      </c>
      <c r="E1018" s="386" t="s">
        <v>5269</v>
      </c>
      <c r="F1018" s="389" t="s">
        <v>5270</v>
      </c>
      <c r="G1018" s="381" t="s">
        <v>5217</v>
      </c>
      <c r="J1018" s="282" t="s">
        <v>5271</v>
      </c>
    </row>
    <row r="1019" spans="1:10" ht="14.4" hidden="1">
      <c r="A1019" s="380" t="s">
        <v>1189</v>
      </c>
      <c r="B1019" s="380" t="s">
        <v>1194</v>
      </c>
      <c r="C1019" s="381" t="s">
        <v>5272</v>
      </c>
      <c r="D1019" s="380" t="s">
        <v>5273</v>
      </c>
      <c r="E1019" s="386" t="s">
        <v>5274</v>
      </c>
      <c r="F1019" s="389" t="s">
        <v>5275</v>
      </c>
      <c r="G1019" s="381" t="s">
        <v>5217</v>
      </c>
      <c r="J1019" s="282" t="s">
        <v>5271</v>
      </c>
    </row>
    <row r="1020" spans="1:10" ht="14.4" hidden="1">
      <c r="A1020" s="380" t="s">
        <v>1189</v>
      </c>
      <c r="B1020" s="380" t="s">
        <v>1194</v>
      </c>
      <c r="C1020" s="381" t="s">
        <v>5276</v>
      </c>
      <c r="D1020" s="380" t="s">
        <v>5277</v>
      </c>
      <c r="E1020" s="386" t="s">
        <v>5278</v>
      </c>
      <c r="F1020" s="389" t="s">
        <v>5279</v>
      </c>
      <c r="G1020" s="381" t="s">
        <v>5217</v>
      </c>
      <c r="J1020" s="282" t="s">
        <v>5271</v>
      </c>
    </row>
    <row r="1021" spans="1:10" ht="14.4" hidden="1">
      <c r="A1021" s="380" t="s">
        <v>1189</v>
      </c>
      <c r="B1021" s="380" t="s">
        <v>1194</v>
      </c>
      <c r="C1021" s="381" t="s">
        <v>5280</v>
      </c>
      <c r="D1021" s="380" t="s">
        <v>5281</v>
      </c>
      <c r="E1021" s="386" t="s">
        <v>5282</v>
      </c>
      <c r="F1021" s="389" t="s">
        <v>5283</v>
      </c>
      <c r="G1021" s="381" t="s">
        <v>5217</v>
      </c>
      <c r="J1021" s="282" t="s">
        <v>5271</v>
      </c>
    </row>
    <row r="1022" spans="1:10" ht="14.4" hidden="1">
      <c r="A1022" s="380" t="s">
        <v>1189</v>
      </c>
      <c r="B1022" s="380" t="s">
        <v>1194</v>
      </c>
      <c r="C1022" s="381" t="s">
        <v>5284</v>
      </c>
      <c r="D1022" s="380" t="s">
        <v>5285</v>
      </c>
      <c r="E1022" s="386" t="s">
        <v>5286</v>
      </c>
      <c r="F1022" s="389" t="s">
        <v>5287</v>
      </c>
      <c r="G1022" s="381" t="s">
        <v>5217</v>
      </c>
      <c r="J1022" s="282" t="s">
        <v>5271</v>
      </c>
    </row>
    <row r="1023" spans="1:10" ht="14.4" hidden="1">
      <c r="A1023" s="380" t="s">
        <v>1189</v>
      </c>
      <c r="B1023" s="380" t="s">
        <v>1194</v>
      </c>
      <c r="C1023" s="381" t="s">
        <v>5288</v>
      </c>
      <c r="D1023" s="380" t="s">
        <v>5289</v>
      </c>
      <c r="E1023" s="386" t="s">
        <v>5290</v>
      </c>
      <c r="F1023" s="389" t="s">
        <v>5291</v>
      </c>
      <c r="G1023" s="381" t="s">
        <v>5217</v>
      </c>
      <c r="J1023" s="282" t="s">
        <v>5271</v>
      </c>
    </row>
    <row r="1024" spans="1:10" ht="14.4" hidden="1">
      <c r="A1024" s="380" t="s">
        <v>1189</v>
      </c>
      <c r="B1024" s="380" t="s">
        <v>1194</v>
      </c>
      <c r="C1024" s="381" t="s">
        <v>5292</v>
      </c>
      <c r="D1024" s="380" t="s">
        <v>5293</v>
      </c>
      <c r="E1024" s="386" t="s">
        <v>5294</v>
      </c>
      <c r="F1024" s="389" t="s">
        <v>5295</v>
      </c>
      <c r="G1024" s="381" t="s">
        <v>5217</v>
      </c>
      <c r="J1024" s="282" t="s">
        <v>5271</v>
      </c>
    </row>
    <row r="1025" spans="1:10" ht="14.4" hidden="1">
      <c r="A1025" s="380" t="s">
        <v>1189</v>
      </c>
      <c r="B1025" s="380" t="s">
        <v>1194</v>
      </c>
      <c r="C1025" s="381" t="s">
        <v>5296</v>
      </c>
      <c r="D1025" s="380" t="s">
        <v>5297</v>
      </c>
      <c r="E1025" s="386" t="s">
        <v>5298</v>
      </c>
      <c r="F1025" s="389" t="s">
        <v>5299</v>
      </c>
      <c r="G1025" s="381" t="s">
        <v>5217</v>
      </c>
      <c r="J1025" s="282" t="s">
        <v>5271</v>
      </c>
    </row>
    <row r="1026" spans="1:10" ht="14.4" hidden="1">
      <c r="A1026" s="380" t="s">
        <v>1189</v>
      </c>
      <c r="B1026" s="380" t="s">
        <v>1194</v>
      </c>
      <c r="C1026" s="381" t="s">
        <v>5300</v>
      </c>
      <c r="D1026" s="380" t="s">
        <v>5301</v>
      </c>
      <c r="E1026" s="386" t="s">
        <v>5302</v>
      </c>
      <c r="F1026" s="389" t="s">
        <v>5303</v>
      </c>
      <c r="G1026" s="381" t="s">
        <v>5217</v>
      </c>
      <c r="J1026" s="282" t="s">
        <v>5271</v>
      </c>
    </row>
    <row r="1027" spans="1:10" ht="14.4" hidden="1">
      <c r="A1027" s="380" t="s">
        <v>1189</v>
      </c>
      <c r="B1027" s="380" t="s">
        <v>1194</v>
      </c>
      <c r="C1027" s="381" t="s">
        <v>5304</v>
      </c>
      <c r="D1027" s="380" t="s">
        <v>5305</v>
      </c>
      <c r="E1027" s="386" t="s">
        <v>5306</v>
      </c>
      <c r="F1027" s="389" t="s">
        <v>5307</v>
      </c>
      <c r="G1027" s="381" t="s">
        <v>5217</v>
      </c>
      <c r="J1027" s="282" t="s">
        <v>5271</v>
      </c>
    </row>
    <row r="1028" spans="1:10" ht="14.4" hidden="1">
      <c r="A1028" s="380" t="s">
        <v>1189</v>
      </c>
      <c r="B1028" s="380" t="s">
        <v>1194</v>
      </c>
      <c r="C1028" s="381" t="s">
        <v>5308</v>
      </c>
      <c r="D1028" s="380" t="s">
        <v>5309</v>
      </c>
      <c r="E1028" s="386" t="s">
        <v>5310</v>
      </c>
      <c r="F1028" s="389" t="s">
        <v>5311</v>
      </c>
      <c r="G1028" s="381" t="s">
        <v>5217</v>
      </c>
      <c r="J1028" s="282" t="s">
        <v>5271</v>
      </c>
    </row>
    <row r="1029" spans="1:10" ht="14.4" hidden="1">
      <c r="A1029" s="380" t="s">
        <v>1189</v>
      </c>
      <c r="B1029" s="380" t="s">
        <v>1194</v>
      </c>
      <c r="C1029" s="381" t="s">
        <v>5312</v>
      </c>
      <c r="D1029" s="380" t="s">
        <v>5313</v>
      </c>
      <c r="E1029" s="386" t="s">
        <v>5314</v>
      </c>
      <c r="F1029" s="389" t="s">
        <v>5315</v>
      </c>
      <c r="G1029" s="381" t="s">
        <v>5217</v>
      </c>
      <c r="J1029" s="282" t="s">
        <v>5271</v>
      </c>
    </row>
    <row r="1030" spans="1:10" ht="14.4" hidden="1">
      <c r="A1030" s="380" t="s">
        <v>1189</v>
      </c>
      <c r="B1030" s="380" t="s">
        <v>1194</v>
      </c>
      <c r="C1030" s="381" t="s">
        <v>5316</v>
      </c>
      <c r="D1030" s="380" t="s">
        <v>5317</v>
      </c>
      <c r="E1030" s="386" t="s">
        <v>5318</v>
      </c>
      <c r="F1030" s="389" t="s">
        <v>5319</v>
      </c>
      <c r="G1030" s="381" t="s">
        <v>5217</v>
      </c>
      <c r="J1030" s="282" t="s">
        <v>5271</v>
      </c>
    </row>
    <row r="1031" spans="1:10" ht="14.4" hidden="1">
      <c r="A1031" s="380" t="s">
        <v>1189</v>
      </c>
      <c r="B1031" s="380" t="s">
        <v>1194</v>
      </c>
      <c r="C1031" s="381" t="s">
        <v>5320</v>
      </c>
      <c r="D1031" s="380" t="s">
        <v>5321</v>
      </c>
      <c r="E1031" s="386" t="s">
        <v>5322</v>
      </c>
      <c r="F1031" s="389" t="s">
        <v>5323</v>
      </c>
      <c r="G1031" s="381" t="s">
        <v>5217</v>
      </c>
      <c r="J1031" s="282" t="s">
        <v>5271</v>
      </c>
    </row>
    <row r="1032" spans="1:10" ht="14.4" hidden="1">
      <c r="A1032" s="380" t="s">
        <v>1189</v>
      </c>
      <c r="B1032" s="380" t="s">
        <v>1194</v>
      </c>
      <c r="C1032" s="381" t="s">
        <v>5324</v>
      </c>
      <c r="D1032" s="380" t="s">
        <v>5325</v>
      </c>
      <c r="E1032" s="386" t="s">
        <v>5326</v>
      </c>
      <c r="F1032" s="389" t="s">
        <v>5327</v>
      </c>
      <c r="G1032" s="381" t="s">
        <v>5217</v>
      </c>
      <c r="J1032" s="282" t="s">
        <v>5271</v>
      </c>
    </row>
    <row r="1033" spans="1:10" ht="14.4" hidden="1">
      <c r="A1033" s="380" t="s">
        <v>1189</v>
      </c>
      <c r="B1033" s="380" t="s">
        <v>1194</v>
      </c>
      <c r="C1033" s="381" t="s">
        <v>5328</v>
      </c>
      <c r="D1033" s="380" t="s">
        <v>5329</v>
      </c>
      <c r="E1033" s="386" t="s">
        <v>5330</v>
      </c>
      <c r="F1033" s="389" t="s">
        <v>5331</v>
      </c>
      <c r="G1033" s="381" t="s">
        <v>5217</v>
      </c>
      <c r="J1033" s="282" t="s">
        <v>5271</v>
      </c>
    </row>
    <row r="1034" spans="1:10" ht="14.4" hidden="1">
      <c r="A1034" s="380" t="s">
        <v>1189</v>
      </c>
      <c r="B1034" s="380" t="s">
        <v>1194</v>
      </c>
      <c r="C1034" s="381" t="s">
        <v>5332</v>
      </c>
      <c r="D1034" s="380" t="s">
        <v>5333</v>
      </c>
      <c r="E1034" s="386" t="s">
        <v>5334</v>
      </c>
      <c r="F1034" s="389" t="s">
        <v>5335</v>
      </c>
      <c r="G1034" s="381" t="s">
        <v>5217</v>
      </c>
      <c r="J1034" s="282" t="s">
        <v>5271</v>
      </c>
    </row>
    <row r="1035" spans="1:10" ht="14.4" hidden="1">
      <c r="A1035" s="380" t="s">
        <v>1189</v>
      </c>
      <c r="B1035" s="380" t="s">
        <v>1194</v>
      </c>
      <c r="C1035" s="381" t="s">
        <v>5336</v>
      </c>
      <c r="D1035" s="380" t="s">
        <v>5337</v>
      </c>
      <c r="E1035" s="386" t="s">
        <v>5338</v>
      </c>
      <c r="F1035" s="389" t="s">
        <v>5339</v>
      </c>
      <c r="G1035" s="381" t="s">
        <v>5217</v>
      </c>
      <c r="J1035" s="282" t="s">
        <v>5271</v>
      </c>
    </row>
    <row r="1036" spans="1:10" ht="14.4" hidden="1">
      <c r="A1036" s="380" t="s">
        <v>1189</v>
      </c>
      <c r="B1036" s="380" t="s">
        <v>1194</v>
      </c>
      <c r="C1036" s="381" t="s">
        <v>5340</v>
      </c>
      <c r="D1036" s="380" t="s">
        <v>5341</v>
      </c>
      <c r="E1036" s="386" t="s">
        <v>5342</v>
      </c>
      <c r="F1036" s="389" t="s">
        <v>5343</v>
      </c>
      <c r="G1036" s="381" t="s">
        <v>5217</v>
      </c>
      <c r="J1036" s="282" t="s">
        <v>5271</v>
      </c>
    </row>
    <row r="1037" spans="1:10" ht="14.4" hidden="1">
      <c r="A1037" s="380" t="s">
        <v>1189</v>
      </c>
      <c r="B1037" s="380" t="s">
        <v>1194</v>
      </c>
      <c r="C1037" s="381" t="s">
        <v>5344</v>
      </c>
      <c r="D1037" s="380" t="s">
        <v>5345</v>
      </c>
      <c r="E1037" s="386" t="s">
        <v>5346</v>
      </c>
      <c r="F1037" s="389" t="s">
        <v>5347</v>
      </c>
      <c r="G1037" s="381" t="s">
        <v>5217</v>
      </c>
      <c r="J1037" s="282" t="s">
        <v>5271</v>
      </c>
    </row>
    <row r="1038" spans="1:10" ht="14.4" hidden="1">
      <c r="A1038" s="380" t="s">
        <v>1189</v>
      </c>
      <c r="B1038" s="380" t="s">
        <v>1194</v>
      </c>
      <c r="C1038" s="381" t="s">
        <v>5348</v>
      </c>
      <c r="D1038" s="380" t="s">
        <v>5349</v>
      </c>
      <c r="E1038" s="386" t="s">
        <v>5350</v>
      </c>
      <c r="F1038" s="389" t="s">
        <v>5351</v>
      </c>
      <c r="G1038" s="381" t="s">
        <v>5217</v>
      </c>
      <c r="J1038" s="282" t="s">
        <v>5271</v>
      </c>
    </row>
    <row r="1039" spans="1:10" ht="14.4" hidden="1">
      <c r="A1039" s="380" t="s">
        <v>1189</v>
      </c>
      <c r="B1039" s="380" t="s">
        <v>1194</v>
      </c>
      <c r="C1039" s="381" t="s">
        <v>5352</v>
      </c>
      <c r="D1039" s="380" t="s">
        <v>5353</v>
      </c>
      <c r="E1039" s="386" t="s">
        <v>5354</v>
      </c>
      <c r="F1039" s="389" t="s">
        <v>5355</v>
      </c>
      <c r="G1039" s="381" t="s">
        <v>5217</v>
      </c>
      <c r="J1039" s="282" t="s">
        <v>5271</v>
      </c>
    </row>
    <row r="1040" spans="1:10" ht="14.4" hidden="1">
      <c r="A1040" s="380" t="s">
        <v>1189</v>
      </c>
      <c r="B1040" s="380" t="s">
        <v>1194</v>
      </c>
      <c r="C1040" s="381" t="s">
        <v>5356</v>
      </c>
      <c r="D1040" s="380" t="s">
        <v>5357</v>
      </c>
      <c r="E1040" s="386" t="s">
        <v>5358</v>
      </c>
      <c r="F1040" s="389" t="s">
        <v>5359</v>
      </c>
      <c r="G1040" s="381" t="s">
        <v>5217</v>
      </c>
      <c r="J1040" s="282" t="s">
        <v>5271</v>
      </c>
    </row>
    <row r="1041" spans="1:10" ht="14.4" hidden="1">
      <c r="A1041" s="380" t="s">
        <v>1189</v>
      </c>
      <c r="B1041" s="380" t="s">
        <v>1194</v>
      </c>
      <c r="C1041" s="381" t="s">
        <v>5360</v>
      </c>
      <c r="D1041" s="380" t="s">
        <v>5361</v>
      </c>
      <c r="E1041" s="386" t="s">
        <v>5362</v>
      </c>
      <c r="F1041" s="389" t="s">
        <v>5363</v>
      </c>
      <c r="G1041" s="381" t="s">
        <v>5217</v>
      </c>
      <c r="J1041" s="282" t="s">
        <v>5271</v>
      </c>
    </row>
    <row r="1042" spans="1:10" ht="14.4" hidden="1">
      <c r="A1042" s="380" t="s">
        <v>1189</v>
      </c>
      <c r="B1042" s="380" t="s">
        <v>1194</v>
      </c>
      <c r="C1042" s="381" t="s">
        <v>5364</v>
      </c>
      <c r="D1042" s="380" t="s">
        <v>5365</v>
      </c>
      <c r="E1042" s="386" t="s">
        <v>5366</v>
      </c>
      <c r="F1042" s="389" t="s">
        <v>5367</v>
      </c>
      <c r="G1042" s="381" t="s">
        <v>5217</v>
      </c>
      <c r="J1042" s="282" t="s">
        <v>5271</v>
      </c>
    </row>
    <row r="1043" spans="1:10" ht="14.4" hidden="1">
      <c r="A1043" s="380" t="s">
        <v>1189</v>
      </c>
      <c r="B1043" s="380" t="s">
        <v>1194</v>
      </c>
      <c r="C1043" s="381" t="s">
        <v>5368</v>
      </c>
      <c r="D1043" s="380" t="s">
        <v>5369</v>
      </c>
      <c r="E1043" s="386" t="s">
        <v>5370</v>
      </c>
      <c r="F1043" s="389" t="s">
        <v>5371</v>
      </c>
      <c r="G1043" s="381" t="s">
        <v>5217</v>
      </c>
      <c r="J1043" s="282" t="s">
        <v>5271</v>
      </c>
    </row>
    <row r="1044" spans="1:10" ht="14.4" hidden="1">
      <c r="A1044" s="380" t="s">
        <v>1189</v>
      </c>
      <c r="B1044" s="380" t="s">
        <v>1194</v>
      </c>
      <c r="C1044" s="381" t="s">
        <v>5372</v>
      </c>
      <c r="D1044" s="380" t="s">
        <v>5373</v>
      </c>
      <c r="E1044" s="386" t="s">
        <v>5374</v>
      </c>
      <c r="F1044" s="389" t="s">
        <v>5375</v>
      </c>
      <c r="G1044" s="381" t="s">
        <v>5217</v>
      </c>
      <c r="J1044" s="282" t="s">
        <v>5271</v>
      </c>
    </row>
    <row r="1045" spans="1:10" ht="14.4" hidden="1">
      <c r="A1045" s="380" t="s">
        <v>1189</v>
      </c>
      <c r="B1045" s="380" t="s">
        <v>1194</v>
      </c>
      <c r="C1045" s="381" t="s">
        <v>5376</v>
      </c>
      <c r="D1045" s="380" t="s">
        <v>5377</v>
      </c>
      <c r="E1045" s="386" t="s">
        <v>5378</v>
      </c>
      <c r="F1045" s="389" t="s">
        <v>5379</v>
      </c>
      <c r="G1045" s="381" t="s">
        <v>5217</v>
      </c>
      <c r="J1045" s="282" t="s">
        <v>5271</v>
      </c>
    </row>
    <row r="1046" spans="1:10" ht="14.4" hidden="1">
      <c r="A1046" s="380" t="s">
        <v>1189</v>
      </c>
      <c r="B1046" s="380" t="s">
        <v>1194</v>
      </c>
      <c r="C1046" s="381" t="s">
        <v>5380</v>
      </c>
      <c r="D1046" s="380" t="s">
        <v>5381</v>
      </c>
      <c r="E1046" s="386" t="s">
        <v>5382</v>
      </c>
      <c r="F1046" s="389" t="s">
        <v>5383</v>
      </c>
      <c r="G1046" s="381" t="s">
        <v>5217</v>
      </c>
      <c r="J1046" s="282" t="s">
        <v>5271</v>
      </c>
    </row>
    <row r="1047" spans="1:10" ht="14.4" hidden="1">
      <c r="A1047" s="380" t="s">
        <v>1189</v>
      </c>
      <c r="B1047" s="380" t="s">
        <v>1194</v>
      </c>
      <c r="C1047" s="381" t="s">
        <v>5384</v>
      </c>
      <c r="D1047" s="380" t="s">
        <v>5385</v>
      </c>
      <c r="E1047" s="386" t="s">
        <v>5386</v>
      </c>
      <c r="F1047" s="389" t="s">
        <v>5387</v>
      </c>
      <c r="G1047" s="381" t="s">
        <v>5217</v>
      </c>
      <c r="J1047" s="282" t="s">
        <v>5271</v>
      </c>
    </row>
    <row r="1048" spans="1:10" ht="14.4" hidden="1">
      <c r="A1048" s="380" t="s">
        <v>1189</v>
      </c>
      <c r="B1048" s="380" t="s">
        <v>1194</v>
      </c>
      <c r="C1048" s="381" t="s">
        <v>5388</v>
      </c>
      <c r="D1048" s="380" t="s">
        <v>5389</v>
      </c>
      <c r="E1048" s="386" t="s">
        <v>5390</v>
      </c>
      <c r="F1048" s="389" t="s">
        <v>5391</v>
      </c>
      <c r="G1048" s="381" t="s">
        <v>5217</v>
      </c>
      <c r="J1048" s="282" t="s">
        <v>5271</v>
      </c>
    </row>
    <row r="1049" spans="1:10" ht="14.4" hidden="1">
      <c r="A1049" s="380" t="s">
        <v>1189</v>
      </c>
      <c r="B1049" s="380" t="s">
        <v>1194</v>
      </c>
      <c r="C1049" s="381" t="s">
        <v>5392</v>
      </c>
      <c r="D1049" s="380" t="s">
        <v>5393</v>
      </c>
      <c r="E1049" s="386" t="s">
        <v>5394</v>
      </c>
      <c r="F1049" s="389" t="s">
        <v>5395</v>
      </c>
      <c r="G1049" s="381" t="s">
        <v>5217</v>
      </c>
      <c r="J1049" s="282" t="s">
        <v>5271</v>
      </c>
    </row>
    <row r="1050" spans="1:10" ht="14.4" hidden="1">
      <c r="A1050" s="380" t="s">
        <v>1189</v>
      </c>
      <c r="B1050" s="380" t="s">
        <v>1194</v>
      </c>
      <c r="C1050" s="381" t="s">
        <v>5396</v>
      </c>
      <c r="D1050" s="380" t="s">
        <v>5397</v>
      </c>
      <c r="E1050" s="386" t="s">
        <v>5398</v>
      </c>
      <c r="F1050" s="389" t="s">
        <v>5399</v>
      </c>
      <c r="G1050" s="381" t="s">
        <v>5217</v>
      </c>
      <c r="J1050" s="282" t="s">
        <v>5271</v>
      </c>
    </row>
    <row r="1051" spans="1:10" ht="14.4" hidden="1">
      <c r="A1051" s="380" t="s">
        <v>1189</v>
      </c>
      <c r="B1051" s="380" t="s">
        <v>1194</v>
      </c>
      <c r="C1051" s="381" t="s">
        <v>5400</v>
      </c>
      <c r="D1051" s="380" t="s">
        <v>5401</v>
      </c>
      <c r="E1051" s="386" t="s">
        <v>5402</v>
      </c>
      <c r="F1051" s="389" t="s">
        <v>5403</v>
      </c>
      <c r="G1051" s="381" t="s">
        <v>5217</v>
      </c>
      <c r="J1051" s="282" t="s">
        <v>5271</v>
      </c>
    </row>
    <row r="1052" spans="1:10" ht="14.4" hidden="1">
      <c r="A1052" s="380" t="s">
        <v>1189</v>
      </c>
      <c r="B1052" s="380" t="s">
        <v>1194</v>
      </c>
      <c r="C1052" s="381" t="s">
        <v>5404</v>
      </c>
      <c r="D1052" s="380" t="s">
        <v>5405</v>
      </c>
      <c r="E1052" s="386" t="s">
        <v>5406</v>
      </c>
      <c r="F1052" s="389" t="s">
        <v>5407</v>
      </c>
      <c r="G1052" s="381" t="s">
        <v>5217</v>
      </c>
      <c r="J1052" s="282" t="s">
        <v>5271</v>
      </c>
    </row>
    <row r="1053" spans="1:10" ht="14.4" hidden="1">
      <c r="A1053" s="380" t="s">
        <v>1189</v>
      </c>
      <c r="B1053" s="380" t="s">
        <v>1194</v>
      </c>
      <c r="C1053" s="381" t="s">
        <v>5408</v>
      </c>
      <c r="D1053" s="380" t="s">
        <v>5409</v>
      </c>
      <c r="E1053" s="386" t="s">
        <v>5410</v>
      </c>
      <c r="F1053" s="389" t="s">
        <v>5411</v>
      </c>
      <c r="G1053" s="381" t="s">
        <v>5217</v>
      </c>
      <c r="J1053" s="282" t="s">
        <v>5271</v>
      </c>
    </row>
    <row r="1054" spans="1:10" ht="14.4" hidden="1">
      <c r="A1054" s="380" t="s">
        <v>1189</v>
      </c>
      <c r="B1054" s="380" t="s">
        <v>1194</v>
      </c>
      <c r="C1054" s="381" t="s">
        <v>5412</v>
      </c>
      <c r="D1054" s="380" t="s">
        <v>5413</v>
      </c>
      <c r="E1054" s="386" t="s">
        <v>5414</v>
      </c>
      <c r="F1054" s="389" t="s">
        <v>5415</v>
      </c>
      <c r="G1054" s="381" t="s">
        <v>5217</v>
      </c>
      <c r="J1054" s="282" t="s">
        <v>5271</v>
      </c>
    </row>
    <row r="1055" spans="1:10" ht="14.4" hidden="1">
      <c r="A1055" s="380" t="s">
        <v>1189</v>
      </c>
      <c r="B1055" s="380" t="s">
        <v>1194</v>
      </c>
      <c r="C1055" s="381" t="s">
        <v>5416</v>
      </c>
      <c r="D1055" s="380" t="s">
        <v>5417</v>
      </c>
      <c r="E1055" s="386" t="s">
        <v>5418</v>
      </c>
      <c r="F1055" s="389" t="s">
        <v>5419</v>
      </c>
      <c r="G1055" s="381" t="s">
        <v>5217</v>
      </c>
      <c r="J1055" s="282" t="s">
        <v>5271</v>
      </c>
    </row>
    <row r="1056" spans="1:10" ht="14.4" hidden="1">
      <c r="A1056" s="380" t="s">
        <v>1189</v>
      </c>
      <c r="B1056" s="380" t="s">
        <v>1194</v>
      </c>
      <c r="C1056" s="381" t="s">
        <v>5420</v>
      </c>
      <c r="D1056" s="380" t="s">
        <v>5421</v>
      </c>
      <c r="E1056" s="386" t="s">
        <v>5422</v>
      </c>
      <c r="F1056" s="389" t="s">
        <v>5423</v>
      </c>
      <c r="G1056" s="381" t="s">
        <v>5217</v>
      </c>
      <c r="J1056" s="282" t="s">
        <v>5271</v>
      </c>
    </row>
    <row r="1057" spans="1:10" ht="14.4" hidden="1">
      <c r="A1057" s="380" t="s">
        <v>1189</v>
      </c>
      <c r="B1057" s="380" t="s">
        <v>1194</v>
      </c>
      <c r="C1057" s="381" t="s">
        <v>5424</v>
      </c>
      <c r="D1057" s="380" t="s">
        <v>5425</v>
      </c>
      <c r="E1057" s="386" t="s">
        <v>5426</v>
      </c>
      <c r="F1057" s="389" t="s">
        <v>5427</v>
      </c>
      <c r="G1057" s="381" t="s">
        <v>5217</v>
      </c>
      <c r="J1057" s="282" t="s">
        <v>5271</v>
      </c>
    </row>
    <row r="1058" spans="1:10" ht="14.4" hidden="1">
      <c r="A1058" s="380" t="s">
        <v>1189</v>
      </c>
      <c r="B1058" s="380" t="s">
        <v>1194</v>
      </c>
      <c r="C1058" s="381" t="s">
        <v>5428</v>
      </c>
      <c r="D1058" s="380" t="s">
        <v>5429</v>
      </c>
      <c r="E1058" s="386" t="s">
        <v>5430</v>
      </c>
      <c r="F1058" s="389" t="s">
        <v>5431</v>
      </c>
      <c r="G1058" s="381" t="s">
        <v>5217</v>
      </c>
      <c r="J1058" s="282" t="s">
        <v>5271</v>
      </c>
    </row>
    <row r="1059" spans="1:10" ht="14.4" hidden="1">
      <c r="A1059" s="380" t="s">
        <v>1189</v>
      </c>
      <c r="B1059" s="380" t="s">
        <v>1194</v>
      </c>
      <c r="C1059" s="381" t="s">
        <v>5432</v>
      </c>
      <c r="D1059" s="380" t="s">
        <v>5433</v>
      </c>
      <c r="E1059" s="386" t="s">
        <v>5434</v>
      </c>
      <c r="F1059" s="389" t="s">
        <v>5435</v>
      </c>
      <c r="G1059" s="381" t="s">
        <v>5217</v>
      </c>
      <c r="J1059" s="282" t="s">
        <v>5271</v>
      </c>
    </row>
    <row r="1060" spans="1:10" ht="14.4" hidden="1">
      <c r="A1060" s="380" t="s">
        <v>1189</v>
      </c>
      <c r="B1060" s="380" t="s">
        <v>1194</v>
      </c>
      <c r="C1060" s="381" t="s">
        <v>5436</v>
      </c>
      <c r="D1060" s="380" t="s">
        <v>5437</v>
      </c>
      <c r="E1060" s="386" t="s">
        <v>5438</v>
      </c>
      <c r="F1060" s="389" t="s">
        <v>5439</v>
      </c>
      <c r="G1060" s="381" t="s">
        <v>5217</v>
      </c>
      <c r="J1060" s="282" t="s">
        <v>5271</v>
      </c>
    </row>
    <row r="1061" spans="1:10" ht="14.4" hidden="1">
      <c r="A1061" s="380" t="s">
        <v>1189</v>
      </c>
      <c r="B1061" s="380" t="s">
        <v>1194</v>
      </c>
      <c r="C1061" s="381" t="s">
        <v>5440</v>
      </c>
      <c r="D1061" s="380" t="s">
        <v>5441</v>
      </c>
      <c r="E1061" s="386" t="s">
        <v>5442</v>
      </c>
      <c r="F1061" s="389" t="s">
        <v>5443</v>
      </c>
      <c r="G1061" s="381" t="s">
        <v>5217</v>
      </c>
      <c r="J1061" s="282" t="s">
        <v>5271</v>
      </c>
    </row>
    <row r="1062" spans="1:10" ht="14.4" hidden="1">
      <c r="A1062" s="380" t="s">
        <v>1189</v>
      </c>
      <c r="B1062" s="380" t="s">
        <v>1194</v>
      </c>
      <c r="C1062" s="381" t="s">
        <v>5444</v>
      </c>
      <c r="D1062" s="380" t="s">
        <v>5445</v>
      </c>
      <c r="E1062" s="386" t="s">
        <v>5446</v>
      </c>
      <c r="F1062" s="389" t="s">
        <v>5447</v>
      </c>
      <c r="G1062" s="381" t="s">
        <v>5217</v>
      </c>
      <c r="J1062" s="282" t="s">
        <v>5271</v>
      </c>
    </row>
    <row r="1063" spans="1:10" ht="14.4" hidden="1">
      <c r="A1063" s="380" t="s">
        <v>1189</v>
      </c>
      <c r="B1063" s="380" t="s">
        <v>1194</v>
      </c>
      <c r="C1063" s="381" t="s">
        <v>5448</v>
      </c>
      <c r="D1063" s="380" t="s">
        <v>5449</v>
      </c>
      <c r="E1063" s="386" t="s">
        <v>5450</v>
      </c>
      <c r="F1063" s="389" t="s">
        <v>5451</v>
      </c>
      <c r="G1063" s="381" t="s">
        <v>5217</v>
      </c>
      <c r="J1063" s="282" t="s">
        <v>5271</v>
      </c>
    </row>
    <row r="1064" spans="1:10" ht="14.4" hidden="1">
      <c r="A1064" s="380" t="s">
        <v>1189</v>
      </c>
      <c r="B1064" s="380" t="s">
        <v>1194</v>
      </c>
      <c r="C1064" s="381" t="s">
        <v>5452</v>
      </c>
      <c r="D1064" s="380" t="s">
        <v>5453</v>
      </c>
      <c r="E1064" s="386" t="s">
        <v>5454</v>
      </c>
      <c r="F1064" s="389" t="s">
        <v>5455</v>
      </c>
      <c r="G1064" s="381" t="s">
        <v>5217</v>
      </c>
      <c r="J1064" s="282" t="s">
        <v>5271</v>
      </c>
    </row>
    <row r="1065" spans="1:10" ht="14.4" hidden="1">
      <c r="A1065" s="380" t="s">
        <v>1189</v>
      </c>
      <c r="B1065" s="380" t="s">
        <v>1194</v>
      </c>
      <c r="C1065" s="381" t="s">
        <v>5456</v>
      </c>
      <c r="D1065" s="380" t="s">
        <v>5457</v>
      </c>
      <c r="E1065" s="386" t="s">
        <v>5458</v>
      </c>
      <c r="F1065" s="389" t="s">
        <v>5459</v>
      </c>
      <c r="G1065" s="381" t="s">
        <v>5217</v>
      </c>
      <c r="J1065" s="282" t="s">
        <v>5271</v>
      </c>
    </row>
    <row r="1066" spans="1:10" ht="14.4" hidden="1">
      <c r="A1066" s="380" t="s">
        <v>1189</v>
      </c>
      <c r="B1066" s="380" t="s">
        <v>1194</v>
      </c>
      <c r="C1066" s="381" t="s">
        <v>5460</v>
      </c>
      <c r="D1066" s="380" t="s">
        <v>5461</v>
      </c>
      <c r="E1066" s="386" t="s">
        <v>5462</v>
      </c>
      <c r="F1066" s="389" t="s">
        <v>5463</v>
      </c>
      <c r="G1066" s="381" t="s">
        <v>5217</v>
      </c>
      <c r="J1066" s="282" t="s">
        <v>5271</v>
      </c>
    </row>
    <row r="1067" spans="1:10" ht="14.4" hidden="1">
      <c r="A1067" s="380" t="s">
        <v>1189</v>
      </c>
      <c r="B1067" s="380" t="s">
        <v>1194</v>
      </c>
      <c r="C1067" s="381" t="s">
        <v>5464</v>
      </c>
      <c r="D1067" s="380" t="s">
        <v>5465</v>
      </c>
      <c r="E1067" s="386" t="s">
        <v>5466</v>
      </c>
      <c r="F1067" s="389" t="s">
        <v>5467</v>
      </c>
      <c r="G1067" s="381" t="s">
        <v>5217</v>
      </c>
      <c r="J1067" s="282" t="s">
        <v>5271</v>
      </c>
    </row>
    <row r="1068" spans="1:10" ht="14.4" hidden="1">
      <c r="A1068" s="380" t="s">
        <v>1189</v>
      </c>
      <c r="B1068" s="380" t="s">
        <v>1194</v>
      </c>
      <c r="C1068" s="381" t="s">
        <v>5468</v>
      </c>
      <c r="D1068" s="380" t="s">
        <v>5469</v>
      </c>
      <c r="E1068" s="386" t="s">
        <v>5470</v>
      </c>
      <c r="F1068" s="389" t="s">
        <v>5471</v>
      </c>
      <c r="G1068" s="381" t="s">
        <v>5217</v>
      </c>
      <c r="J1068" s="282" t="s">
        <v>5271</v>
      </c>
    </row>
    <row r="1069" spans="1:10" ht="14.4" hidden="1">
      <c r="A1069" s="380" t="s">
        <v>1189</v>
      </c>
      <c r="B1069" s="380" t="s">
        <v>1194</v>
      </c>
      <c r="C1069" s="381" t="s">
        <v>5472</v>
      </c>
      <c r="D1069" s="380" t="s">
        <v>5473</v>
      </c>
      <c r="E1069" s="386" t="s">
        <v>5474</v>
      </c>
      <c r="F1069" s="389" t="s">
        <v>5475</v>
      </c>
      <c r="G1069" s="381" t="s">
        <v>5217</v>
      </c>
      <c r="J1069" s="282" t="s">
        <v>5271</v>
      </c>
    </row>
    <row r="1070" spans="1:10" ht="14.4" hidden="1">
      <c r="A1070" s="380" t="s">
        <v>1189</v>
      </c>
      <c r="B1070" s="380" t="s">
        <v>1194</v>
      </c>
      <c r="C1070" s="381" t="s">
        <v>5476</v>
      </c>
      <c r="D1070" s="380" t="s">
        <v>5477</v>
      </c>
      <c r="E1070" s="386" t="s">
        <v>5478</v>
      </c>
      <c r="F1070" s="389" t="s">
        <v>5479</v>
      </c>
      <c r="G1070" s="381" t="s">
        <v>5217</v>
      </c>
      <c r="J1070" s="282" t="s">
        <v>5271</v>
      </c>
    </row>
    <row r="1071" spans="1:10" ht="14.4" hidden="1">
      <c r="A1071" s="380" t="s">
        <v>1189</v>
      </c>
      <c r="B1071" s="380" t="s">
        <v>1194</v>
      </c>
      <c r="C1071" s="381" t="s">
        <v>5480</v>
      </c>
      <c r="D1071" s="380" t="s">
        <v>5481</v>
      </c>
      <c r="E1071" s="386" t="s">
        <v>5482</v>
      </c>
      <c r="F1071" s="389" t="s">
        <v>5483</v>
      </c>
      <c r="G1071" s="381" t="s">
        <v>5217</v>
      </c>
      <c r="J1071" s="282" t="s">
        <v>5271</v>
      </c>
    </row>
    <row r="1072" spans="1:10" ht="14.4" hidden="1">
      <c r="A1072" s="380" t="s">
        <v>1189</v>
      </c>
      <c r="B1072" s="380" t="s">
        <v>1194</v>
      </c>
      <c r="C1072" s="381" t="s">
        <v>5484</v>
      </c>
      <c r="D1072" s="380" t="s">
        <v>5485</v>
      </c>
      <c r="E1072" s="386" t="s">
        <v>5486</v>
      </c>
      <c r="F1072" s="389" t="s">
        <v>5487</v>
      </c>
      <c r="G1072" s="381" t="s">
        <v>5217</v>
      </c>
      <c r="J1072" s="282" t="s">
        <v>5271</v>
      </c>
    </row>
    <row r="1073" spans="1:10" ht="14.4" hidden="1">
      <c r="A1073" s="380" t="s">
        <v>1189</v>
      </c>
      <c r="B1073" s="380" t="s">
        <v>1194</v>
      </c>
      <c r="C1073" s="381" t="s">
        <v>5488</v>
      </c>
      <c r="D1073" s="380" t="s">
        <v>5489</v>
      </c>
      <c r="E1073" s="386" t="s">
        <v>5490</v>
      </c>
      <c r="F1073" s="389" t="s">
        <v>5491</v>
      </c>
      <c r="G1073" s="381" t="s">
        <v>5217</v>
      </c>
      <c r="J1073" s="282" t="s">
        <v>5271</v>
      </c>
    </row>
    <row r="1074" spans="1:10" ht="14.4" hidden="1">
      <c r="A1074" s="380" t="s">
        <v>1189</v>
      </c>
      <c r="B1074" s="380" t="s">
        <v>1194</v>
      </c>
      <c r="C1074" s="381" t="s">
        <v>5492</v>
      </c>
      <c r="D1074" s="380" t="s">
        <v>5493</v>
      </c>
      <c r="E1074" s="386" t="s">
        <v>5494</v>
      </c>
      <c r="F1074" s="389" t="s">
        <v>5495</v>
      </c>
      <c r="G1074" s="381" t="s">
        <v>5217</v>
      </c>
      <c r="J1074" s="282" t="s">
        <v>5271</v>
      </c>
    </row>
    <row r="1075" spans="1:10" ht="14.4" hidden="1">
      <c r="A1075" s="380" t="s">
        <v>1189</v>
      </c>
      <c r="B1075" s="380" t="s">
        <v>1194</v>
      </c>
      <c r="C1075" s="381" t="s">
        <v>5496</v>
      </c>
      <c r="D1075" s="380" t="s">
        <v>5497</v>
      </c>
      <c r="E1075" s="386" t="s">
        <v>5498</v>
      </c>
      <c r="F1075" s="389" t="s">
        <v>5499</v>
      </c>
      <c r="G1075" s="381" t="s">
        <v>5217</v>
      </c>
      <c r="J1075" s="282" t="s">
        <v>5271</v>
      </c>
    </row>
    <row r="1076" spans="1:10" ht="14.4" hidden="1">
      <c r="A1076" s="380" t="s">
        <v>1189</v>
      </c>
      <c r="B1076" s="380" t="s">
        <v>1194</v>
      </c>
      <c r="C1076" s="381" t="s">
        <v>5500</v>
      </c>
      <c r="D1076" s="380" t="s">
        <v>5501</v>
      </c>
      <c r="E1076" s="386" t="s">
        <v>5502</v>
      </c>
      <c r="F1076" s="389" t="s">
        <v>5503</v>
      </c>
      <c r="G1076" s="381" t="s">
        <v>5217</v>
      </c>
      <c r="J1076" s="282" t="s">
        <v>5271</v>
      </c>
    </row>
    <row r="1077" spans="1:10" ht="14.4" hidden="1">
      <c r="A1077" s="380" t="s">
        <v>1189</v>
      </c>
      <c r="B1077" s="380" t="s">
        <v>1194</v>
      </c>
      <c r="C1077" s="381" t="s">
        <v>5504</v>
      </c>
      <c r="D1077" s="380" t="s">
        <v>5505</v>
      </c>
      <c r="E1077" s="386" t="s">
        <v>5506</v>
      </c>
      <c r="F1077" s="389" t="s">
        <v>5507</v>
      </c>
      <c r="G1077" s="381" t="s">
        <v>5217</v>
      </c>
      <c r="J1077" s="282" t="s">
        <v>5271</v>
      </c>
    </row>
    <row r="1078" spans="1:10" ht="14.4" hidden="1">
      <c r="A1078" s="380" t="s">
        <v>1189</v>
      </c>
      <c r="B1078" s="380" t="s">
        <v>1194</v>
      </c>
      <c r="C1078" s="381" t="s">
        <v>5508</v>
      </c>
      <c r="D1078" s="380" t="s">
        <v>5509</v>
      </c>
      <c r="E1078" s="386" t="s">
        <v>5510</v>
      </c>
      <c r="F1078" s="389" t="s">
        <v>5511</v>
      </c>
      <c r="G1078" s="381" t="s">
        <v>5217</v>
      </c>
      <c r="J1078" s="282" t="s">
        <v>5271</v>
      </c>
    </row>
    <row r="1079" spans="1:10" ht="14.4" hidden="1">
      <c r="A1079" s="380" t="s">
        <v>1189</v>
      </c>
      <c r="B1079" s="380" t="s">
        <v>1194</v>
      </c>
      <c r="C1079" s="381" t="s">
        <v>5512</v>
      </c>
      <c r="D1079" s="380" t="s">
        <v>5513</v>
      </c>
      <c r="E1079" s="386" t="s">
        <v>5514</v>
      </c>
      <c r="F1079" s="389" t="s">
        <v>5515</v>
      </c>
      <c r="G1079" s="381" t="s">
        <v>5217</v>
      </c>
      <c r="J1079" s="282" t="s">
        <v>5271</v>
      </c>
    </row>
    <row r="1080" spans="1:10" ht="14.4" hidden="1">
      <c r="A1080" s="380" t="s">
        <v>1189</v>
      </c>
      <c r="B1080" s="380" t="s">
        <v>1194</v>
      </c>
      <c r="C1080" s="381" t="s">
        <v>5516</v>
      </c>
      <c r="D1080" s="380" t="s">
        <v>5517</v>
      </c>
      <c r="E1080" s="386" t="s">
        <v>5518</v>
      </c>
      <c r="F1080" s="389" t="s">
        <v>5519</v>
      </c>
      <c r="G1080" s="381" t="s">
        <v>5217</v>
      </c>
      <c r="J1080" s="282" t="s">
        <v>5271</v>
      </c>
    </row>
    <row r="1081" spans="1:10" ht="14.4" hidden="1">
      <c r="A1081" s="380" t="s">
        <v>1189</v>
      </c>
      <c r="B1081" s="380" t="s">
        <v>1194</v>
      </c>
      <c r="C1081" s="381" t="s">
        <v>5520</v>
      </c>
      <c r="D1081" s="380" t="s">
        <v>5521</v>
      </c>
      <c r="E1081" s="386" t="s">
        <v>5522</v>
      </c>
      <c r="F1081" s="389" t="s">
        <v>5523</v>
      </c>
      <c r="G1081" s="381" t="s">
        <v>5217</v>
      </c>
      <c r="J1081" s="282" t="s">
        <v>5271</v>
      </c>
    </row>
    <row r="1082" spans="1:10" ht="14.4" hidden="1">
      <c r="A1082" s="380" t="s">
        <v>1189</v>
      </c>
      <c r="B1082" s="380" t="s">
        <v>1194</v>
      </c>
      <c r="C1082" s="381" t="s">
        <v>5524</v>
      </c>
      <c r="D1082" s="380" t="s">
        <v>5525</v>
      </c>
      <c r="E1082" s="386" t="s">
        <v>5526</v>
      </c>
      <c r="F1082" s="389" t="s">
        <v>5527</v>
      </c>
      <c r="G1082" s="381" t="s">
        <v>5217</v>
      </c>
      <c r="J1082" s="282" t="s">
        <v>5271</v>
      </c>
    </row>
    <row r="1083" spans="1:10" ht="14.4" hidden="1">
      <c r="A1083" s="380" t="s">
        <v>1189</v>
      </c>
      <c r="B1083" s="380" t="s">
        <v>1194</v>
      </c>
      <c r="C1083" s="381" t="s">
        <v>5528</v>
      </c>
      <c r="D1083" s="380" t="s">
        <v>5529</v>
      </c>
      <c r="E1083" s="386" t="s">
        <v>5530</v>
      </c>
      <c r="F1083" s="389" t="s">
        <v>5531</v>
      </c>
      <c r="G1083" s="381" t="s">
        <v>5217</v>
      </c>
      <c r="J1083" s="282" t="s">
        <v>5271</v>
      </c>
    </row>
    <row r="1084" spans="1:10" ht="14.4" hidden="1">
      <c r="A1084" s="380" t="s">
        <v>1189</v>
      </c>
      <c r="B1084" s="380" t="s">
        <v>1194</v>
      </c>
      <c r="C1084" s="381" t="s">
        <v>5532</v>
      </c>
      <c r="D1084" s="380" t="s">
        <v>5533</v>
      </c>
      <c r="E1084" s="386" t="s">
        <v>5534</v>
      </c>
      <c r="F1084" s="389" t="s">
        <v>5535</v>
      </c>
      <c r="G1084" s="381" t="s">
        <v>5217</v>
      </c>
      <c r="J1084" s="282" t="s">
        <v>5271</v>
      </c>
    </row>
    <row r="1085" spans="1:10" ht="14.4" hidden="1">
      <c r="A1085" s="380" t="s">
        <v>1189</v>
      </c>
      <c r="B1085" s="380" t="s">
        <v>1194</v>
      </c>
      <c r="C1085" s="381" t="s">
        <v>5536</v>
      </c>
      <c r="D1085" s="380" t="s">
        <v>5537</v>
      </c>
      <c r="E1085" s="386" t="s">
        <v>5538</v>
      </c>
      <c r="F1085" s="389" t="s">
        <v>5539</v>
      </c>
      <c r="G1085" s="381" t="s">
        <v>5217</v>
      </c>
      <c r="J1085" s="282" t="s">
        <v>5271</v>
      </c>
    </row>
    <row r="1086" spans="1:10" ht="14.4" hidden="1">
      <c r="A1086" s="380" t="s">
        <v>1189</v>
      </c>
      <c r="B1086" s="380" t="s">
        <v>1194</v>
      </c>
      <c r="C1086" s="381" t="s">
        <v>5540</v>
      </c>
      <c r="D1086" s="380" t="s">
        <v>5541</v>
      </c>
      <c r="E1086" s="386" t="s">
        <v>5542</v>
      </c>
      <c r="F1086" s="389" t="s">
        <v>5543</v>
      </c>
      <c r="G1086" s="381" t="s">
        <v>5217</v>
      </c>
      <c r="J1086" s="282" t="s">
        <v>5271</v>
      </c>
    </row>
    <row r="1087" spans="1:10" ht="14.4" hidden="1">
      <c r="A1087" s="380" t="s">
        <v>1189</v>
      </c>
      <c r="B1087" s="380" t="s">
        <v>1194</v>
      </c>
      <c r="C1087" s="381" t="s">
        <v>5544</v>
      </c>
      <c r="D1087" s="380" t="s">
        <v>5545</v>
      </c>
      <c r="E1087" s="386" t="s">
        <v>5546</v>
      </c>
      <c r="F1087" s="389" t="s">
        <v>5547</v>
      </c>
      <c r="G1087" s="381" t="s">
        <v>5217</v>
      </c>
      <c r="J1087" s="282" t="s">
        <v>5271</v>
      </c>
    </row>
    <row r="1088" spans="1:10" ht="14.4" hidden="1">
      <c r="A1088" s="380" t="s">
        <v>1189</v>
      </c>
      <c r="B1088" s="380" t="s">
        <v>1194</v>
      </c>
      <c r="C1088" s="381" t="s">
        <v>5548</v>
      </c>
      <c r="D1088" s="380" t="s">
        <v>5549</v>
      </c>
      <c r="E1088" s="386" t="s">
        <v>5550</v>
      </c>
      <c r="F1088" s="389" t="s">
        <v>5551</v>
      </c>
      <c r="G1088" s="381" t="s">
        <v>5217</v>
      </c>
      <c r="J1088" s="282" t="s">
        <v>5271</v>
      </c>
    </row>
    <row r="1089" spans="1:10" ht="14.4" hidden="1">
      <c r="A1089" s="380" t="s">
        <v>1189</v>
      </c>
      <c r="B1089" s="380" t="s">
        <v>1194</v>
      </c>
      <c r="C1089" s="381" t="s">
        <v>5552</v>
      </c>
      <c r="D1089" s="380" t="s">
        <v>5553</v>
      </c>
      <c r="E1089" s="386" t="s">
        <v>5554</v>
      </c>
      <c r="F1089" s="389" t="s">
        <v>5555</v>
      </c>
      <c r="G1089" s="381" t="s">
        <v>5217</v>
      </c>
      <c r="J1089" s="282" t="s">
        <v>5271</v>
      </c>
    </row>
    <row r="1090" spans="1:10" ht="14.4" hidden="1">
      <c r="A1090" s="380" t="s">
        <v>1189</v>
      </c>
      <c r="B1090" s="380" t="s">
        <v>1194</v>
      </c>
      <c r="C1090" s="381" t="s">
        <v>5556</v>
      </c>
      <c r="D1090" s="380" t="s">
        <v>5557</v>
      </c>
      <c r="E1090" s="386" t="s">
        <v>5558</v>
      </c>
      <c r="F1090" s="389" t="s">
        <v>5559</v>
      </c>
      <c r="G1090" s="381" t="s">
        <v>5217</v>
      </c>
      <c r="J1090" s="282" t="s">
        <v>5271</v>
      </c>
    </row>
    <row r="1091" spans="1:10" ht="14.4" hidden="1">
      <c r="A1091" s="380" t="s">
        <v>1189</v>
      </c>
      <c r="B1091" s="380" t="s">
        <v>1194</v>
      </c>
      <c r="C1091" s="381" t="s">
        <v>5560</v>
      </c>
      <c r="D1091" s="380" t="s">
        <v>5561</v>
      </c>
      <c r="E1091" s="386" t="s">
        <v>5562</v>
      </c>
      <c r="F1091" s="389" t="s">
        <v>5563</v>
      </c>
      <c r="G1091" s="381" t="s">
        <v>5217</v>
      </c>
      <c r="J1091" s="282" t="s">
        <v>5271</v>
      </c>
    </row>
    <row r="1092" spans="1:10" ht="14.4" hidden="1">
      <c r="A1092" s="380" t="s">
        <v>1189</v>
      </c>
      <c r="B1092" s="380" t="s">
        <v>1194</v>
      </c>
      <c r="C1092" s="381" t="s">
        <v>5564</v>
      </c>
      <c r="D1092" s="380" t="s">
        <v>5565</v>
      </c>
      <c r="E1092" s="386" t="s">
        <v>5566</v>
      </c>
      <c r="F1092" s="389" t="s">
        <v>5567</v>
      </c>
      <c r="G1092" s="381" t="s">
        <v>5217</v>
      </c>
      <c r="H1092" s="282" t="s">
        <v>1548</v>
      </c>
      <c r="J1092" s="282" t="s">
        <v>5271</v>
      </c>
    </row>
    <row r="1093" spans="1:10" ht="14.4" hidden="1">
      <c r="A1093" s="380" t="s">
        <v>1189</v>
      </c>
      <c r="B1093" s="380" t="s">
        <v>1194</v>
      </c>
      <c r="C1093" s="381" t="s">
        <v>5568</v>
      </c>
      <c r="D1093" s="380" t="s">
        <v>5569</v>
      </c>
      <c r="E1093" s="386" t="s">
        <v>5570</v>
      </c>
      <c r="F1093" s="389" t="s">
        <v>5571</v>
      </c>
      <c r="G1093" s="381" t="s">
        <v>5217</v>
      </c>
      <c r="H1093" s="282" t="s">
        <v>1548</v>
      </c>
      <c r="J1093" s="282" t="s">
        <v>5271</v>
      </c>
    </row>
    <row r="1094" spans="1:10" ht="14.4" hidden="1">
      <c r="A1094" s="380" t="s">
        <v>1189</v>
      </c>
      <c r="B1094" s="380" t="s">
        <v>1194</v>
      </c>
      <c r="C1094" s="381" t="s">
        <v>5572</v>
      </c>
      <c r="D1094" s="380" t="s">
        <v>5573</v>
      </c>
      <c r="E1094" s="386" t="s">
        <v>5574</v>
      </c>
      <c r="F1094" s="389" t="s">
        <v>5575</v>
      </c>
      <c r="G1094" s="381" t="s">
        <v>5217</v>
      </c>
      <c r="J1094" s="282" t="s">
        <v>5271</v>
      </c>
    </row>
    <row r="1095" spans="1:10" ht="14.4" hidden="1">
      <c r="A1095" s="380" t="s">
        <v>1189</v>
      </c>
      <c r="B1095" s="380" t="s">
        <v>1194</v>
      </c>
      <c r="C1095" s="381" t="s">
        <v>5576</v>
      </c>
      <c r="D1095" s="380" t="s">
        <v>5577</v>
      </c>
      <c r="E1095" s="386" t="s">
        <v>5578</v>
      </c>
      <c r="F1095" s="389" t="s">
        <v>5579</v>
      </c>
      <c r="G1095" s="381" t="s">
        <v>5217</v>
      </c>
      <c r="J1095" s="282" t="s">
        <v>5271</v>
      </c>
    </row>
    <row r="1096" spans="1:10" ht="14.4" hidden="1">
      <c r="A1096" s="380" t="s">
        <v>1189</v>
      </c>
      <c r="B1096" s="380" t="s">
        <v>1194</v>
      </c>
      <c r="C1096" s="381" t="s">
        <v>5580</v>
      </c>
      <c r="D1096" s="380" t="s">
        <v>5581</v>
      </c>
      <c r="E1096" s="386" t="s">
        <v>5582</v>
      </c>
      <c r="F1096" s="389" t="s">
        <v>5583</v>
      </c>
      <c r="G1096" s="381" t="s">
        <v>5217</v>
      </c>
      <c r="J1096" s="282" t="s">
        <v>5271</v>
      </c>
    </row>
    <row r="1097" spans="1:10" ht="14.4" hidden="1">
      <c r="A1097" s="380" t="s">
        <v>1189</v>
      </c>
      <c r="B1097" s="380" t="s">
        <v>1194</v>
      </c>
      <c r="C1097" s="381" t="s">
        <v>5584</v>
      </c>
      <c r="D1097" s="380" t="s">
        <v>5585</v>
      </c>
      <c r="E1097" s="386" t="s">
        <v>5586</v>
      </c>
      <c r="F1097" s="389" t="s">
        <v>5587</v>
      </c>
      <c r="G1097" s="381" t="s">
        <v>5217</v>
      </c>
      <c r="H1097" s="282" t="s">
        <v>1548</v>
      </c>
      <c r="J1097" s="282" t="s">
        <v>5271</v>
      </c>
    </row>
    <row r="1098" spans="1:10" ht="14.4" hidden="1">
      <c r="A1098" s="380" t="s">
        <v>1189</v>
      </c>
      <c r="B1098" s="380" t="s">
        <v>1194</v>
      </c>
      <c r="C1098" s="381" t="s">
        <v>5588</v>
      </c>
      <c r="D1098" s="380" t="s">
        <v>5589</v>
      </c>
      <c r="E1098" s="386" t="s">
        <v>5590</v>
      </c>
      <c r="F1098" s="389" t="s">
        <v>5591</v>
      </c>
      <c r="G1098" s="381" t="s">
        <v>5217</v>
      </c>
      <c r="J1098" s="282" t="s">
        <v>5271</v>
      </c>
    </row>
    <row r="1099" spans="1:10" ht="14.4" hidden="1">
      <c r="A1099" s="380" t="s">
        <v>1189</v>
      </c>
      <c r="B1099" s="380" t="s">
        <v>1194</v>
      </c>
      <c r="C1099" s="381" t="s">
        <v>5592</v>
      </c>
      <c r="D1099" s="380" t="s">
        <v>5593</v>
      </c>
      <c r="E1099" s="386" t="s">
        <v>5594</v>
      </c>
      <c r="F1099" s="389" t="s">
        <v>5595</v>
      </c>
      <c r="G1099" s="381" t="s">
        <v>5217</v>
      </c>
      <c r="J1099" s="282" t="s">
        <v>5271</v>
      </c>
    </row>
    <row r="1100" spans="1:10" ht="14.4" hidden="1">
      <c r="A1100" s="380" t="s">
        <v>1189</v>
      </c>
      <c r="B1100" s="380" t="s">
        <v>1194</v>
      </c>
      <c r="C1100" s="381" t="s">
        <v>5596</v>
      </c>
      <c r="D1100" s="380" t="s">
        <v>5597</v>
      </c>
      <c r="E1100" s="386" t="s">
        <v>5598</v>
      </c>
      <c r="F1100" s="389" t="s">
        <v>5599</v>
      </c>
      <c r="G1100" s="381" t="s">
        <v>5217</v>
      </c>
      <c r="J1100" s="282" t="s">
        <v>5271</v>
      </c>
    </row>
    <row r="1101" spans="1:10" ht="14.4" hidden="1">
      <c r="A1101" s="380" t="s">
        <v>1189</v>
      </c>
      <c r="B1101" s="380" t="s">
        <v>1194</v>
      </c>
      <c r="C1101" s="381" t="s">
        <v>5600</v>
      </c>
      <c r="D1101" s="380" t="s">
        <v>5601</v>
      </c>
      <c r="E1101" s="386" t="s">
        <v>5602</v>
      </c>
      <c r="F1101" s="389" t="s">
        <v>5603</v>
      </c>
      <c r="G1101" s="381" t="s">
        <v>5217</v>
      </c>
      <c r="J1101" s="282" t="s">
        <v>5271</v>
      </c>
    </row>
    <row r="1102" spans="1:10" ht="14.4" hidden="1">
      <c r="A1102" s="380" t="s">
        <v>1189</v>
      </c>
      <c r="B1102" s="380" t="s">
        <v>1194</v>
      </c>
      <c r="C1102" s="381" t="s">
        <v>5604</v>
      </c>
      <c r="D1102" s="380" t="s">
        <v>5605</v>
      </c>
      <c r="E1102" s="386" t="s">
        <v>5606</v>
      </c>
      <c r="F1102" s="389" t="s">
        <v>5607</v>
      </c>
      <c r="G1102" s="381" t="s">
        <v>5217</v>
      </c>
      <c r="J1102" s="282" t="s">
        <v>5271</v>
      </c>
    </row>
    <row r="1103" spans="1:10" ht="14.4" hidden="1">
      <c r="A1103" s="380" t="s">
        <v>1189</v>
      </c>
      <c r="B1103" s="380" t="s">
        <v>1194</v>
      </c>
      <c r="C1103" s="381" t="s">
        <v>5608</v>
      </c>
      <c r="D1103" s="380" t="s">
        <v>5609</v>
      </c>
      <c r="E1103" s="386" t="s">
        <v>5610</v>
      </c>
      <c r="F1103" s="389" t="s">
        <v>5611</v>
      </c>
      <c r="G1103" s="381" t="s">
        <v>5217</v>
      </c>
      <c r="J1103" s="282" t="s">
        <v>5271</v>
      </c>
    </row>
    <row r="1104" spans="1:10" ht="14.4" hidden="1">
      <c r="A1104" s="380" t="s">
        <v>1189</v>
      </c>
      <c r="B1104" s="380" t="s">
        <v>1194</v>
      </c>
      <c r="C1104" s="381" t="s">
        <v>5612</v>
      </c>
      <c r="D1104" s="380" t="s">
        <v>5613</v>
      </c>
      <c r="E1104" s="386" t="s">
        <v>5614</v>
      </c>
      <c r="F1104" s="389" t="s">
        <v>5615</v>
      </c>
      <c r="G1104" s="381" t="s">
        <v>5217</v>
      </c>
      <c r="H1104" s="282" t="s">
        <v>1548</v>
      </c>
      <c r="J1104" s="282" t="s">
        <v>5271</v>
      </c>
    </row>
    <row r="1105" spans="1:10" ht="14.4" hidden="1">
      <c r="A1105" s="380" t="s">
        <v>1189</v>
      </c>
      <c r="B1105" s="380" t="s">
        <v>1194</v>
      </c>
      <c r="C1105" s="381" t="s">
        <v>5616</v>
      </c>
      <c r="D1105" s="380" t="s">
        <v>5617</v>
      </c>
      <c r="E1105" s="386" t="s">
        <v>5618</v>
      </c>
      <c r="F1105" s="389" t="s">
        <v>5619</v>
      </c>
      <c r="G1105" s="381" t="s">
        <v>5217</v>
      </c>
      <c r="J1105" s="282" t="s">
        <v>5271</v>
      </c>
    </row>
    <row r="1106" spans="1:10" ht="14.4" hidden="1">
      <c r="A1106" s="380" t="s">
        <v>1189</v>
      </c>
      <c r="B1106" s="380" t="s">
        <v>1194</v>
      </c>
      <c r="C1106" s="381" t="s">
        <v>5620</v>
      </c>
      <c r="D1106" s="380" t="s">
        <v>5621</v>
      </c>
      <c r="E1106" s="386" t="s">
        <v>5622</v>
      </c>
      <c r="F1106" s="389" t="s">
        <v>5623</v>
      </c>
      <c r="G1106" s="381" t="s">
        <v>5217</v>
      </c>
      <c r="J1106" s="282" t="s">
        <v>5271</v>
      </c>
    </row>
    <row r="1107" spans="1:10" ht="14.4" hidden="1">
      <c r="A1107" s="380" t="s">
        <v>1189</v>
      </c>
      <c r="B1107" s="380" t="s">
        <v>1194</v>
      </c>
      <c r="C1107" s="381" t="s">
        <v>5624</v>
      </c>
      <c r="D1107" s="380" t="s">
        <v>5625</v>
      </c>
      <c r="E1107" s="386" t="s">
        <v>5626</v>
      </c>
      <c r="F1107" s="389" t="s">
        <v>5627</v>
      </c>
      <c r="G1107" s="381" t="s">
        <v>5217</v>
      </c>
      <c r="J1107" s="282" t="s">
        <v>5271</v>
      </c>
    </row>
    <row r="1108" spans="1:10" ht="14.4" hidden="1">
      <c r="A1108" s="380" t="s">
        <v>1189</v>
      </c>
      <c r="B1108" s="380" t="s">
        <v>1194</v>
      </c>
      <c r="C1108" s="381" t="s">
        <v>5628</v>
      </c>
      <c r="D1108" s="380" t="s">
        <v>5629</v>
      </c>
      <c r="E1108" s="386" t="s">
        <v>5630</v>
      </c>
      <c r="F1108" s="389" t="s">
        <v>5631</v>
      </c>
      <c r="G1108" s="381" t="s">
        <v>5217</v>
      </c>
      <c r="J1108" s="282" t="s">
        <v>5271</v>
      </c>
    </row>
    <row r="1109" spans="1:10" ht="14.4" hidden="1">
      <c r="A1109" s="380" t="s">
        <v>1189</v>
      </c>
      <c r="B1109" s="380" t="s">
        <v>1194</v>
      </c>
      <c r="C1109" s="381" t="s">
        <v>5632</v>
      </c>
      <c r="D1109" s="380" t="s">
        <v>5633</v>
      </c>
      <c r="E1109" s="386" t="s">
        <v>5634</v>
      </c>
      <c r="F1109" s="389" t="s">
        <v>5635</v>
      </c>
      <c r="G1109" s="381" t="s">
        <v>5217</v>
      </c>
      <c r="J1109" s="282" t="s">
        <v>5271</v>
      </c>
    </row>
    <row r="1110" spans="1:10" ht="14.4" hidden="1">
      <c r="A1110" s="380" t="s">
        <v>1189</v>
      </c>
      <c r="B1110" s="380" t="s">
        <v>1194</v>
      </c>
      <c r="C1110" s="381" t="s">
        <v>5636</v>
      </c>
      <c r="D1110" s="380" t="s">
        <v>5637</v>
      </c>
      <c r="E1110" s="386" t="s">
        <v>5638</v>
      </c>
      <c r="F1110" s="389" t="s">
        <v>5639</v>
      </c>
      <c r="G1110" s="381" t="s">
        <v>5217</v>
      </c>
      <c r="J1110" s="282" t="s">
        <v>5271</v>
      </c>
    </row>
    <row r="1111" spans="1:10" ht="14.4" hidden="1">
      <c r="A1111" s="380" t="s">
        <v>1189</v>
      </c>
      <c r="B1111" s="380" t="s">
        <v>1194</v>
      </c>
      <c r="C1111" s="381" t="s">
        <v>5640</v>
      </c>
      <c r="D1111" s="380" t="s">
        <v>5641</v>
      </c>
      <c r="E1111" s="386" t="s">
        <v>5642</v>
      </c>
      <c r="F1111" s="389" t="s">
        <v>5643</v>
      </c>
      <c r="G1111" s="381" t="s">
        <v>5217</v>
      </c>
      <c r="J1111" s="282" t="s">
        <v>5271</v>
      </c>
    </row>
    <row r="1112" spans="1:10" ht="14.4" hidden="1">
      <c r="A1112" s="380" t="s">
        <v>1189</v>
      </c>
      <c r="B1112" s="380" t="s">
        <v>1194</v>
      </c>
      <c r="C1112" s="381" t="s">
        <v>5644</v>
      </c>
      <c r="D1112" s="380" t="s">
        <v>5645</v>
      </c>
      <c r="E1112" s="386" t="s">
        <v>5646</v>
      </c>
      <c r="F1112" s="389" t="s">
        <v>5647</v>
      </c>
      <c r="G1112" s="381" t="s">
        <v>5217</v>
      </c>
      <c r="J1112" s="282" t="s">
        <v>5271</v>
      </c>
    </row>
    <row r="1113" spans="1:10" ht="14.4" hidden="1">
      <c r="A1113" s="380" t="s">
        <v>1189</v>
      </c>
      <c r="B1113" s="380" t="s">
        <v>1194</v>
      </c>
      <c r="C1113" s="381" t="s">
        <v>5648</v>
      </c>
      <c r="D1113" s="380" t="s">
        <v>5649</v>
      </c>
      <c r="E1113" s="386" t="s">
        <v>5650</v>
      </c>
      <c r="F1113" s="389" t="s">
        <v>5651</v>
      </c>
      <c r="G1113" s="381" t="s">
        <v>5217</v>
      </c>
      <c r="J1113" s="282" t="s">
        <v>5271</v>
      </c>
    </row>
    <row r="1114" spans="1:10" ht="14.4" hidden="1">
      <c r="A1114" s="380" t="s">
        <v>1189</v>
      </c>
      <c r="B1114" s="380" t="s">
        <v>1194</v>
      </c>
      <c r="C1114" s="381" t="s">
        <v>5652</v>
      </c>
      <c r="D1114" s="380" t="s">
        <v>5653</v>
      </c>
      <c r="E1114" s="386" t="s">
        <v>5654</v>
      </c>
      <c r="F1114" s="389" t="s">
        <v>5655</v>
      </c>
      <c r="G1114" s="381" t="s">
        <v>5217</v>
      </c>
      <c r="J1114" s="282" t="s">
        <v>5271</v>
      </c>
    </row>
    <row r="1115" spans="1:10" ht="14.4" hidden="1">
      <c r="A1115" s="380" t="s">
        <v>1189</v>
      </c>
      <c r="B1115" s="380" t="s">
        <v>1194</v>
      </c>
      <c r="C1115" s="381" t="s">
        <v>5656</v>
      </c>
      <c r="D1115" s="380" t="s">
        <v>5657</v>
      </c>
      <c r="E1115" s="386" t="s">
        <v>5658</v>
      </c>
      <c r="F1115" s="389" t="s">
        <v>5659</v>
      </c>
      <c r="G1115" s="381" t="s">
        <v>5217</v>
      </c>
      <c r="J1115" s="282" t="s">
        <v>5271</v>
      </c>
    </row>
    <row r="1116" spans="1:10" ht="14.4" hidden="1">
      <c r="A1116" s="380" t="s">
        <v>1189</v>
      </c>
      <c r="B1116" s="380" t="s">
        <v>1194</v>
      </c>
      <c r="C1116" s="381" t="s">
        <v>5660</v>
      </c>
      <c r="D1116" s="380" t="s">
        <v>5661</v>
      </c>
      <c r="E1116" s="386" t="s">
        <v>5662</v>
      </c>
      <c r="F1116" s="389" t="s">
        <v>5663</v>
      </c>
      <c r="G1116" s="381" t="s">
        <v>5217</v>
      </c>
      <c r="J1116" s="282" t="s">
        <v>5271</v>
      </c>
    </row>
    <row r="1117" spans="1:10" ht="14.4" hidden="1">
      <c r="A1117" s="380" t="s">
        <v>1189</v>
      </c>
      <c r="B1117" s="380" t="s">
        <v>1194</v>
      </c>
      <c r="C1117" s="381" t="s">
        <v>5664</v>
      </c>
      <c r="D1117" s="380" t="s">
        <v>5665</v>
      </c>
      <c r="E1117" s="386" t="s">
        <v>5666</v>
      </c>
      <c r="F1117" s="389" t="s">
        <v>5667</v>
      </c>
      <c r="G1117" s="381" t="s">
        <v>5217</v>
      </c>
      <c r="J1117" s="282" t="s">
        <v>5271</v>
      </c>
    </row>
    <row r="1118" spans="1:10" ht="14.4" hidden="1">
      <c r="A1118" s="380" t="s">
        <v>1189</v>
      </c>
      <c r="B1118" s="380" t="s">
        <v>1194</v>
      </c>
      <c r="C1118" s="381" t="s">
        <v>5668</v>
      </c>
      <c r="D1118" s="380" t="s">
        <v>5669</v>
      </c>
      <c r="E1118" s="386" t="s">
        <v>5670</v>
      </c>
      <c r="F1118" s="389" t="s">
        <v>5671</v>
      </c>
      <c r="G1118" s="381" t="s">
        <v>5217</v>
      </c>
      <c r="J1118" s="282" t="s">
        <v>5271</v>
      </c>
    </row>
    <row r="1119" spans="1:10" ht="14.4" hidden="1">
      <c r="A1119" s="380" t="s">
        <v>1189</v>
      </c>
      <c r="B1119" s="380" t="s">
        <v>1194</v>
      </c>
      <c r="C1119" s="381" t="s">
        <v>5672</v>
      </c>
      <c r="D1119" s="380" t="s">
        <v>5673</v>
      </c>
      <c r="E1119" s="386" t="s">
        <v>5674</v>
      </c>
      <c r="F1119" s="389" t="s">
        <v>5675</v>
      </c>
      <c r="G1119" s="381" t="s">
        <v>5217</v>
      </c>
      <c r="J1119" s="282" t="s">
        <v>5271</v>
      </c>
    </row>
    <row r="1120" spans="1:10" ht="14.4" hidden="1">
      <c r="A1120" s="380" t="s">
        <v>1189</v>
      </c>
      <c r="B1120" s="380" t="s">
        <v>1194</v>
      </c>
      <c r="C1120" s="381" t="s">
        <v>5676</v>
      </c>
      <c r="D1120" s="380" t="s">
        <v>5677</v>
      </c>
      <c r="E1120" s="386" t="s">
        <v>5678</v>
      </c>
      <c r="F1120" s="389" t="s">
        <v>5679</v>
      </c>
      <c r="G1120" s="381" t="s">
        <v>5217</v>
      </c>
      <c r="J1120" s="282" t="s">
        <v>5271</v>
      </c>
    </row>
    <row r="1121" spans="1:10" ht="14.4" hidden="1">
      <c r="A1121" s="380" t="s">
        <v>1189</v>
      </c>
      <c r="B1121" s="380" t="s">
        <v>1194</v>
      </c>
      <c r="C1121" s="381" t="s">
        <v>5680</v>
      </c>
      <c r="D1121" s="380" t="s">
        <v>5681</v>
      </c>
      <c r="E1121" s="386" t="s">
        <v>5682</v>
      </c>
      <c r="F1121" s="389" t="s">
        <v>5683</v>
      </c>
      <c r="G1121" s="381" t="s">
        <v>5217</v>
      </c>
      <c r="J1121" s="282" t="s">
        <v>5271</v>
      </c>
    </row>
    <row r="1122" spans="1:10" ht="14.4" hidden="1">
      <c r="A1122" s="380" t="s">
        <v>1189</v>
      </c>
      <c r="B1122" s="380" t="s">
        <v>1194</v>
      </c>
      <c r="C1122" s="381" t="s">
        <v>5684</v>
      </c>
      <c r="D1122" s="380" t="s">
        <v>5685</v>
      </c>
      <c r="E1122" s="386" t="s">
        <v>5686</v>
      </c>
      <c r="F1122" s="389" t="s">
        <v>5687</v>
      </c>
      <c r="G1122" s="381" t="s">
        <v>5217</v>
      </c>
      <c r="J1122" s="282" t="s">
        <v>5271</v>
      </c>
    </row>
    <row r="1123" spans="1:10" ht="14.4" hidden="1">
      <c r="A1123" s="380" t="s">
        <v>1189</v>
      </c>
      <c r="B1123" s="380" t="s">
        <v>1194</v>
      </c>
      <c r="C1123" s="381" t="s">
        <v>5688</v>
      </c>
      <c r="D1123" s="380" t="s">
        <v>5689</v>
      </c>
      <c r="E1123" s="386" t="s">
        <v>5690</v>
      </c>
      <c r="F1123" s="389" t="s">
        <v>5691</v>
      </c>
      <c r="G1123" s="381" t="s">
        <v>5217</v>
      </c>
      <c r="J1123" s="282" t="s">
        <v>5271</v>
      </c>
    </row>
    <row r="1124" spans="1:10" ht="14.4" hidden="1">
      <c r="A1124" s="380" t="s">
        <v>1189</v>
      </c>
      <c r="B1124" s="380" t="s">
        <v>1194</v>
      </c>
      <c r="C1124" s="381" t="s">
        <v>5692</v>
      </c>
      <c r="D1124" s="380" t="s">
        <v>5693</v>
      </c>
      <c r="E1124" s="386" t="s">
        <v>5694</v>
      </c>
      <c r="F1124" s="389" t="s">
        <v>5695</v>
      </c>
      <c r="G1124" s="381" t="s">
        <v>5217</v>
      </c>
      <c r="J1124" s="282" t="s">
        <v>5271</v>
      </c>
    </row>
    <row r="1125" spans="1:10" ht="14.4" hidden="1">
      <c r="A1125" s="380" t="s">
        <v>1189</v>
      </c>
      <c r="B1125" s="380" t="s">
        <v>1194</v>
      </c>
      <c r="C1125" s="381" t="s">
        <v>5696</v>
      </c>
      <c r="D1125" s="380" t="s">
        <v>5697</v>
      </c>
      <c r="E1125" s="386" t="s">
        <v>5698</v>
      </c>
      <c r="F1125" s="389" t="s">
        <v>5699</v>
      </c>
      <c r="G1125" s="381" t="s">
        <v>5217</v>
      </c>
      <c r="J1125" s="282" t="s">
        <v>5271</v>
      </c>
    </row>
    <row r="1126" spans="1:10" ht="14.4" hidden="1">
      <c r="A1126" s="380" t="s">
        <v>1189</v>
      </c>
      <c r="B1126" s="380" t="s">
        <v>1194</v>
      </c>
      <c r="C1126" s="381" t="s">
        <v>5700</v>
      </c>
      <c r="D1126" s="380" t="s">
        <v>5701</v>
      </c>
      <c r="E1126" s="386" t="s">
        <v>5702</v>
      </c>
      <c r="F1126" s="389" t="s">
        <v>5703</v>
      </c>
      <c r="G1126" s="381" t="s">
        <v>5217</v>
      </c>
      <c r="J1126" s="282" t="s">
        <v>5271</v>
      </c>
    </row>
    <row r="1127" spans="1:10" ht="14.4" hidden="1">
      <c r="A1127" s="380" t="s">
        <v>1189</v>
      </c>
      <c r="B1127" s="380" t="s">
        <v>1194</v>
      </c>
      <c r="C1127" s="381" t="s">
        <v>5704</v>
      </c>
      <c r="D1127" s="380" t="s">
        <v>5705</v>
      </c>
      <c r="E1127" s="386" t="s">
        <v>5706</v>
      </c>
      <c r="F1127" s="389" t="s">
        <v>5707</v>
      </c>
      <c r="G1127" s="381" t="s">
        <v>5217</v>
      </c>
      <c r="J1127" s="282" t="s">
        <v>5271</v>
      </c>
    </row>
    <row r="1128" spans="1:10" ht="14.4" hidden="1">
      <c r="A1128" s="380" t="s">
        <v>1189</v>
      </c>
      <c r="B1128" s="380" t="s">
        <v>1194</v>
      </c>
      <c r="C1128" s="381" t="s">
        <v>5708</v>
      </c>
      <c r="D1128" s="380" t="s">
        <v>5709</v>
      </c>
      <c r="E1128" s="386" t="s">
        <v>5710</v>
      </c>
      <c r="F1128" s="389" t="s">
        <v>5711</v>
      </c>
      <c r="G1128" s="381" t="s">
        <v>5217</v>
      </c>
      <c r="J1128" s="282" t="s">
        <v>5271</v>
      </c>
    </row>
    <row r="1129" spans="1:10" ht="14.4" hidden="1">
      <c r="A1129" s="380" t="s">
        <v>1189</v>
      </c>
      <c r="B1129" s="380" t="s">
        <v>1194</v>
      </c>
      <c r="C1129" s="381" t="s">
        <v>5712</v>
      </c>
      <c r="D1129" s="380" t="s">
        <v>5713</v>
      </c>
      <c r="E1129" s="386" t="s">
        <v>5714</v>
      </c>
      <c r="F1129" s="389" t="s">
        <v>5715</v>
      </c>
      <c r="G1129" s="381" t="s">
        <v>5217</v>
      </c>
      <c r="J1129" s="282" t="s">
        <v>5271</v>
      </c>
    </row>
    <row r="1130" spans="1:10" ht="14.4" hidden="1">
      <c r="A1130" s="380" t="s">
        <v>1189</v>
      </c>
      <c r="B1130" s="380" t="s">
        <v>1194</v>
      </c>
      <c r="C1130" s="381" t="s">
        <v>5716</v>
      </c>
      <c r="D1130" s="380" t="s">
        <v>5717</v>
      </c>
      <c r="E1130" s="386" t="s">
        <v>5718</v>
      </c>
      <c r="F1130" s="389" t="s">
        <v>5719</v>
      </c>
      <c r="G1130" s="381" t="s">
        <v>5217</v>
      </c>
      <c r="J1130" s="282" t="s">
        <v>5271</v>
      </c>
    </row>
    <row r="1131" spans="1:10" ht="14.4" hidden="1">
      <c r="A1131" s="380" t="s">
        <v>1189</v>
      </c>
      <c r="B1131" s="380" t="s">
        <v>1194</v>
      </c>
      <c r="C1131" s="381" t="s">
        <v>5720</v>
      </c>
      <c r="D1131" s="380" t="s">
        <v>5721</v>
      </c>
      <c r="E1131" s="386" t="s">
        <v>5722</v>
      </c>
      <c r="F1131" s="389" t="s">
        <v>5723</v>
      </c>
      <c r="G1131" s="381" t="s">
        <v>5217</v>
      </c>
      <c r="J1131" s="282" t="s">
        <v>5271</v>
      </c>
    </row>
    <row r="1132" spans="1:10" ht="14.4" hidden="1">
      <c r="A1132" s="380" t="s">
        <v>1189</v>
      </c>
      <c r="B1132" s="380" t="s">
        <v>1194</v>
      </c>
      <c r="C1132" s="381" t="s">
        <v>5724</v>
      </c>
      <c r="D1132" s="380" t="s">
        <v>5725</v>
      </c>
      <c r="E1132" s="386" t="s">
        <v>5726</v>
      </c>
      <c r="F1132" s="389" t="s">
        <v>5727</v>
      </c>
      <c r="G1132" s="381" t="s">
        <v>5217</v>
      </c>
      <c r="H1132" s="282" t="s">
        <v>1548</v>
      </c>
      <c r="J1132" s="282" t="s">
        <v>5271</v>
      </c>
    </row>
    <row r="1133" spans="1:10" ht="14.4" hidden="1">
      <c r="A1133" s="380" t="s">
        <v>1189</v>
      </c>
      <c r="B1133" s="380" t="s">
        <v>1194</v>
      </c>
      <c r="C1133" s="381" t="s">
        <v>5728</v>
      </c>
      <c r="D1133" s="380" t="s">
        <v>5729</v>
      </c>
      <c r="E1133" s="386" t="s">
        <v>5730</v>
      </c>
      <c r="F1133" s="389" t="s">
        <v>5731</v>
      </c>
      <c r="G1133" s="381" t="s">
        <v>5217</v>
      </c>
      <c r="J1133" s="282" t="s">
        <v>5271</v>
      </c>
    </row>
    <row r="1134" spans="1:10" ht="14.4" hidden="1">
      <c r="A1134" s="380" t="s">
        <v>1189</v>
      </c>
      <c r="B1134" s="380" t="s">
        <v>1194</v>
      </c>
      <c r="C1134" s="381" t="s">
        <v>5732</v>
      </c>
      <c r="D1134" s="380" t="s">
        <v>5733</v>
      </c>
      <c r="E1134" s="386" t="s">
        <v>5734</v>
      </c>
      <c r="F1134" s="389" t="s">
        <v>5735</v>
      </c>
      <c r="G1134" s="381" t="s">
        <v>5217</v>
      </c>
      <c r="J1134" s="282" t="s">
        <v>5271</v>
      </c>
    </row>
    <row r="1135" spans="1:10" ht="14.4" hidden="1">
      <c r="A1135" s="380" t="s">
        <v>1189</v>
      </c>
      <c r="B1135" s="380" t="s">
        <v>1194</v>
      </c>
      <c r="C1135" s="381" t="s">
        <v>5736</v>
      </c>
      <c r="D1135" s="380" t="s">
        <v>5737</v>
      </c>
      <c r="E1135" s="386" t="s">
        <v>5738</v>
      </c>
      <c r="F1135" s="389" t="s">
        <v>5739</v>
      </c>
      <c r="G1135" s="381" t="s">
        <v>5217</v>
      </c>
      <c r="J1135" s="282" t="s">
        <v>5271</v>
      </c>
    </row>
    <row r="1136" spans="1:10" ht="14.4" hidden="1">
      <c r="A1136" s="380" t="s">
        <v>1189</v>
      </c>
      <c r="B1136" s="380" t="s">
        <v>1194</v>
      </c>
      <c r="C1136" s="381" t="s">
        <v>5740</v>
      </c>
      <c r="D1136" s="380" t="s">
        <v>5741</v>
      </c>
      <c r="E1136" s="386" t="s">
        <v>5742</v>
      </c>
      <c r="F1136" s="389" t="s">
        <v>5743</v>
      </c>
      <c r="G1136" s="381" t="s">
        <v>5217</v>
      </c>
      <c r="J1136" s="282" t="s">
        <v>5271</v>
      </c>
    </row>
    <row r="1137" spans="1:10" ht="14.4" hidden="1">
      <c r="A1137" s="380" t="s">
        <v>1189</v>
      </c>
      <c r="B1137" s="380" t="s">
        <v>1194</v>
      </c>
      <c r="C1137" s="381" t="s">
        <v>5744</v>
      </c>
      <c r="D1137" s="380" t="s">
        <v>5745</v>
      </c>
      <c r="E1137" s="386" t="s">
        <v>5746</v>
      </c>
      <c r="F1137" s="389" t="s">
        <v>5747</v>
      </c>
      <c r="G1137" s="381" t="s">
        <v>5217</v>
      </c>
      <c r="H1137" s="282" t="s">
        <v>1548</v>
      </c>
      <c r="J1137" s="282" t="s">
        <v>5271</v>
      </c>
    </row>
    <row r="1138" spans="1:10" ht="14.4" hidden="1">
      <c r="A1138" s="380" t="s">
        <v>1189</v>
      </c>
      <c r="B1138" s="380" t="s">
        <v>1194</v>
      </c>
      <c r="C1138" s="381" t="s">
        <v>5748</v>
      </c>
      <c r="D1138" s="380" t="s">
        <v>5749</v>
      </c>
      <c r="E1138" s="386" t="s">
        <v>5750</v>
      </c>
      <c r="F1138" s="389" t="s">
        <v>5751</v>
      </c>
      <c r="G1138" s="381" t="s">
        <v>5217</v>
      </c>
      <c r="J1138" s="282" t="s">
        <v>5271</v>
      </c>
    </row>
    <row r="1139" spans="1:10" ht="14.4" hidden="1">
      <c r="A1139" s="380" t="s">
        <v>1189</v>
      </c>
      <c r="B1139" s="380" t="s">
        <v>1194</v>
      </c>
      <c r="C1139" s="381" t="s">
        <v>5752</v>
      </c>
      <c r="D1139" s="380" t="s">
        <v>5753</v>
      </c>
      <c r="E1139" s="386" t="s">
        <v>5754</v>
      </c>
      <c r="F1139" s="389" t="s">
        <v>5755</v>
      </c>
      <c r="G1139" s="381" t="s">
        <v>5217</v>
      </c>
      <c r="J1139" s="282" t="s">
        <v>5271</v>
      </c>
    </row>
    <row r="1140" spans="1:10" ht="14.4" hidden="1">
      <c r="A1140" s="380" t="s">
        <v>1189</v>
      </c>
      <c r="B1140" s="380" t="s">
        <v>1194</v>
      </c>
      <c r="C1140" s="381" t="s">
        <v>5756</v>
      </c>
      <c r="D1140" s="380" t="s">
        <v>5757</v>
      </c>
      <c r="E1140" s="386" t="s">
        <v>5758</v>
      </c>
      <c r="F1140" s="389" t="s">
        <v>5759</v>
      </c>
      <c r="G1140" s="381" t="s">
        <v>5217</v>
      </c>
      <c r="J1140" s="282" t="s">
        <v>5271</v>
      </c>
    </row>
    <row r="1141" spans="1:10" ht="14.4" hidden="1">
      <c r="A1141" s="380" t="s">
        <v>1189</v>
      </c>
      <c r="B1141" s="380" t="s">
        <v>1194</v>
      </c>
      <c r="C1141" s="381" t="s">
        <v>5760</v>
      </c>
      <c r="D1141" s="380" t="s">
        <v>5761</v>
      </c>
      <c r="E1141" s="386" t="s">
        <v>5762</v>
      </c>
      <c r="F1141" s="389" t="s">
        <v>5763</v>
      </c>
      <c r="G1141" s="381" t="s">
        <v>5217</v>
      </c>
      <c r="J1141" s="282" t="s">
        <v>5271</v>
      </c>
    </row>
    <row r="1142" spans="1:10" ht="14.4" hidden="1">
      <c r="A1142" s="380" t="s">
        <v>1189</v>
      </c>
      <c r="B1142" s="380" t="s">
        <v>1194</v>
      </c>
      <c r="C1142" s="381" t="s">
        <v>5764</v>
      </c>
      <c r="D1142" s="380" t="s">
        <v>5765</v>
      </c>
      <c r="E1142" s="386" t="s">
        <v>5766</v>
      </c>
      <c r="F1142" s="389" t="s">
        <v>5767</v>
      </c>
      <c r="G1142" s="381" t="s">
        <v>5217</v>
      </c>
      <c r="H1142" s="282" t="s">
        <v>1548</v>
      </c>
      <c r="J1142" s="282" t="s">
        <v>5271</v>
      </c>
    </row>
    <row r="1143" spans="1:10" ht="14.4" hidden="1">
      <c r="A1143" s="380" t="s">
        <v>1189</v>
      </c>
      <c r="B1143" s="380" t="s">
        <v>1194</v>
      </c>
      <c r="C1143" s="381" t="s">
        <v>5768</v>
      </c>
      <c r="D1143" s="380" t="s">
        <v>5769</v>
      </c>
      <c r="E1143" s="386" t="s">
        <v>5770</v>
      </c>
      <c r="F1143" s="389" t="s">
        <v>5771</v>
      </c>
      <c r="G1143" s="381" t="s">
        <v>5217</v>
      </c>
      <c r="J1143" s="282" t="s">
        <v>5271</v>
      </c>
    </row>
    <row r="1144" spans="1:10" ht="14.4" hidden="1">
      <c r="A1144" s="380" t="s">
        <v>1189</v>
      </c>
      <c r="B1144" s="380" t="s">
        <v>1194</v>
      </c>
      <c r="C1144" s="381" t="s">
        <v>5772</v>
      </c>
      <c r="D1144" s="380" t="s">
        <v>5773</v>
      </c>
      <c r="E1144" s="386" t="s">
        <v>5774</v>
      </c>
      <c r="F1144" s="389" t="s">
        <v>5775</v>
      </c>
      <c r="G1144" s="381" t="s">
        <v>5217</v>
      </c>
      <c r="J1144" s="282" t="s">
        <v>5271</v>
      </c>
    </row>
    <row r="1145" spans="1:10" ht="14.4" hidden="1">
      <c r="A1145" s="380" t="s">
        <v>1189</v>
      </c>
      <c r="B1145" s="380" t="s">
        <v>1194</v>
      </c>
      <c r="C1145" s="381" t="s">
        <v>5776</v>
      </c>
      <c r="D1145" s="380" t="s">
        <v>5777</v>
      </c>
      <c r="E1145" s="386" t="s">
        <v>5778</v>
      </c>
      <c r="F1145" s="389" t="s">
        <v>5779</v>
      </c>
      <c r="G1145" s="381" t="s">
        <v>5217</v>
      </c>
      <c r="J1145" s="282" t="s">
        <v>5271</v>
      </c>
    </row>
    <row r="1146" spans="1:10" ht="14.4" hidden="1">
      <c r="A1146" s="380" t="s">
        <v>1189</v>
      </c>
      <c r="B1146" s="380" t="s">
        <v>1194</v>
      </c>
      <c r="C1146" s="381" t="s">
        <v>5780</v>
      </c>
      <c r="D1146" s="380" t="s">
        <v>5781</v>
      </c>
      <c r="E1146" s="386" t="s">
        <v>5782</v>
      </c>
      <c r="F1146" s="389" t="s">
        <v>5783</v>
      </c>
      <c r="G1146" s="381" t="s">
        <v>5217</v>
      </c>
      <c r="J1146" s="282" t="s">
        <v>5271</v>
      </c>
    </row>
    <row r="1147" spans="1:10" ht="13.95" hidden="1" customHeight="1">
      <c r="A1147" s="380" t="s">
        <v>1189</v>
      </c>
      <c r="B1147" s="380" t="s">
        <v>1194</v>
      </c>
      <c r="C1147" s="381" t="s">
        <v>5784</v>
      </c>
      <c r="D1147" s="380" t="s">
        <v>5785</v>
      </c>
      <c r="E1147" s="72" t="s">
        <v>5786</v>
      </c>
      <c r="F1147" s="282" t="s">
        <v>5787</v>
      </c>
      <c r="G1147" s="282" t="s">
        <v>5217</v>
      </c>
      <c r="J1147" s="384" t="s">
        <v>2284</v>
      </c>
    </row>
    <row r="1148" spans="1:10" ht="13.95" hidden="1" customHeight="1">
      <c r="A1148" s="380" t="s">
        <v>1189</v>
      </c>
      <c r="B1148" s="380" t="s">
        <v>1194</v>
      </c>
      <c r="C1148" s="381" t="s">
        <v>5788</v>
      </c>
      <c r="D1148" s="380" t="s">
        <v>5789</v>
      </c>
      <c r="E1148" s="72" t="s">
        <v>5790</v>
      </c>
      <c r="F1148" s="282" t="s">
        <v>5791</v>
      </c>
      <c r="G1148" s="282" t="s">
        <v>5217</v>
      </c>
      <c r="J1148" s="384" t="s">
        <v>2284</v>
      </c>
    </row>
    <row r="1149" spans="1:10" ht="14.4" hidden="1">
      <c r="A1149" s="380" t="s">
        <v>1189</v>
      </c>
      <c r="B1149" s="380" t="s">
        <v>1194</v>
      </c>
      <c r="C1149" s="381" t="s">
        <v>5792</v>
      </c>
      <c r="D1149" s="380" t="s">
        <v>5793</v>
      </c>
      <c r="E1149" s="386" t="s">
        <v>5794</v>
      </c>
      <c r="F1149" s="389" t="s">
        <v>5795</v>
      </c>
      <c r="G1149" s="381" t="s">
        <v>5796</v>
      </c>
      <c r="H1149" s="282" t="s">
        <v>1548</v>
      </c>
      <c r="J1149" s="390" t="s">
        <v>5218</v>
      </c>
    </row>
    <row r="1150" spans="1:10" ht="14.4" hidden="1">
      <c r="A1150" s="380" t="s">
        <v>1189</v>
      </c>
      <c r="B1150" s="380" t="s">
        <v>1194</v>
      </c>
      <c r="C1150" s="381" t="s">
        <v>5797</v>
      </c>
      <c r="D1150" s="380" t="s">
        <v>5798</v>
      </c>
      <c r="E1150" s="386" t="s">
        <v>5799</v>
      </c>
      <c r="F1150" s="389" t="s">
        <v>5800</v>
      </c>
      <c r="G1150" s="381" t="s">
        <v>5796</v>
      </c>
      <c r="J1150" s="390" t="s">
        <v>5218</v>
      </c>
    </row>
    <row r="1151" spans="1:10" ht="14.4" hidden="1">
      <c r="A1151" s="380" t="s">
        <v>1189</v>
      </c>
      <c r="B1151" s="380" t="s">
        <v>1194</v>
      </c>
      <c r="C1151" s="381" t="s">
        <v>5801</v>
      </c>
      <c r="D1151" s="380" t="s">
        <v>5802</v>
      </c>
      <c r="E1151" s="386" t="s">
        <v>5803</v>
      </c>
      <c r="F1151" s="389" t="s">
        <v>5804</v>
      </c>
      <c r="G1151" s="381" t="s">
        <v>5796</v>
      </c>
      <c r="J1151" s="282" t="s">
        <v>5271</v>
      </c>
    </row>
    <row r="1152" spans="1:10" ht="14.4" hidden="1">
      <c r="A1152" s="380" t="s">
        <v>1189</v>
      </c>
      <c r="B1152" s="380" t="s">
        <v>1194</v>
      </c>
      <c r="C1152" s="381" t="s">
        <v>5805</v>
      </c>
      <c r="D1152" s="380" t="s">
        <v>5806</v>
      </c>
      <c r="E1152" s="386" t="s">
        <v>5807</v>
      </c>
      <c r="F1152" s="389" t="s">
        <v>5808</v>
      </c>
      <c r="G1152" s="381" t="s">
        <v>5796</v>
      </c>
      <c r="J1152" s="282" t="s">
        <v>5271</v>
      </c>
    </row>
    <row r="1153" spans="1:10" ht="14.4" hidden="1">
      <c r="A1153" s="380" t="s">
        <v>1189</v>
      </c>
      <c r="B1153" s="380" t="s">
        <v>1194</v>
      </c>
      <c r="C1153" s="381" t="s">
        <v>5809</v>
      </c>
      <c r="D1153" s="380" t="s">
        <v>5810</v>
      </c>
      <c r="E1153" s="386" t="s">
        <v>5811</v>
      </c>
      <c r="F1153" s="389" t="s">
        <v>5812</v>
      </c>
      <c r="G1153" s="381" t="s">
        <v>5796</v>
      </c>
      <c r="J1153" s="282" t="s">
        <v>5271</v>
      </c>
    </row>
    <row r="1154" spans="1:10" ht="14.4" hidden="1">
      <c r="A1154" s="380" t="s">
        <v>1189</v>
      </c>
      <c r="B1154" s="380" t="s">
        <v>1194</v>
      </c>
      <c r="C1154" s="381" t="s">
        <v>5813</v>
      </c>
      <c r="D1154" s="380" t="s">
        <v>5814</v>
      </c>
      <c r="E1154" s="386" t="s">
        <v>5815</v>
      </c>
      <c r="F1154" s="389" t="s">
        <v>5816</v>
      </c>
      <c r="G1154" s="381" t="s">
        <v>5796</v>
      </c>
      <c r="J1154" s="282" t="s">
        <v>5271</v>
      </c>
    </row>
    <row r="1155" spans="1:10" ht="14.4" hidden="1">
      <c r="A1155" s="380" t="s">
        <v>1189</v>
      </c>
      <c r="B1155" s="380" t="s">
        <v>1194</v>
      </c>
      <c r="C1155" s="381" t="s">
        <v>5817</v>
      </c>
      <c r="D1155" s="380" t="s">
        <v>5818</v>
      </c>
      <c r="E1155" s="386" t="s">
        <v>5819</v>
      </c>
      <c r="F1155" s="389" t="s">
        <v>5820</v>
      </c>
      <c r="G1155" s="381" t="s">
        <v>5796</v>
      </c>
      <c r="H1155" s="282" t="s">
        <v>1548</v>
      </c>
      <c r="J1155" s="282" t="s">
        <v>5271</v>
      </c>
    </row>
    <row r="1156" spans="1:10" ht="14.4" hidden="1">
      <c r="A1156" s="380" t="s">
        <v>1189</v>
      </c>
      <c r="B1156" s="380" t="s">
        <v>1194</v>
      </c>
      <c r="C1156" s="381" t="s">
        <v>5821</v>
      </c>
      <c r="D1156" s="380" t="s">
        <v>5822</v>
      </c>
      <c r="E1156" s="386" t="s">
        <v>5823</v>
      </c>
      <c r="F1156" s="389" t="s">
        <v>5824</v>
      </c>
      <c r="G1156" s="381" t="s">
        <v>5796</v>
      </c>
      <c r="J1156" s="282" t="s">
        <v>5271</v>
      </c>
    </row>
    <row r="1157" spans="1:10" ht="14.4" hidden="1">
      <c r="A1157" s="380" t="s">
        <v>1189</v>
      </c>
      <c r="B1157" s="380" t="s">
        <v>1194</v>
      </c>
      <c r="C1157" s="381" t="s">
        <v>5825</v>
      </c>
      <c r="D1157" s="380" t="s">
        <v>5826</v>
      </c>
      <c r="E1157" s="386" t="s">
        <v>5827</v>
      </c>
      <c r="F1157" s="389" t="s">
        <v>5828</v>
      </c>
      <c r="G1157" s="381" t="s">
        <v>5796</v>
      </c>
      <c r="J1157" s="282" t="s">
        <v>5271</v>
      </c>
    </row>
    <row r="1158" spans="1:10" ht="14.4" hidden="1">
      <c r="A1158" s="380" t="s">
        <v>1189</v>
      </c>
      <c r="B1158" s="380" t="s">
        <v>1194</v>
      </c>
      <c r="C1158" s="381" t="s">
        <v>5829</v>
      </c>
      <c r="D1158" s="380" t="s">
        <v>5830</v>
      </c>
      <c r="E1158" s="386" t="s">
        <v>5831</v>
      </c>
      <c r="F1158" s="389" t="s">
        <v>5832</v>
      </c>
      <c r="G1158" s="381" t="s">
        <v>5796</v>
      </c>
      <c r="J1158" s="282" t="s">
        <v>5271</v>
      </c>
    </row>
    <row r="1159" spans="1:10" ht="14.4" hidden="1">
      <c r="A1159" s="380" t="s">
        <v>1189</v>
      </c>
      <c r="B1159" s="380" t="s">
        <v>1194</v>
      </c>
      <c r="C1159" s="381" t="s">
        <v>5833</v>
      </c>
      <c r="D1159" s="380" t="s">
        <v>5834</v>
      </c>
      <c r="E1159" s="386" t="s">
        <v>5835</v>
      </c>
      <c r="F1159" s="389" t="s">
        <v>5836</v>
      </c>
      <c r="G1159" s="381" t="s">
        <v>5796</v>
      </c>
      <c r="J1159" s="282" t="s">
        <v>5271</v>
      </c>
    </row>
    <row r="1160" spans="1:10" ht="14.4" hidden="1">
      <c r="A1160" s="380" t="s">
        <v>1189</v>
      </c>
      <c r="B1160" s="380" t="s">
        <v>1194</v>
      </c>
      <c r="C1160" s="381" t="s">
        <v>5837</v>
      </c>
      <c r="D1160" s="380" t="s">
        <v>5838</v>
      </c>
      <c r="E1160" s="386" t="s">
        <v>5839</v>
      </c>
      <c r="F1160" s="389" t="s">
        <v>5840</v>
      </c>
      <c r="G1160" s="381" t="s">
        <v>5796</v>
      </c>
      <c r="J1160" s="282" t="s">
        <v>5271</v>
      </c>
    </row>
    <row r="1161" spans="1:10" ht="14.4" hidden="1">
      <c r="A1161" s="380" t="s">
        <v>1189</v>
      </c>
      <c r="B1161" s="380" t="s">
        <v>1194</v>
      </c>
      <c r="C1161" s="381" t="s">
        <v>5841</v>
      </c>
      <c r="D1161" s="380" t="s">
        <v>5842</v>
      </c>
      <c r="E1161" s="386" t="s">
        <v>5843</v>
      </c>
      <c r="F1161" s="389" t="s">
        <v>5844</v>
      </c>
      <c r="G1161" s="381" t="s">
        <v>5796</v>
      </c>
      <c r="J1161" s="282" t="s">
        <v>5271</v>
      </c>
    </row>
    <row r="1162" spans="1:10" ht="14.4" hidden="1">
      <c r="A1162" s="380" t="s">
        <v>1189</v>
      </c>
      <c r="B1162" s="380" t="s">
        <v>1194</v>
      </c>
      <c r="C1162" s="381" t="s">
        <v>5845</v>
      </c>
      <c r="D1162" s="380" t="s">
        <v>5846</v>
      </c>
      <c r="E1162" s="386" t="s">
        <v>5847</v>
      </c>
      <c r="F1162" s="389" t="s">
        <v>5848</v>
      </c>
      <c r="G1162" s="381" t="s">
        <v>5796</v>
      </c>
      <c r="J1162" s="282" t="s">
        <v>5271</v>
      </c>
    </row>
    <row r="1163" spans="1:10" ht="14.4" hidden="1">
      <c r="A1163" s="380" t="s">
        <v>1189</v>
      </c>
      <c r="B1163" s="380" t="s">
        <v>1194</v>
      </c>
      <c r="C1163" s="381" t="s">
        <v>5849</v>
      </c>
      <c r="D1163" s="380" t="s">
        <v>5850</v>
      </c>
      <c r="E1163" s="386" t="s">
        <v>5851</v>
      </c>
      <c r="F1163" s="389" t="s">
        <v>5852</v>
      </c>
      <c r="G1163" s="381" t="s">
        <v>5796</v>
      </c>
      <c r="J1163" s="282" t="s">
        <v>5271</v>
      </c>
    </row>
    <row r="1164" spans="1:10" ht="14.4" hidden="1">
      <c r="A1164" s="380" t="s">
        <v>1189</v>
      </c>
      <c r="B1164" s="380" t="s">
        <v>1194</v>
      </c>
      <c r="C1164" s="381" t="s">
        <v>5853</v>
      </c>
      <c r="D1164" s="380" t="s">
        <v>5854</v>
      </c>
      <c r="E1164" s="386" t="s">
        <v>5855</v>
      </c>
      <c r="F1164" s="389" t="s">
        <v>5856</v>
      </c>
      <c r="G1164" s="381" t="s">
        <v>5796</v>
      </c>
      <c r="J1164" s="282" t="s">
        <v>5271</v>
      </c>
    </row>
    <row r="1165" spans="1:10" ht="14.4" hidden="1">
      <c r="A1165" s="380" t="s">
        <v>1189</v>
      </c>
      <c r="B1165" s="380" t="s">
        <v>1194</v>
      </c>
      <c r="C1165" s="381" t="s">
        <v>5857</v>
      </c>
      <c r="D1165" s="380" t="s">
        <v>5858</v>
      </c>
      <c r="E1165" s="386" t="s">
        <v>5859</v>
      </c>
      <c r="F1165" s="389" t="s">
        <v>5860</v>
      </c>
      <c r="G1165" s="381" t="s">
        <v>5796</v>
      </c>
      <c r="J1165" s="282" t="s">
        <v>5271</v>
      </c>
    </row>
    <row r="1166" spans="1:10" ht="14.4" hidden="1">
      <c r="A1166" s="380" t="s">
        <v>1189</v>
      </c>
      <c r="B1166" s="380" t="s">
        <v>1194</v>
      </c>
      <c r="C1166" s="381" t="s">
        <v>5861</v>
      </c>
      <c r="D1166" s="380" t="s">
        <v>5862</v>
      </c>
      <c r="E1166" s="386" t="s">
        <v>5863</v>
      </c>
      <c r="F1166" s="389" t="s">
        <v>5864</v>
      </c>
      <c r="G1166" s="381" t="s">
        <v>5796</v>
      </c>
      <c r="H1166" s="282" t="s">
        <v>1548</v>
      </c>
      <c r="J1166" s="282" t="s">
        <v>5271</v>
      </c>
    </row>
    <row r="1167" spans="1:10" ht="14.4" hidden="1">
      <c r="A1167" s="380" t="s">
        <v>1189</v>
      </c>
      <c r="B1167" s="380" t="s">
        <v>1194</v>
      </c>
      <c r="C1167" s="381" t="s">
        <v>5865</v>
      </c>
      <c r="D1167" s="380" t="s">
        <v>5866</v>
      </c>
      <c r="E1167" s="386" t="s">
        <v>5867</v>
      </c>
      <c r="F1167" s="389" t="s">
        <v>5868</v>
      </c>
      <c r="G1167" s="381" t="s">
        <v>5796</v>
      </c>
      <c r="J1167" s="282" t="s">
        <v>5271</v>
      </c>
    </row>
    <row r="1168" spans="1:10" ht="14.4" hidden="1">
      <c r="A1168" s="380" t="s">
        <v>1189</v>
      </c>
      <c r="B1168" s="380" t="s">
        <v>1194</v>
      </c>
      <c r="C1168" s="381" t="s">
        <v>5869</v>
      </c>
      <c r="D1168" s="380" t="s">
        <v>5870</v>
      </c>
      <c r="E1168" s="386" t="s">
        <v>5871</v>
      </c>
      <c r="F1168" s="389" t="s">
        <v>5872</v>
      </c>
      <c r="G1168" s="381" t="s">
        <v>5796</v>
      </c>
      <c r="J1168" s="282" t="s">
        <v>5271</v>
      </c>
    </row>
    <row r="1169" spans="1:10" ht="14.4" hidden="1">
      <c r="A1169" s="380" t="s">
        <v>1189</v>
      </c>
      <c r="B1169" s="380" t="s">
        <v>1194</v>
      </c>
      <c r="C1169" s="381" t="s">
        <v>5873</v>
      </c>
      <c r="D1169" s="380" t="s">
        <v>5874</v>
      </c>
      <c r="E1169" s="386" t="s">
        <v>5875</v>
      </c>
      <c r="F1169" s="389" t="s">
        <v>5876</v>
      </c>
      <c r="G1169" s="381" t="s">
        <v>5796</v>
      </c>
      <c r="J1169" s="282" t="s">
        <v>5271</v>
      </c>
    </row>
    <row r="1170" spans="1:10" ht="14.4" hidden="1">
      <c r="A1170" s="380" t="s">
        <v>1189</v>
      </c>
      <c r="B1170" s="380" t="s">
        <v>1194</v>
      </c>
      <c r="C1170" s="381" t="s">
        <v>5877</v>
      </c>
      <c r="D1170" s="380" t="s">
        <v>5878</v>
      </c>
      <c r="E1170" s="386" t="s">
        <v>5879</v>
      </c>
      <c r="F1170" s="389" t="s">
        <v>5880</v>
      </c>
      <c r="G1170" s="381" t="s">
        <v>5796</v>
      </c>
      <c r="J1170" s="282" t="s">
        <v>5271</v>
      </c>
    </row>
    <row r="1171" spans="1:10" ht="14.4" hidden="1">
      <c r="A1171" s="380" t="s">
        <v>1189</v>
      </c>
      <c r="B1171" s="380" t="s">
        <v>1194</v>
      </c>
      <c r="C1171" s="381" t="s">
        <v>5881</v>
      </c>
      <c r="D1171" s="380" t="s">
        <v>5882</v>
      </c>
      <c r="E1171" s="386" t="s">
        <v>5883</v>
      </c>
      <c r="F1171" s="389" t="s">
        <v>5884</v>
      </c>
      <c r="G1171" s="381" t="s">
        <v>5796</v>
      </c>
      <c r="J1171" s="282" t="s">
        <v>5271</v>
      </c>
    </row>
    <row r="1172" spans="1:10" ht="14.4" hidden="1">
      <c r="A1172" s="380" t="s">
        <v>1189</v>
      </c>
      <c r="B1172" s="380" t="s">
        <v>1194</v>
      </c>
      <c r="C1172" s="381" t="s">
        <v>5885</v>
      </c>
      <c r="D1172" s="380" t="s">
        <v>5886</v>
      </c>
      <c r="E1172" s="386" t="s">
        <v>5887</v>
      </c>
      <c r="F1172" s="389" t="s">
        <v>5888</v>
      </c>
      <c r="G1172" s="381" t="s">
        <v>5796</v>
      </c>
      <c r="H1172" s="282" t="s">
        <v>1548</v>
      </c>
      <c r="J1172" s="282" t="s">
        <v>5271</v>
      </c>
    </row>
    <row r="1173" spans="1:10" ht="14.4" hidden="1">
      <c r="A1173" s="380" t="s">
        <v>1189</v>
      </c>
      <c r="B1173" s="380" t="s">
        <v>1194</v>
      </c>
      <c r="C1173" s="381" t="s">
        <v>5889</v>
      </c>
      <c r="D1173" s="380" t="s">
        <v>5890</v>
      </c>
      <c r="E1173" s="386" t="s">
        <v>5891</v>
      </c>
      <c r="F1173" s="389" t="s">
        <v>5892</v>
      </c>
      <c r="G1173" s="381" t="s">
        <v>5796</v>
      </c>
      <c r="J1173" s="282" t="s">
        <v>5271</v>
      </c>
    </row>
    <row r="1174" spans="1:10" ht="14.4" hidden="1">
      <c r="A1174" s="380" t="s">
        <v>1189</v>
      </c>
      <c r="B1174" s="380" t="s">
        <v>1194</v>
      </c>
      <c r="C1174" s="381" t="s">
        <v>5893</v>
      </c>
      <c r="D1174" s="380" t="s">
        <v>5894</v>
      </c>
      <c r="E1174" s="386" t="s">
        <v>5895</v>
      </c>
      <c r="F1174" s="389" t="s">
        <v>5896</v>
      </c>
      <c r="G1174" s="381" t="s">
        <v>5796</v>
      </c>
      <c r="J1174" s="282" t="s">
        <v>5271</v>
      </c>
    </row>
    <row r="1175" spans="1:10" ht="14.4" hidden="1">
      <c r="A1175" s="380" t="s">
        <v>1189</v>
      </c>
      <c r="B1175" s="380" t="s">
        <v>1194</v>
      </c>
      <c r="C1175" s="381" t="s">
        <v>5897</v>
      </c>
      <c r="D1175" s="380" t="s">
        <v>5898</v>
      </c>
      <c r="E1175" s="386" t="s">
        <v>5899</v>
      </c>
      <c r="F1175" s="389" t="s">
        <v>5900</v>
      </c>
      <c r="G1175" s="381" t="s">
        <v>5796</v>
      </c>
      <c r="J1175" s="282" t="s">
        <v>5271</v>
      </c>
    </row>
    <row r="1176" spans="1:10" ht="14.4" hidden="1">
      <c r="A1176" s="380" t="s">
        <v>1189</v>
      </c>
      <c r="B1176" s="380" t="s">
        <v>1194</v>
      </c>
      <c r="C1176" s="381" t="s">
        <v>5901</v>
      </c>
      <c r="D1176" s="380" t="s">
        <v>5902</v>
      </c>
      <c r="E1176" s="386" t="s">
        <v>5903</v>
      </c>
      <c r="F1176" s="389" t="s">
        <v>5904</v>
      </c>
      <c r="G1176" s="381" t="s">
        <v>5796</v>
      </c>
      <c r="J1176" s="282" t="s">
        <v>5271</v>
      </c>
    </row>
    <row r="1177" spans="1:10" ht="14.4" hidden="1">
      <c r="A1177" s="380" t="s">
        <v>1189</v>
      </c>
      <c r="B1177" s="380" t="s">
        <v>1194</v>
      </c>
      <c r="C1177" s="381" t="s">
        <v>5905</v>
      </c>
      <c r="D1177" s="380" t="s">
        <v>5906</v>
      </c>
      <c r="E1177" s="386" t="s">
        <v>5907</v>
      </c>
      <c r="F1177" s="389" t="s">
        <v>5908</v>
      </c>
      <c r="G1177" s="381" t="s">
        <v>5796</v>
      </c>
      <c r="J1177" s="282" t="s">
        <v>5271</v>
      </c>
    </row>
    <row r="1178" spans="1:10" ht="14.4" hidden="1">
      <c r="A1178" s="380" t="s">
        <v>1189</v>
      </c>
      <c r="B1178" s="380" t="s">
        <v>1194</v>
      </c>
      <c r="C1178" s="381" t="s">
        <v>5909</v>
      </c>
      <c r="D1178" s="380" t="s">
        <v>5910</v>
      </c>
      <c r="E1178" s="386" t="s">
        <v>5911</v>
      </c>
      <c r="F1178" s="389" t="s">
        <v>5912</v>
      </c>
      <c r="G1178" s="381" t="s">
        <v>5796</v>
      </c>
      <c r="J1178" s="282" t="s">
        <v>5271</v>
      </c>
    </row>
    <row r="1179" spans="1:10" ht="14.4" hidden="1">
      <c r="A1179" s="380" t="s">
        <v>1189</v>
      </c>
      <c r="B1179" s="380" t="s">
        <v>1194</v>
      </c>
      <c r="C1179" s="381" t="s">
        <v>5913</v>
      </c>
      <c r="D1179" s="380" t="s">
        <v>5914</v>
      </c>
      <c r="E1179" s="386" t="s">
        <v>5915</v>
      </c>
      <c r="F1179" s="389" t="s">
        <v>5916</v>
      </c>
      <c r="G1179" s="381" t="s">
        <v>5796</v>
      </c>
      <c r="J1179" s="282" t="s">
        <v>5271</v>
      </c>
    </row>
    <row r="1180" spans="1:10" ht="14.4" hidden="1">
      <c r="A1180" s="380" t="s">
        <v>1189</v>
      </c>
      <c r="B1180" s="380" t="s">
        <v>1194</v>
      </c>
      <c r="C1180" s="381" t="s">
        <v>5917</v>
      </c>
      <c r="D1180" s="380" t="s">
        <v>5918</v>
      </c>
      <c r="E1180" s="386" t="s">
        <v>5919</v>
      </c>
      <c r="F1180" s="389" t="s">
        <v>5920</v>
      </c>
      <c r="G1180" s="381" t="s">
        <v>5796</v>
      </c>
      <c r="J1180" s="282" t="s">
        <v>5271</v>
      </c>
    </row>
    <row r="1181" spans="1:10" ht="14.4" hidden="1">
      <c r="A1181" s="380" t="s">
        <v>1189</v>
      </c>
      <c r="B1181" s="380" t="s">
        <v>1194</v>
      </c>
      <c r="C1181" s="381" t="s">
        <v>5921</v>
      </c>
      <c r="D1181" s="380" t="s">
        <v>5922</v>
      </c>
      <c r="E1181" s="386" t="s">
        <v>5923</v>
      </c>
      <c r="F1181" s="389" t="s">
        <v>5924</v>
      </c>
      <c r="G1181" s="381" t="s">
        <v>5796</v>
      </c>
      <c r="J1181" s="282" t="s">
        <v>5271</v>
      </c>
    </row>
    <row r="1182" spans="1:10" ht="14.4" hidden="1">
      <c r="A1182" s="380" t="s">
        <v>1189</v>
      </c>
      <c r="B1182" s="380" t="s">
        <v>1194</v>
      </c>
      <c r="C1182" s="381" t="s">
        <v>5925</v>
      </c>
      <c r="D1182" s="380" t="s">
        <v>5926</v>
      </c>
      <c r="E1182" s="386" t="s">
        <v>5927</v>
      </c>
      <c r="F1182" s="389" t="s">
        <v>5928</v>
      </c>
      <c r="G1182" s="381" t="s">
        <v>5796</v>
      </c>
      <c r="J1182" s="282" t="s">
        <v>5271</v>
      </c>
    </row>
    <row r="1183" spans="1:10" ht="14.4" hidden="1">
      <c r="A1183" s="380" t="s">
        <v>1189</v>
      </c>
      <c r="B1183" s="380" t="s">
        <v>1194</v>
      </c>
      <c r="C1183" s="381" t="s">
        <v>5929</v>
      </c>
      <c r="D1183" s="380" t="s">
        <v>5930</v>
      </c>
      <c r="E1183" s="386" t="s">
        <v>5931</v>
      </c>
      <c r="F1183" s="389" t="s">
        <v>5932</v>
      </c>
      <c r="G1183" s="381" t="s">
        <v>5796</v>
      </c>
      <c r="J1183" s="282" t="s">
        <v>5271</v>
      </c>
    </row>
    <row r="1184" spans="1:10" ht="14.4" hidden="1">
      <c r="A1184" s="380" t="s">
        <v>1189</v>
      </c>
      <c r="B1184" s="380" t="s">
        <v>1194</v>
      </c>
      <c r="C1184" s="381" t="s">
        <v>5933</v>
      </c>
      <c r="D1184" s="380" t="s">
        <v>5934</v>
      </c>
      <c r="E1184" s="386" t="s">
        <v>5935</v>
      </c>
      <c r="F1184" s="389" t="s">
        <v>5936</v>
      </c>
      <c r="G1184" s="381" t="s">
        <v>5796</v>
      </c>
      <c r="J1184" s="282" t="s">
        <v>5271</v>
      </c>
    </row>
    <row r="1185" spans="1:10" ht="14.4" hidden="1">
      <c r="A1185" s="380" t="s">
        <v>1189</v>
      </c>
      <c r="B1185" s="380" t="s">
        <v>1194</v>
      </c>
      <c r="C1185" s="381" t="s">
        <v>5937</v>
      </c>
      <c r="D1185" s="380" t="s">
        <v>5938</v>
      </c>
      <c r="E1185" s="386" t="s">
        <v>5939</v>
      </c>
      <c r="F1185" s="389" t="s">
        <v>5940</v>
      </c>
      <c r="G1185" s="381" t="s">
        <v>5796</v>
      </c>
      <c r="J1185" s="282" t="s">
        <v>5271</v>
      </c>
    </row>
    <row r="1186" spans="1:10" ht="14.4" hidden="1">
      <c r="A1186" s="380" t="s">
        <v>1189</v>
      </c>
      <c r="B1186" s="380" t="s">
        <v>1194</v>
      </c>
      <c r="C1186" s="381" t="s">
        <v>5941</v>
      </c>
      <c r="D1186" s="380" t="s">
        <v>5942</v>
      </c>
      <c r="E1186" s="386" t="s">
        <v>5943</v>
      </c>
      <c r="F1186" s="389" t="s">
        <v>5944</v>
      </c>
      <c r="G1186" s="381" t="s">
        <v>5796</v>
      </c>
      <c r="J1186" s="282" t="s">
        <v>5271</v>
      </c>
    </row>
    <row r="1187" spans="1:10" ht="14.4" hidden="1">
      <c r="A1187" s="380" t="s">
        <v>1189</v>
      </c>
      <c r="B1187" s="380" t="s">
        <v>1194</v>
      </c>
      <c r="C1187" s="381" t="s">
        <v>5945</v>
      </c>
      <c r="D1187" s="380" t="s">
        <v>5946</v>
      </c>
      <c r="E1187" s="386" t="s">
        <v>5947</v>
      </c>
      <c r="F1187" s="389" t="s">
        <v>5948</v>
      </c>
      <c r="G1187" s="381" t="s">
        <v>5796</v>
      </c>
      <c r="J1187" s="282" t="s">
        <v>5271</v>
      </c>
    </row>
    <row r="1188" spans="1:10" ht="14.4" hidden="1">
      <c r="A1188" s="380" t="s">
        <v>1189</v>
      </c>
      <c r="B1188" s="380" t="s">
        <v>1194</v>
      </c>
      <c r="C1188" s="381" t="s">
        <v>5949</v>
      </c>
      <c r="D1188" s="380" t="s">
        <v>5950</v>
      </c>
      <c r="E1188" s="386" t="s">
        <v>5951</v>
      </c>
      <c r="F1188" s="389" t="s">
        <v>5952</v>
      </c>
      <c r="G1188" s="381" t="s">
        <v>5796</v>
      </c>
      <c r="J1188" s="282" t="s">
        <v>5271</v>
      </c>
    </row>
    <row r="1189" spans="1:10" ht="14.4" hidden="1">
      <c r="A1189" s="380" t="s">
        <v>1189</v>
      </c>
      <c r="B1189" s="380" t="s">
        <v>1194</v>
      </c>
      <c r="C1189" s="381" t="s">
        <v>5953</v>
      </c>
      <c r="D1189" s="380" t="s">
        <v>5954</v>
      </c>
      <c r="E1189" s="386" t="s">
        <v>5955</v>
      </c>
      <c r="F1189" s="389" t="s">
        <v>5956</v>
      </c>
      <c r="G1189" s="381" t="s">
        <v>5796</v>
      </c>
      <c r="J1189" s="282" t="s">
        <v>5271</v>
      </c>
    </row>
    <row r="1190" spans="1:10" ht="14.4" hidden="1">
      <c r="A1190" s="380" t="s">
        <v>1189</v>
      </c>
      <c r="B1190" s="380" t="s">
        <v>1194</v>
      </c>
      <c r="C1190" s="381" t="s">
        <v>5957</v>
      </c>
      <c r="D1190" s="380" t="s">
        <v>5958</v>
      </c>
      <c r="E1190" s="386" t="s">
        <v>5959</v>
      </c>
      <c r="F1190" s="389" t="s">
        <v>5960</v>
      </c>
      <c r="G1190" s="381" t="s">
        <v>5796</v>
      </c>
      <c r="J1190" s="282" t="s">
        <v>5271</v>
      </c>
    </row>
    <row r="1191" spans="1:10" ht="14.4" hidden="1">
      <c r="A1191" s="380" t="s">
        <v>1189</v>
      </c>
      <c r="B1191" s="380" t="s">
        <v>1194</v>
      </c>
      <c r="C1191" s="381" t="s">
        <v>5961</v>
      </c>
      <c r="D1191" s="380" t="s">
        <v>5962</v>
      </c>
      <c r="E1191" s="386" t="s">
        <v>5963</v>
      </c>
      <c r="F1191" s="389" t="s">
        <v>5964</v>
      </c>
      <c r="G1191" s="381" t="s">
        <v>5796</v>
      </c>
      <c r="J1191" s="282" t="s">
        <v>5271</v>
      </c>
    </row>
    <row r="1192" spans="1:10" ht="14.4" hidden="1">
      <c r="A1192" s="380" t="s">
        <v>1189</v>
      </c>
      <c r="B1192" s="380" t="s">
        <v>1194</v>
      </c>
      <c r="C1192" s="381" t="s">
        <v>5965</v>
      </c>
      <c r="D1192" s="380" t="s">
        <v>5966</v>
      </c>
      <c r="E1192" s="386" t="s">
        <v>5967</v>
      </c>
      <c r="F1192" s="389" t="s">
        <v>5968</v>
      </c>
      <c r="G1192" s="381" t="s">
        <v>5796</v>
      </c>
      <c r="J1192" s="282" t="s">
        <v>5271</v>
      </c>
    </row>
    <row r="1193" spans="1:10" ht="14.4" hidden="1">
      <c r="A1193" s="380" t="s">
        <v>1189</v>
      </c>
      <c r="B1193" s="380" t="s">
        <v>1194</v>
      </c>
      <c r="C1193" s="381" t="s">
        <v>5969</v>
      </c>
      <c r="D1193" s="380" t="s">
        <v>5970</v>
      </c>
      <c r="E1193" s="386" t="s">
        <v>5971</v>
      </c>
      <c r="F1193" s="389" t="s">
        <v>5972</v>
      </c>
      <c r="G1193" s="381" t="s">
        <v>5796</v>
      </c>
      <c r="J1193" s="282" t="s">
        <v>5271</v>
      </c>
    </row>
    <row r="1194" spans="1:10" ht="14.4" hidden="1">
      <c r="A1194" s="380" t="s">
        <v>1189</v>
      </c>
      <c r="B1194" s="380" t="s">
        <v>1194</v>
      </c>
      <c r="C1194" s="381" t="s">
        <v>5973</v>
      </c>
      <c r="D1194" s="380" t="s">
        <v>5974</v>
      </c>
      <c r="E1194" s="386" t="s">
        <v>5975</v>
      </c>
      <c r="F1194" s="389" t="s">
        <v>5976</v>
      </c>
      <c r="G1194" s="381" t="s">
        <v>5796</v>
      </c>
      <c r="J1194" s="282" t="s">
        <v>5271</v>
      </c>
    </row>
    <row r="1195" spans="1:10" ht="14.4" hidden="1">
      <c r="A1195" s="380" t="s">
        <v>1189</v>
      </c>
      <c r="B1195" s="380" t="s">
        <v>1194</v>
      </c>
      <c r="C1195" s="381" t="s">
        <v>5977</v>
      </c>
      <c r="D1195" s="380" t="s">
        <v>5978</v>
      </c>
      <c r="E1195" s="386" t="s">
        <v>5979</v>
      </c>
      <c r="F1195" s="389" t="s">
        <v>5980</v>
      </c>
      <c r="G1195" s="381" t="s">
        <v>5796</v>
      </c>
      <c r="J1195" s="282" t="s">
        <v>5271</v>
      </c>
    </row>
    <row r="1196" spans="1:10" ht="14.4" hidden="1">
      <c r="A1196" s="380" t="s">
        <v>1189</v>
      </c>
      <c r="B1196" s="380" t="s">
        <v>1194</v>
      </c>
      <c r="C1196" s="381" t="s">
        <v>5981</v>
      </c>
      <c r="D1196" s="380" t="s">
        <v>5982</v>
      </c>
      <c r="E1196" s="386" t="s">
        <v>5983</v>
      </c>
      <c r="F1196" s="389" t="s">
        <v>5984</v>
      </c>
      <c r="G1196" s="381" t="s">
        <v>5796</v>
      </c>
      <c r="H1196" s="282" t="s">
        <v>1548</v>
      </c>
      <c r="J1196" s="282" t="s">
        <v>5271</v>
      </c>
    </row>
    <row r="1197" spans="1:10" ht="14.4" hidden="1">
      <c r="A1197" s="380" t="s">
        <v>1189</v>
      </c>
      <c r="B1197" s="380" t="s">
        <v>1194</v>
      </c>
      <c r="C1197" s="381" t="s">
        <v>5985</v>
      </c>
      <c r="D1197" s="380" t="s">
        <v>5986</v>
      </c>
      <c r="E1197" s="386" t="s">
        <v>5987</v>
      </c>
      <c r="F1197" s="389" t="s">
        <v>5988</v>
      </c>
      <c r="G1197" s="381" t="s">
        <v>5796</v>
      </c>
      <c r="J1197" s="282" t="s">
        <v>5271</v>
      </c>
    </row>
    <row r="1198" spans="1:10" ht="14.4" hidden="1">
      <c r="A1198" s="380" t="s">
        <v>1189</v>
      </c>
      <c r="B1198" s="380" t="s">
        <v>1194</v>
      </c>
      <c r="C1198" s="381" t="s">
        <v>5989</v>
      </c>
      <c r="D1198" s="380" t="s">
        <v>5990</v>
      </c>
      <c r="E1198" s="386" t="s">
        <v>5991</v>
      </c>
      <c r="F1198" s="389" t="s">
        <v>5992</v>
      </c>
      <c r="G1198" s="381" t="s">
        <v>5796</v>
      </c>
      <c r="J1198" s="282" t="s">
        <v>5271</v>
      </c>
    </row>
    <row r="1199" spans="1:10" ht="14.4" hidden="1">
      <c r="A1199" s="380" t="s">
        <v>1189</v>
      </c>
      <c r="B1199" s="380" t="s">
        <v>1194</v>
      </c>
      <c r="C1199" s="381" t="s">
        <v>5993</v>
      </c>
      <c r="D1199" s="380" t="s">
        <v>5994</v>
      </c>
      <c r="E1199" s="386" t="s">
        <v>5995</v>
      </c>
      <c r="F1199" s="389" t="s">
        <v>5996</v>
      </c>
      <c r="G1199" s="381" t="s">
        <v>5796</v>
      </c>
      <c r="J1199" s="282" t="s">
        <v>5271</v>
      </c>
    </row>
    <row r="1200" spans="1:10" ht="14.4" hidden="1">
      <c r="A1200" s="380" t="s">
        <v>1189</v>
      </c>
      <c r="B1200" s="380" t="s">
        <v>1194</v>
      </c>
      <c r="C1200" s="381" t="s">
        <v>5997</v>
      </c>
      <c r="D1200" s="380" t="s">
        <v>5998</v>
      </c>
      <c r="E1200" s="386" t="s">
        <v>5999</v>
      </c>
      <c r="F1200" s="389" t="s">
        <v>6000</v>
      </c>
      <c r="G1200" s="381" t="s">
        <v>5796</v>
      </c>
      <c r="J1200" s="282" t="s">
        <v>5271</v>
      </c>
    </row>
    <row r="1201" spans="1:10" ht="14.4" hidden="1">
      <c r="A1201" s="380" t="s">
        <v>1189</v>
      </c>
      <c r="B1201" s="380" t="s">
        <v>1194</v>
      </c>
      <c r="C1201" s="381" t="s">
        <v>6001</v>
      </c>
      <c r="D1201" s="380" t="s">
        <v>6002</v>
      </c>
      <c r="E1201" s="386" t="s">
        <v>6003</v>
      </c>
      <c r="F1201" s="389" t="s">
        <v>6004</v>
      </c>
      <c r="G1201" s="381" t="s">
        <v>5796</v>
      </c>
      <c r="J1201" s="282" t="s">
        <v>5271</v>
      </c>
    </row>
    <row r="1202" spans="1:10" ht="14.4" hidden="1">
      <c r="A1202" s="380" t="s">
        <v>1189</v>
      </c>
      <c r="B1202" s="380" t="s">
        <v>1194</v>
      </c>
      <c r="C1202" s="381" t="s">
        <v>6005</v>
      </c>
      <c r="D1202" s="380" t="s">
        <v>6006</v>
      </c>
      <c r="E1202" s="386" t="s">
        <v>6007</v>
      </c>
      <c r="F1202" s="389" t="s">
        <v>6008</v>
      </c>
      <c r="G1202" s="381" t="s">
        <v>5796</v>
      </c>
      <c r="J1202" s="282" t="s">
        <v>5271</v>
      </c>
    </row>
    <row r="1203" spans="1:10" ht="14.4" hidden="1">
      <c r="A1203" s="380" t="s">
        <v>1189</v>
      </c>
      <c r="B1203" s="380" t="s">
        <v>1194</v>
      </c>
      <c r="C1203" s="381" t="s">
        <v>6009</v>
      </c>
      <c r="D1203" s="380" t="s">
        <v>6010</v>
      </c>
      <c r="E1203" s="387" t="s">
        <v>6011</v>
      </c>
      <c r="F1203" s="282" t="s">
        <v>6012</v>
      </c>
      <c r="G1203" s="381" t="s">
        <v>5796</v>
      </c>
      <c r="J1203" s="282" t="s">
        <v>5271</v>
      </c>
    </row>
    <row r="1204" spans="1:10" ht="14.4" hidden="1">
      <c r="A1204" s="380" t="s">
        <v>1189</v>
      </c>
      <c r="B1204" s="380" t="s">
        <v>1194</v>
      </c>
      <c r="C1204" s="381" t="s">
        <v>6013</v>
      </c>
      <c r="D1204" s="380" t="s">
        <v>6014</v>
      </c>
      <c r="E1204" s="386" t="s">
        <v>6015</v>
      </c>
      <c r="F1204" s="389" t="s">
        <v>6016</v>
      </c>
      <c r="G1204" s="381" t="s">
        <v>5796</v>
      </c>
      <c r="J1204" s="282" t="s">
        <v>5271</v>
      </c>
    </row>
    <row r="1205" spans="1:10" ht="14.4" hidden="1">
      <c r="A1205" s="380" t="s">
        <v>1189</v>
      </c>
      <c r="B1205" s="380" t="s">
        <v>1194</v>
      </c>
      <c r="C1205" s="381" t="s">
        <v>6017</v>
      </c>
      <c r="D1205" s="380" t="s">
        <v>6018</v>
      </c>
      <c r="E1205" s="386" t="s">
        <v>6019</v>
      </c>
      <c r="F1205" s="389" t="s">
        <v>6020</v>
      </c>
      <c r="G1205" s="381" t="s">
        <v>5796</v>
      </c>
      <c r="J1205" s="282" t="s">
        <v>5271</v>
      </c>
    </row>
    <row r="1206" spans="1:10" ht="14.4" hidden="1">
      <c r="A1206" s="380" t="s">
        <v>1189</v>
      </c>
      <c r="B1206" s="380" t="s">
        <v>1194</v>
      </c>
      <c r="C1206" s="381" t="s">
        <v>6021</v>
      </c>
      <c r="D1206" s="380" t="s">
        <v>6022</v>
      </c>
      <c r="E1206" s="386" t="s">
        <v>6023</v>
      </c>
      <c r="F1206" s="389" t="s">
        <v>6024</v>
      </c>
      <c r="G1206" s="381" t="s">
        <v>5796</v>
      </c>
      <c r="J1206" s="282" t="s">
        <v>5271</v>
      </c>
    </row>
    <row r="1207" spans="1:10" ht="14.4" hidden="1">
      <c r="A1207" s="380" t="s">
        <v>1189</v>
      </c>
      <c r="B1207" s="380" t="s">
        <v>1194</v>
      </c>
      <c r="C1207" s="381" t="s">
        <v>6025</v>
      </c>
      <c r="D1207" s="380" t="s">
        <v>6026</v>
      </c>
      <c r="E1207" s="386" t="s">
        <v>6027</v>
      </c>
      <c r="F1207" s="389" t="s">
        <v>6028</v>
      </c>
      <c r="G1207" s="381" t="s">
        <v>5796</v>
      </c>
      <c r="J1207" s="282" t="s">
        <v>5271</v>
      </c>
    </row>
    <row r="1208" spans="1:10" ht="13.95" hidden="1" customHeight="1">
      <c r="A1208" s="380" t="s">
        <v>1189</v>
      </c>
      <c r="B1208" s="380" t="s">
        <v>1194</v>
      </c>
      <c r="C1208" s="381" t="s">
        <v>6029</v>
      </c>
      <c r="D1208" s="380" t="s">
        <v>6030</v>
      </c>
      <c r="E1208" s="72" t="s">
        <v>6031</v>
      </c>
      <c r="F1208" s="282" t="s">
        <v>6032</v>
      </c>
      <c r="G1208" s="282" t="s">
        <v>5796</v>
      </c>
      <c r="J1208" s="384" t="s">
        <v>2284</v>
      </c>
    </row>
    <row r="1209" spans="1:10" ht="13.95" hidden="1" customHeight="1">
      <c r="A1209" s="380" t="s">
        <v>1189</v>
      </c>
      <c r="B1209" s="380" t="s">
        <v>1194</v>
      </c>
      <c r="C1209" s="381" t="s">
        <v>6033</v>
      </c>
      <c r="D1209" s="380" t="s">
        <v>6034</v>
      </c>
      <c r="E1209" s="72" t="s">
        <v>6035</v>
      </c>
      <c r="F1209" s="282" t="s">
        <v>6036</v>
      </c>
      <c r="G1209" s="282" t="s">
        <v>5796</v>
      </c>
      <c r="J1209" s="384" t="s">
        <v>2284</v>
      </c>
    </row>
    <row r="1210" spans="1:10" ht="13.95" hidden="1" customHeight="1">
      <c r="A1210" s="380" t="s">
        <v>1189</v>
      </c>
      <c r="B1210" s="380" t="s">
        <v>1194</v>
      </c>
      <c r="C1210" s="381" t="s">
        <v>6037</v>
      </c>
      <c r="D1210" s="380" t="s">
        <v>6038</v>
      </c>
      <c r="E1210" s="72" t="s">
        <v>6039</v>
      </c>
      <c r="F1210" s="282" t="s">
        <v>6040</v>
      </c>
      <c r="G1210" s="282" t="s">
        <v>5796</v>
      </c>
      <c r="J1210" s="384" t="s">
        <v>2284</v>
      </c>
    </row>
    <row r="1211" spans="1:10" ht="13.95" hidden="1" customHeight="1">
      <c r="A1211" s="380" t="s">
        <v>1189</v>
      </c>
      <c r="B1211" s="380" t="s">
        <v>1194</v>
      </c>
      <c r="C1211" s="381" t="s">
        <v>6041</v>
      </c>
      <c r="D1211" s="380" t="s">
        <v>6042</v>
      </c>
      <c r="E1211" s="72" t="s">
        <v>6043</v>
      </c>
      <c r="F1211" s="282" t="s">
        <v>6044</v>
      </c>
      <c r="G1211" s="282" t="s">
        <v>5796</v>
      </c>
      <c r="J1211" s="384" t="s">
        <v>2284</v>
      </c>
    </row>
    <row r="1212" spans="1:10" ht="13.95" hidden="1" customHeight="1">
      <c r="A1212" s="380" t="s">
        <v>1189</v>
      </c>
      <c r="B1212" s="380" t="s">
        <v>1194</v>
      </c>
      <c r="C1212" s="381" t="s">
        <v>6045</v>
      </c>
      <c r="D1212" s="380" t="s">
        <v>6046</v>
      </c>
      <c r="E1212" s="72" t="s">
        <v>6047</v>
      </c>
      <c r="F1212" s="282" t="s">
        <v>6048</v>
      </c>
      <c r="G1212" s="282" t="s">
        <v>5796</v>
      </c>
      <c r="J1212" s="384" t="s">
        <v>2284</v>
      </c>
    </row>
    <row r="1213" spans="1:10" ht="13.95" hidden="1" customHeight="1">
      <c r="A1213" s="380" t="s">
        <v>1189</v>
      </c>
      <c r="B1213" s="380" t="s">
        <v>1194</v>
      </c>
      <c r="C1213" s="381" t="s">
        <v>6049</v>
      </c>
      <c r="D1213" s="380" t="s">
        <v>6050</v>
      </c>
      <c r="E1213" s="72" t="s">
        <v>6051</v>
      </c>
      <c r="F1213" s="282" t="s">
        <v>6052</v>
      </c>
      <c r="G1213" s="282" t="s">
        <v>5796</v>
      </c>
      <c r="J1213" s="384" t="s">
        <v>2284</v>
      </c>
    </row>
    <row r="1214" spans="1:10" ht="13.95" hidden="1" customHeight="1">
      <c r="A1214" s="380" t="s">
        <v>1189</v>
      </c>
      <c r="B1214" s="380" t="s">
        <v>1194</v>
      </c>
      <c r="C1214" s="381" t="s">
        <v>6053</v>
      </c>
      <c r="D1214" s="380" t="s">
        <v>6054</v>
      </c>
      <c r="E1214" s="72" t="s">
        <v>6055</v>
      </c>
      <c r="F1214" s="282" t="s">
        <v>6056</v>
      </c>
      <c r="G1214" s="282" t="s">
        <v>5796</v>
      </c>
      <c r="J1214" s="384" t="s">
        <v>2284</v>
      </c>
    </row>
    <row r="1215" spans="1:10" ht="13.95" hidden="1" customHeight="1">
      <c r="A1215" s="380" t="s">
        <v>1189</v>
      </c>
      <c r="B1215" s="380" t="s">
        <v>1194</v>
      </c>
      <c r="C1215" s="381" t="s">
        <v>6057</v>
      </c>
      <c r="D1215" s="380" t="s">
        <v>6058</v>
      </c>
      <c r="E1215" s="72" t="s">
        <v>6059</v>
      </c>
      <c r="F1215" s="282" t="s">
        <v>6060</v>
      </c>
      <c r="G1215" s="282" t="s">
        <v>5796</v>
      </c>
      <c r="J1215" s="384" t="s">
        <v>2284</v>
      </c>
    </row>
    <row r="1216" spans="1:10" ht="13.95" hidden="1" customHeight="1">
      <c r="A1216" s="380" t="s">
        <v>1189</v>
      </c>
      <c r="B1216" s="380" t="s">
        <v>1194</v>
      </c>
      <c r="C1216" s="381" t="s">
        <v>6061</v>
      </c>
      <c r="D1216" s="380" t="s">
        <v>6062</v>
      </c>
      <c r="E1216" s="72" t="s">
        <v>6063</v>
      </c>
      <c r="F1216" s="282" t="s">
        <v>6064</v>
      </c>
      <c r="G1216" s="282" t="s">
        <v>5796</v>
      </c>
      <c r="J1216" s="384" t="s">
        <v>2284</v>
      </c>
    </row>
    <row r="1217" spans="1:10" ht="13.95" hidden="1" customHeight="1">
      <c r="A1217" s="380" t="s">
        <v>1189</v>
      </c>
      <c r="B1217" s="380" t="s">
        <v>1194</v>
      </c>
      <c r="C1217" s="381" t="s">
        <v>6065</v>
      </c>
      <c r="D1217" s="380" t="s">
        <v>6066</v>
      </c>
      <c r="E1217" s="72" t="s">
        <v>6067</v>
      </c>
      <c r="F1217" s="282" t="s">
        <v>6068</v>
      </c>
      <c r="G1217" s="282" t="s">
        <v>6069</v>
      </c>
      <c r="J1217" s="384" t="s">
        <v>2284</v>
      </c>
    </row>
    <row r="1218" spans="1:10" ht="13.95" hidden="1" customHeight="1">
      <c r="A1218" s="380" t="s">
        <v>1189</v>
      </c>
      <c r="B1218" s="380" t="s">
        <v>1194</v>
      </c>
      <c r="C1218" s="381" t="s">
        <v>6070</v>
      </c>
      <c r="D1218" s="380" t="s">
        <v>6071</v>
      </c>
      <c r="E1218" s="72" t="s">
        <v>6072</v>
      </c>
      <c r="F1218" s="282" t="s">
        <v>6073</v>
      </c>
      <c r="G1218" s="282" t="s">
        <v>6069</v>
      </c>
      <c r="J1218" s="384" t="s">
        <v>2284</v>
      </c>
    </row>
    <row r="1219" spans="1:10" ht="13.95" hidden="1" customHeight="1">
      <c r="A1219" s="380" t="s">
        <v>1189</v>
      </c>
      <c r="B1219" s="380" t="s">
        <v>1194</v>
      </c>
      <c r="C1219" s="381" t="s">
        <v>6074</v>
      </c>
      <c r="D1219" s="380" t="s">
        <v>6075</v>
      </c>
      <c r="E1219" s="72" t="s">
        <v>6076</v>
      </c>
      <c r="F1219" s="282" t="s">
        <v>6077</v>
      </c>
      <c r="G1219" s="282" t="s">
        <v>6069</v>
      </c>
      <c r="J1219" s="384" t="s">
        <v>2284</v>
      </c>
    </row>
    <row r="1220" spans="1:10" ht="13.95" hidden="1" customHeight="1">
      <c r="A1220" s="380" t="s">
        <v>1189</v>
      </c>
      <c r="B1220" s="380" t="s">
        <v>1194</v>
      </c>
      <c r="C1220" s="381" t="s">
        <v>6078</v>
      </c>
      <c r="D1220" s="380" t="s">
        <v>6079</v>
      </c>
      <c r="E1220" s="72" t="s">
        <v>6080</v>
      </c>
      <c r="F1220" s="282" t="s">
        <v>6081</v>
      </c>
      <c r="G1220" s="282" t="s">
        <v>6069</v>
      </c>
      <c r="J1220" s="384" t="s">
        <v>2284</v>
      </c>
    </row>
    <row r="1221" spans="1:10" ht="13.95" hidden="1" customHeight="1">
      <c r="A1221" s="380" t="s">
        <v>1189</v>
      </c>
      <c r="B1221" s="380" t="s">
        <v>1194</v>
      </c>
      <c r="C1221" s="381" t="s">
        <v>6082</v>
      </c>
      <c r="D1221" s="380" t="s">
        <v>6083</v>
      </c>
      <c r="E1221" s="72" t="s">
        <v>6084</v>
      </c>
      <c r="F1221" s="282" t="s">
        <v>6085</v>
      </c>
      <c r="G1221" s="282" t="s">
        <v>6069</v>
      </c>
      <c r="J1221" s="384" t="s">
        <v>2284</v>
      </c>
    </row>
    <row r="1222" spans="1:10" ht="13.95" hidden="1" customHeight="1">
      <c r="A1222" s="380" t="s">
        <v>1189</v>
      </c>
      <c r="B1222" s="380" t="s">
        <v>1194</v>
      </c>
      <c r="C1222" s="381" t="s">
        <v>6086</v>
      </c>
      <c r="D1222" s="380" t="s">
        <v>6087</v>
      </c>
      <c r="E1222" s="72" t="s">
        <v>6088</v>
      </c>
      <c r="F1222" s="282" t="s">
        <v>6089</v>
      </c>
      <c r="G1222" s="282" t="s">
        <v>6069</v>
      </c>
      <c r="J1222" s="384" t="s">
        <v>2284</v>
      </c>
    </row>
    <row r="1223" spans="1:10" ht="13.95" customHeight="1">
      <c r="A1223" s="380" t="s">
        <v>1189</v>
      </c>
      <c r="B1223" s="380" t="s">
        <v>1194</v>
      </c>
      <c r="C1223" s="381" t="s">
        <v>6090</v>
      </c>
      <c r="D1223" s="380" t="s">
        <v>6091</v>
      </c>
      <c r="E1223" s="72" t="s">
        <v>6092</v>
      </c>
      <c r="F1223" s="282" t="s">
        <v>6093</v>
      </c>
      <c r="G1223" s="282" t="s">
        <v>6069</v>
      </c>
      <c r="J1223" s="384" t="s">
        <v>2284</v>
      </c>
    </row>
    <row r="1224" spans="1:10" ht="13.95" hidden="1" customHeight="1">
      <c r="A1224" s="380" t="s">
        <v>1189</v>
      </c>
      <c r="B1224" s="380" t="s">
        <v>1194</v>
      </c>
      <c r="C1224" s="381" t="s">
        <v>6094</v>
      </c>
      <c r="D1224" s="380" t="s">
        <v>6095</v>
      </c>
      <c r="E1224" s="72" t="s">
        <v>6096</v>
      </c>
      <c r="F1224" s="282" t="s">
        <v>6097</v>
      </c>
      <c r="G1224" s="282" t="s">
        <v>6069</v>
      </c>
      <c r="J1224" s="384" t="s">
        <v>2284</v>
      </c>
    </row>
    <row r="1225" spans="1:10" ht="13.95" hidden="1" customHeight="1">
      <c r="A1225" s="380" t="s">
        <v>1189</v>
      </c>
      <c r="B1225" s="380" t="s">
        <v>1194</v>
      </c>
      <c r="C1225" s="381" t="s">
        <v>6098</v>
      </c>
      <c r="D1225" s="380" t="s">
        <v>6099</v>
      </c>
      <c r="E1225" s="72" t="s">
        <v>6100</v>
      </c>
      <c r="F1225" s="282" t="s">
        <v>6101</v>
      </c>
      <c r="G1225" s="282" t="s">
        <v>6069</v>
      </c>
      <c r="J1225" s="384" t="s">
        <v>2284</v>
      </c>
    </row>
    <row r="1226" spans="1:10" ht="13.95" hidden="1" customHeight="1">
      <c r="A1226" s="380" t="s">
        <v>1189</v>
      </c>
      <c r="B1226" s="380" t="s">
        <v>1194</v>
      </c>
      <c r="C1226" s="381" t="s">
        <v>6102</v>
      </c>
      <c r="D1226" s="380" t="s">
        <v>6103</v>
      </c>
      <c r="E1226" s="72" t="s">
        <v>6104</v>
      </c>
      <c r="F1226" s="282" t="s">
        <v>6105</v>
      </c>
      <c r="G1226" s="282" t="s">
        <v>6069</v>
      </c>
      <c r="J1226" s="384" t="s">
        <v>2284</v>
      </c>
    </row>
    <row r="1227" spans="1:10" ht="13.95" hidden="1" customHeight="1">
      <c r="A1227" s="380" t="s">
        <v>1189</v>
      </c>
      <c r="B1227" s="380" t="s">
        <v>1194</v>
      </c>
      <c r="C1227" s="381" t="s">
        <v>6106</v>
      </c>
      <c r="D1227" s="380" t="s">
        <v>6107</v>
      </c>
      <c r="E1227" s="72" t="s">
        <v>6108</v>
      </c>
      <c r="F1227" s="282" t="s">
        <v>6109</v>
      </c>
      <c r="G1227" s="282" t="s">
        <v>6069</v>
      </c>
      <c r="J1227" s="384" t="s">
        <v>2284</v>
      </c>
    </row>
    <row r="1228" spans="1:10" ht="13.95" hidden="1" customHeight="1">
      <c r="A1228" s="380" t="s">
        <v>1189</v>
      </c>
      <c r="B1228" s="380" t="s">
        <v>1194</v>
      </c>
      <c r="C1228" s="381" t="s">
        <v>6110</v>
      </c>
      <c r="D1228" s="380" t="s">
        <v>6111</v>
      </c>
      <c r="E1228" s="72" t="s">
        <v>6112</v>
      </c>
      <c r="F1228" s="282" t="s">
        <v>6113</v>
      </c>
      <c r="G1228" s="282" t="s">
        <v>6069</v>
      </c>
      <c r="J1228" s="384" t="s">
        <v>2284</v>
      </c>
    </row>
    <row r="1229" spans="1:10" ht="13.95" hidden="1" customHeight="1">
      <c r="A1229" s="380" t="s">
        <v>1189</v>
      </c>
      <c r="B1229" s="380" t="s">
        <v>1194</v>
      </c>
      <c r="C1229" s="381" t="s">
        <v>6114</v>
      </c>
      <c r="D1229" s="380" t="s">
        <v>6115</v>
      </c>
      <c r="E1229" s="72" t="s">
        <v>6116</v>
      </c>
      <c r="F1229" s="282" t="s">
        <v>6117</v>
      </c>
      <c r="G1229" s="282" t="s">
        <v>6069</v>
      </c>
      <c r="J1229" s="384" t="s">
        <v>2284</v>
      </c>
    </row>
    <row r="1230" spans="1:10" ht="13.95" hidden="1" customHeight="1">
      <c r="A1230" s="380" t="s">
        <v>1189</v>
      </c>
      <c r="B1230" s="380" t="s">
        <v>1194</v>
      </c>
      <c r="C1230" s="381" t="s">
        <v>6118</v>
      </c>
      <c r="D1230" s="380" t="s">
        <v>6119</v>
      </c>
      <c r="E1230" s="72" t="s">
        <v>6120</v>
      </c>
      <c r="F1230" s="282" t="s">
        <v>6121</v>
      </c>
      <c r="G1230" s="282" t="s">
        <v>6069</v>
      </c>
      <c r="J1230" s="384" t="s">
        <v>2284</v>
      </c>
    </row>
    <row r="1231" spans="1:10" ht="13.95" hidden="1" customHeight="1">
      <c r="A1231" s="380" t="s">
        <v>1189</v>
      </c>
      <c r="B1231" s="380" t="s">
        <v>1194</v>
      </c>
      <c r="C1231" s="381" t="s">
        <v>6122</v>
      </c>
      <c r="D1231" s="380" t="s">
        <v>6123</v>
      </c>
      <c r="E1231" s="72" t="s">
        <v>6124</v>
      </c>
      <c r="F1231" s="282" t="s">
        <v>6125</v>
      </c>
      <c r="G1231" s="282" t="s">
        <v>6069</v>
      </c>
      <c r="J1231" s="384" t="s">
        <v>2284</v>
      </c>
    </row>
    <row r="1232" spans="1:10" ht="13.95" hidden="1" customHeight="1">
      <c r="A1232" s="380" t="s">
        <v>1189</v>
      </c>
      <c r="B1232" s="380" t="s">
        <v>1194</v>
      </c>
      <c r="C1232" s="381" t="s">
        <v>6126</v>
      </c>
      <c r="D1232" s="380" t="s">
        <v>6127</v>
      </c>
      <c r="E1232" s="72" t="s">
        <v>6128</v>
      </c>
      <c r="F1232" s="282" t="s">
        <v>6129</v>
      </c>
      <c r="G1232" s="282" t="s">
        <v>6069</v>
      </c>
      <c r="J1232" s="384" t="s">
        <v>2284</v>
      </c>
    </row>
    <row r="1233" spans="1:10" ht="13.95" hidden="1" customHeight="1">
      <c r="A1233" s="380" t="s">
        <v>1189</v>
      </c>
      <c r="B1233" s="380" t="s">
        <v>1194</v>
      </c>
      <c r="C1233" s="381" t="s">
        <v>6130</v>
      </c>
      <c r="D1233" s="380" t="s">
        <v>6131</v>
      </c>
      <c r="E1233" s="72" t="s">
        <v>6132</v>
      </c>
      <c r="F1233" s="282" t="s">
        <v>6133</v>
      </c>
      <c r="G1233" s="282" t="s">
        <v>6069</v>
      </c>
      <c r="J1233" s="384" t="s">
        <v>2284</v>
      </c>
    </row>
    <row r="1234" spans="1:10" ht="13.95" hidden="1" customHeight="1">
      <c r="A1234" s="380" t="s">
        <v>1189</v>
      </c>
      <c r="B1234" s="380" t="s">
        <v>1194</v>
      </c>
      <c r="C1234" s="381" t="s">
        <v>6134</v>
      </c>
      <c r="D1234" s="380" t="s">
        <v>6135</v>
      </c>
      <c r="E1234" s="72" t="s">
        <v>6136</v>
      </c>
      <c r="F1234" s="282" t="s">
        <v>6137</v>
      </c>
      <c r="G1234" s="282" t="s">
        <v>6069</v>
      </c>
      <c r="J1234" s="384" t="s">
        <v>2284</v>
      </c>
    </row>
    <row r="1235" spans="1:10" ht="13.95" hidden="1" customHeight="1">
      <c r="A1235" s="380" t="s">
        <v>1189</v>
      </c>
      <c r="B1235" s="380" t="s">
        <v>1194</v>
      </c>
      <c r="C1235" s="381" t="s">
        <v>6138</v>
      </c>
      <c r="D1235" s="380" t="s">
        <v>6139</v>
      </c>
      <c r="E1235" s="72" t="s">
        <v>6140</v>
      </c>
      <c r="F1235" s="282" t="s">
        <v>6141</v>
      </c>
      <c r="G1235" s="282" t="s">
        <v>6069</v>
      </c>
      <c r="J1235" s="384" t="s">
        <v>2284</v>
      </c>
    </row>
    <row r="1236" spans="1:10" ht="13.95" hidden="1" customHeight="1">
      <c r="A1236" s="380" t="s">
        <v>1189</v>
      </c>
      <c r="B1236" s="380" t="s">
        <v>1194</v>
      </c>
      <c r="C1236" s="381" t="s">
        <v>6142</v>
      </c>
      <c r="D1236" s="380" t="s">
        <v>6143</v>
      </c>
      <c r="E1236" s="72" t="s">
        <v>6144</v>
      </c>
      <c r="F1236" s="282" t="s">
        <v>6145</v>
      </c>
      <c r="G1236" s="282" t="s">
        <v>6069</v>
      </c>
      <c r="J1236" s="384" t="s">
        <v>2284</v>
      </c>
    </row>
    <row r="1237" spans="1:10" ht="13.95" hidden="1" customHeight="1">
      <c r="A1237" s="380" t="s">
        <v>1189</v>
      </c>
      <c r="B1237" s="380" t="s">
        <v>1194</v>
      </c>
      <c r="C1237" s="381" t="s">
        <v>6146</v>
      </c>
      <c r="D1237" s="380" t="s">
        <v>6147</v>
      </c>
      <c r="E1237" s="72" t="s">
        <v>6148</v>
      </c>
      <c r="F1237" s="282" t="s">
        <v>6149</v>
      </c>
      <c r="G1237" s="282" t="s">
        <v>6069</v>
      </c>
      <c r="J1237" s="384" t="s">
        <v>2284</v>
      </c>
    </row>
    <row r="1238" spans="1:10" ht="13.95" hidden="1" customHeight="1">
      <c r="A1238" s="380" t="s">
        <v>1189</v>
      </c>
      <c r="B1238" s="380" t="s">
        <v>1194</v>
      </c>
      <c r="C1238" s="381" t="s">
        <v>6150</v>
      </c>
      <c r="D1238" s="380" t="s">
        <v>6151</v>
      </c>
      <c r="E1238" s="72" t="s">
        <v>6152</v>
      </c>
      <c r="F1238" s="282" t="s">
        <v>6153</v>
      </c>
      <c r="G1238" s="282" t="s">
        <v>6069</v>
      </c>
      <c r="J1238" s="384" t="s">
        <v>2284</v>
      </c>
    </row>
    <row r="1239" spans="1:10" ht="13.95" hidden="1" customHeight="1">
      <c r="A1239" s="380" t="s">
        <v>1189</v>
      </c>
      <c r="B1239" s="380" t="s">
        <v>1194</v>
      </c>
      <c r="C1239" s="381" t="s">
        <v>6154</v>
      </c>
      <c r="D1239" s="380" t="s">
        <v>6155</v>
      </c>
      <c r="E1239" s="72" t="s">
        <v>6156</v>
      </c>
      <c r="F1239" s="282" t="s">
        <v>6157</v>
      </c>
      <c r="G1239" s="282" t="s">
        <v>6069</v>
      </c>
      <c r="J1239" s="384" t="s">
        <v>2284</v>
      </c>
    </row>
    <row r="1240" spans="1:10" ht="13.95" hidden="1" customHeight="1">
      <c r="A1240" s="380" t="s">
        <v>1189</v>
      </c>
      <c r="B1240" s="380" t="s">
        <v>1194</v>
      </c>
      <c r="C1240" s="381" t="s">
        <v>6158</v>
      </c>
      <c r="D1240" s="380" t="s">
        <v>6159</v>
      </c>
      <c r="E1240" s="72" t="s">
        <v>6160</v>
      </c>
      <c r="F1240" s="282" t="s">
        <v>6161</v>
      </c>
      <c r="G1240" s="282" t="s">
        <v>6069</v>
      </c>
      <c r="J1240" s="384" t="s">
        <v>2284</v>
      </c>
    </row>
    <row r="1241" spans="1:10" ht="13.95" hidden="1" customHeight="1">
      <c r="A1241" s="380" t="s">
        <v>1189</v>
      </c>
      <c r="B1241" s="380" t="s">
        <v>1194</v>
      </c>
      <c r="C1241" s="381" t="s">
        <v>6162</v>
      </c>
      <c r="D1241" s="380" t="s">
        <v>6163</v>
      </c>
      <c r="E1241" s="72" t="s">
        <v>6164</v>
      </c>
      <c r="F1241" s="282" t="s">
        <v>6165</v>
      </c>
      <c r="G1241" s="282" t="s">
        <v>6069</v>
      </c>
      <c r="J1241" s="384" t="s">
        <v>2284</v>
      </c>
    </row>
    <row r="1242" spans="1:10" ht="13.95" hidden="1" customHeight="1">
      <c r="A1242" s="380" t="s">
        <v>1189</v>
      </c>
      <c r="B1242" s="380" t="s">
        <v>1194</v>
      </c>
      <c r="C1242" s="381" t="s">
        <v>6166</v>
      </c>
      <c r="D1242" s="380" t="s">
        <v>6167</v>
      </c>
      <c r="E1242" s="72" t="s">
        <v>6168</v>
      </c>
      <c r="F1242" s="282" t="s">
        <v>6169</v>
      </c>
      <c r="G1242" s="282" t="s">
        <v>6069</v>
      </c>
      <c r="J1242" s="384" t="s">
        <v>2284</v>
      </c>
    </row>
    <row r="1243" spans="1:10" ht="13.95" hidden="1" customHeight="1">
      <c r="A1243" s="380" t="s">
        <v>1189</v>
      </c>
      <c r="B1243" s="380" t="s">
        <v>1194</v>
      </c>
      <c r="C1243" s="381" t="s">
        <v>6170</v>
      </c>
      <c r="D1243" s="380" t="s">
        <v>6171</v>
      </c>
      <c r="E1243" s="72" t="s">
        <v>6172</v>
      </c>
      <c r="F1243" s="282" t="s">
        <v>6173</v>
      </c>
      <c r="G1243" s="282" t="s">
        <v>6069</v>
      </c>
      <c r="J1243" s="384" t="s">
        <v>2284</v>
      </c>
    </row>
    <row r="1244" spans="1:10" ht="13.95" hidden="1" customHeight="1">
      <c r="A1244" s="380" t="s">
        <v>1189</v>
      </c>
      <c r="B1244" s="380" t="s">
        <v>1194</v>
      </c>
      <c r="C1244" s="381" t="s">
        <v>6174</v>
      </c>
      <c r="D1244" s="380" t="s">
        <v>6175</v>
      </c>
      <c r="E1244" s="72" t="s">
        <v>6176</v>
      </c>
      <c r="F1244" s="282" t="s">
        <v>6177</v>
      </c>
      <c r="G1244" s="282" t="s">
        <v>6069</v>
      </c>
      <c r="J1244" s="384" t="s">
        <v>2284</v>
      </c>
    </row>
    <row r="1245" spans="1:10" ht="13.95" hidden="1" customHeight="1">
      <c r="A1245" s="380" t="s">
        <v>1189</v>
      </c>
      <c r="B1245" s="380" t="s">
        <v>1194</v>
      </c>
      <c r="C1245" s="381" t="s">
        <v>6178</v>
      </c>
      <c r="D1245" s="380" t="s">
        <v>6179</v>
      </c>
      <c r="E1245" s="72" t="s">
        <v>6180</v>
      </c>
      <c r="F1245" s="282" t="s">
        <v>6181</v>
      </c>
      <c r="G1245" s="282" t="s">
        <v>6069</v>
      </c>
      <c r="J1245" s="384" t="s">
        <v>2284</v>
      </c>
    </row>
    <row r="1246" spans="1:10" ht="13.95" hidden="1" customHeight="1">
      <c r="A1246" s="380" t="s">
        <v>1189</v>
      </c>
      <c r="B1246" s="380" t="s">
        <v>1194</v>
      </c>
      <c r="C1246" s="381" t="s">
        <v>6182</v>
      </c>
      <c r="D1246" s="380" t="s">
        <v>6183</v>
      </c>
      <c r="E1246" s="72" t="s">
        <v>6184</v>
      </c>
      <c r="F1246" s="282" t="s">
        <v>6185</v>
      </c>
      <c r="G1246" s="282" t="s">
        <v>6069</v>
      </c>
      <c r="J1246" s="384" t="s">
        <v>2284</v>
      </c>
    </row>
    <row r="1247" spans="1:10" ht="13.95" hidden="1" customHeight="1">
      <c r="A1247" s="380" t="s">
        <v>1189</v>
      </c>
      <c r="B1247" s="380" t="s">
        <v>1194</v>
      </c>
      <c r="C1247" s="381" t="s">
        <v>6186</v>
      </c>
      <c r="D1247" s="380" t="s">
        <v>6187</v>
      </c>
      <c r="E1247" s="72" t="s">
        <v>6188</v>
      </c>
      <c r="F1247" s="282" t="s">
        <v>6189</v>
      </c>
      <c r="G1247" s="282" t="s">
        <v>6069</v>
      </c>
      <c r="J1247" s="384" t="s">
        <v>2284</v>
      </c>
    </row>
    <row r="1248" spans="1:10" ht="13.95" hidden="1" customHeight="1">
      <c r="A1248" s="380" t="s">
        <v>1189</v>
      </c>
      <c r="B1248" s="380" t="s">
        <v>1194</v>
      </c>
      <c r="C1248" s="381" t="s">
        <v>6190</v>
      </c>
      <c r="D1248" s="380" t="s">
        <v>6191</v>
      </c>
      <c r="E1248" s="72" t="s">
        <v>6192</v>
      </c>
      <c r="F1248" s="282" t="s">
        <v>6193</v>
      </c>
      <c r="G1248" s="282" t="s">
        <v>6069</v>
      </c>
      <c r="J1248" s="384" t="s">
        <v>2284</v>
      </c>
    </row>
    <row r="1249" spans="1:10" ht="13.95" hidden="1" customHeight="1">
      <c r="A1249" s="380" t="s">
        <v>1189</v>
      </c>
      <c r="B1249" s="380" t="s">
        <v>1194</v>
      </c>
      <c r="C1249" s="381" t="s">
        <v>6194</v>
      </c>
      <c r="D1249" s="380" t="s">
        <v>6195</v>
      </c>
      <c r="E1249" s="72" t="s">
        <v>6196</v>
      </c>
      <c r="F1249" s="282" t="s">
        <v>6197</v>
      </c>
      <c r="G1249" s="282" t="s">
        <v>6069</v>
      </c>
      <c r="J1249" s="384" t="s">
        <v>2284</v>
      </c>
    </row>
    <row r="1250" spans="1:10" ht="13.95" hidden="1" customHeight="1">
      <c r="A1250" s="380" t="s">
        <v>1189</v>
      </c>
      <c r="B1250" s="380" t="s">
        <v>1194</v>
      </c>
      <c r="C1250" s="381" t="s">
        <v>6198</v>
      </c>
      <c r="D1250" s="380" t="s">
        <v>6199</v>
      </c>
      <c r="E1250" s="72" t="s">
        <v>6200</v>
      </c>
      <c r="F1250" s="282" t="s">
        <v>6201</v>
      </c>
      <c r="G1250" s="282" t="s">
        <v>6069</v>
      </c>
      <c r="J1250" s="384" t="s">
        <v>2284</v>
      </c>
    </row>
    <row r="1251" spans="1:10" ht="13.95" hidden="1" customHeight="1">
      <c r="A1251" s="380" t="s">
        <v>1189</v>
      </c>
      <c r="B1251" s="380" t="s">
        <v>1194</v>
      </c>
      <c r="C1251" s="381" t="s">
        <v>6202</v>
      </c>
      <c r="D1251" s="380" t="s">
        <v>6203</v>
      </c>
      <c r="E1251" s="72" t="s">
        <v>6204</v>
      </c>
      <c r="F1251" s="282" t="s">
        <v>6205</v>
      </c>
      <c r="G1251" s="282" t="s">
        <v>6069</v>
      </c>
      <c r="J1251" s="384" t="s">
        <v>2284</v>
      </c>
    </row>
    <row r="1252" spans="1:10" ht="13.95" hidden="1" customHeight="1">
      <c r="A1252" s="380" t="s">
        <v>1189</v>
      </c>
      <c r="B1252" s="380" t="s">
        <v>1194</v>
      </c>
      <c r="C1252" s="381" t="s">
        <v>6206</v>
      </c>
      <c r="D1252" s="380" t="s">
        <v>6207</v>
      </c>
      <c r="E1252" s="72" t="s">
        <v>6208</v>
      </c>
      <c r="F1252" s="282" t="s">
        <v>6209</v>
      </c>
      <c r="G1252" s="282" t="s">
        <v>6069</v>
      </c>
      <c r="J1252" s="384" t="s">
        <v>2284</v>
      </c>
    </row>
    <row r="1253" spans="1:10" ht="13.95" hidden="1" customHeight="1">
      <c r="A1253" s="380" t="s">
        <v>1189</v>
      </c>
      <c r="B1253" s="380" t="s">
        <v>1194</v>
      </c>
      <c r="C1253" s="381" t="s">
        <v>6210</v>
      </c>
      <c r="D1253" s="380" t="s">
        <v>6211</v>
      </c>
      <c r="E1253" s="72" t="s">
        <v>6212</v>
      </c>
      <c r="F1253" s="282" t="s">
        <v>6213</v>
      </c>
      <c r="G1253" s="282" t="s">
        <v>6069</v>
      </c>
      <c r="J1253" s="384" t="s">
        <v>2284</v>
      </c>
    </row>
    <row r="1254" spans="1:10" ht="13.95" hidden="1" customHeight="1">
      <c r="A1254" s="380" t="s">
        <v>1189</v>
      </c>
      <c r="B1254" s="380" t="s">
        <v>1194</v>
      </c>
      <c r="C1254" s="381" t="s">
        <v>6214</v>
      </c>
      <c r="D1254" s="380" t="s">
        <v>6215</v>
      </c>
      <c r="E1254" s="72" t="s">
        <v>6216</v>
      </c>
      <c r="F1254" s="282" t="s">
        <v>6217</v>
      </c>
      <c r="G1254" s="282" t="s">
        <v>6069</v>
      </c>
      <c r="J1254" s="384" t="s">
        <v>2284</v>
      </c>
    </row>
    <row r="1255" spans="1:10" ht="13.95" hidden="1" customHeight="1">
      <c r="A1255" s="380" t="s">
        <v>1189</v>
      </c>
      <c r="B1255" s="380" t="s">
        <v>1194</v>
      </c>
      <c r="C1255" s="381" t="s">
        <v>6218</v>
      </c>
      <c r="D1255" s="380" t="s">
        <v>6219</v>
      </c>
      <c r="E1255" s="72" t="s">
        <v>6220</v>
      </c>
      <c r="F1255" s="282" t="s">
        <v>6221</v>
      </c>
      <c r="G1255" s="282" t="s">
        <v>6069</v>
      </c>
      <c r="J1255" s="384" t="s">
        <v>2284</v>
      </c>
    </row>
    <row r="1256" spans="1:10" ht="13.95" hidden="1" customHeight="1">
      <c r="A1256" s="380" t="s">
        <v>1189</v>
      </c>
      <c r="B1256" s="380" t="s">
        <v>1194</v>
      </c>
      <c r="C1256" s="381" t="s">
        <v>6222</v>
      </c>
      <c r="D1256" s="380" t="s">
        <v>6223</v>
      </c>
      <c r="E1256" s="72" t="s">
        <v>6224</v>
      </c>
      <c r="F1256" s="282" t="s">
        <v>6225</v>
      </c>
      <c r="G1256" s="282" t="s">
        <v>6069</v>
      </c>
      <c r="J1256" s="384" t="s">
        <v>2284</v>
      </c>
    </row>
    <row r="1257" spans="1:10" ht="13.95" hidden="1" customHeight="1">
      <c r="A1257" s="380" t="s">
        <v>1189</v>
      </c>
      <c r="B1257" s="380" t="s">
        <v>1194</v>
      </c>
      <c r="C1257" s="381" t="s">
        <v>6226</v>
      </c>
      <c r="D1257" s="380" t="s">
        <v>6227</v>
      </c>
      <c r="E1257" s="72" t="s">
        <v>6228</v>
      </c>
      <c r="F1257" s="282" t="s">
        <v>6229</v>
      </c>
      <c r="G1257" s="282" t="s">
        <v>6069</v>
      </c>
      <c r="J1257" s="384" t="s">
        <v>2284</v>
      </c>
    </row>
    <row r="1258" spans="1:10" ht="13.95" hidden="1" customHeight="1">
      <c r="A1258" s="380" t="s">
        <v>1189</v>
      </c>
      <c r="B1258" s="380" t="s">
        <v>1194</v>
      </c>
      <c r="C1258" s="381" t="s">
        <v>6230</v>
      </c>
      <c r="D1258" s="380" t="s">
        <v>6231</v>
      </c>
      <c r="E1258" s="72" t="s">
        <v>6232</v>
      </c>
      <c r="F1258" s="282" t="s">
        <v>6233</v>
      </c>
      <c r="G1258" s="282" t="s">
        <v>6069</v>
      </c>
      <c r="J1258" s="384" t="s">
        <v>2284</v>
      </c>
    </row>
    <row r="1259" spans="1:10" ht="14.4" hidden="1">
      <c r="A1259" s="380" t="s">
        <v>1189</v>
      </c>
      <c r="B1259" s="380" t="s">
        <v>1194</v>
      </c>
      <c r="C1259" s="381" t="s">
        <v>6234</v>
      </c>
      <c r="D1259" s="380" t="s">
        <v>6235</v>
      </c>
      <c r="E1259" s="382" t="s">
        <v>6236</v>
      </c>
      <c r="F1259" s="282" t="s">
        <v>6237</v>
      </c>
      <c r="G1259" s="282" t="s">
        <v>6238</v>
      </c>
      <c r="J1259" s="282" t="s">
        <v>1550</v>
      </c>
    </row>
    <row r="1260" spans="1:10" ht="14.4" hidden="1">
      <c r="A1260" s="380" t="s">
        <v>1189</v>
      </c>
      <c r="B1260" s="380" t="s">
        <v>1194</v>
      </c>
      <c r="C1260" s="381" t="s">
        <v>6239</v>
      </c>
      <c r="D1260" s="380" t="s">
        <v>6240</v>
      </c>
      <c r="E1260" s="382" t="s">
        <v>6241</v>
      </c>
      <c r="F1260" s="282" t="s">
        <v>6242</v>
      </c>
      <c r="G1260" s="282" t="s">
        <v>6238</v>
      </c>
      <c r="J1260" s="282" t="s">
        <v>1550</v>
      </c>
    </row>
    <row r="1261" spans="1:10" ht="14.4" hidden="1">
      <c r="A1261" s="380" t="s">
        <v>1189</v>
      </c>
      <c r="B1261" s="380" t="s">
        <v>1194</v>
      </c>
      <c r="C1261" s="381" t="s">
        <v>6243</v>
      </c>
      <c r="D1261" s="380" t="s">
        <v>6244</v>
      </c>
      <c r="E1261" s="382" t="s">
        <v>6245</v>
      </c>
      <c r="F1261" s="282" t="s">
        <v>6246</v>
      </c>
      <c r="G1261" s="282" t="s">
        <v>6238</v>
      </c>
      <c r="J1261" s="282" t="s">
        <v>1550</v>
      </c>
    </row>
    <row r="1262" spans="1:10" ht="14.4" hidden="1">
      <c r="A1262" s="380" t="s">
        <v>1189</v>
      </c>
      <c r="B1262" s="380" t="s">
        <v>1194</v>
      </c>
      <c r="C1262" s="381" t="s">
        <v>6247</v>
      </c>
      <c r="D1262" s="380" t="s">
        <v>6248</v>
      </c>
      <c r="E1262" s="382" t="s">
        <v>6249</v>
      </c>
      <c r="F1262" s="282" t="s">
        <v>6250</v>
      </c>
      <c r="G1262" s="282" t="s">
        <v>6238</v>
      </c>
      <c r="J1262" s="282" t="s">
        <v>1550</v>
      </c>
    </row>
    <row r="1263" spans="1:10" ht="14.4" hidden="1">
      <c r="A1263" s="380" t="s">
        <v>1189</v>
      </c>
      <c r="B1263" s="380" t="s">
        <v>1194</v>
      </c>
      <c r="C1263" s="381" t="s">
        <v>6251</v>
      </c>
      <c r="D1263" s="380" t="s">
        <v>6252</v>
      </c>
      <c r="E1263" s="382" t="s">
        <v>6253</v>
      </c>
      <c r="F1263" s="282" t="s">
        <v>6254</v>
      </c>
      <c r="G1263" s="282" t="s">
        <v>6238</v>
      </c>
      <c r="J1263" s="282" t="s">
        <v>1550</v>
      </c>
    </row>
    <row r="1264" spans="1:10" ht="14.4" hidden="1">
      <c r="A1264" s="380" t="s">
        <v>1189</v>
      </c>
      <c r="B1264" s="380" t="s">
        <v>1194</v>
      </c>
      <c r="C1264" s="381" t="s">
        <v>6255</v>
      </c>
      <c r="D1264" s="380" t="s">
        <v>6256</v>
      </c>
      <c r="E1264" s="382" t="s">
        <v>6257</v>
      </c>
      <c r="F1264" s="282" t="s">
        <v>6258</v>
      </c>
      <c r="G1264" s="282" t="s">
        <v>6238</v>
      </c>
      <c r="J1264" s="282" t="s">
        <v>1550</v>
      </c>
    </row>
    <row r="1265" spans="1:10" ht="14.4" hidden="1">
      <c r="A1265" s="380" t="s">
        <v>1189</v>
      </c>
      <c r="B1265" s="380" t="s">
        <v>1194</v>
      </c>
      <c r="C1265" s="381" t="s">
        <v>6259</v>
      </c>
      <c r="D1265" s="380" t="s">
        <v>6260</v>
      </c>
      <c r="E1265" s="382" t="s">
        <v>6261</v>
      </c>
      <c r="F1265" s="282" t="s">
        <v>6262</v>
      </c>
      <c r="G1265" s="282" t="s">
        <v>6238</v>
      </c>
      <c r="J1265" s="282" t="s">
        <v>1550</v>
      </c>
    </row>
    <row r="1266" spans="1:10" ht="14.4" hidden="1">
      <c r="A1266" s="380" t="s">
        <v>1189</v>
      </c>
      <c r="B1266" s="380" t="s">
        <v>1194</v>
      </c>
      <c r="C1266" s="381" t="s">
        <v>6263</v>
      </c>
      <c r="D1266" s="380" t="s">
        <v>6264</v>
      </c>
      <c r="E1266" s="386" t="s">
        <v>6265</v>
      </c>
      <c r="F1266" s="282" t="s">
        <v>6266</v>
      </c>
      <c r="G1266" s="282" t="s">
        <v>6267</v>
      </c>
      <c r="J1266" s="282" t="s">
        <v>1550</v>
      </c>
    </row>
    <row r="1267" spans="1:10" ht="14.4" hidden="1">
      <c r="A1267" s="380" t="s">
        <v>1189</v>
      </c>
      <c r="B1267" s="380" t="s">
        <v>1194</v>
      </c>
      <c r="C1267" s="381" t="s">
        <v>6268</v>
      </c>
      <c r="D1267" s="380" t="s">
        <v>6269</v>
      </c>
      <c r="E1267" s="382" t="s">
        <v>6270</v>
      </c>
      <c r="F1267" s="282" t="s">
        <v>6271</v>
      </c>
      <c r="G1267" s="282" t="s">
        <v>6267</v>
      </c>
      <c r="J1267" s="282" t="s">
        <v>1550</v>
      </c>
    </row>
    <row r="1268" spans="1:10" ht="14.4" hidden="1">
      <c r="A1268" s="380" t="s">
        <v>1189</v>
      </c>
      <c r="B1268" s="380" t="s">
        <v>1194</v>
      </c>
      <c r="C1268" s="381" t="s">
        <v>6272</v>
      </c>
      <c r="D1268" s="380" t="s">
        <v>6273</v>
      </c>
      <c r="E1268" s="382" t="s">
        <v>6274</v>
      </c>
      <c r="F1268" s="282" t="s">
        <v>6275</v>
      </c>
      <c r="G1268" s="282" t="s">
        <v>6267</v>
      </c>
      <c r="J1268" s="282" t="s">
        <v>1550</v>
      </c>
    </row>
    <row r="1269" spans="1:10" ht="14.4" hidden="1">
      <c r="A1269" s="380" t="s">
        <v>1189</v>
      </c>
      <c r="B1269" s="380" t="s">
        <v>1194</v>
      </c>
      <c r="C1269" s="381" t="s">
        <v>6276</v>
      </c>
      <c r="D1269" s="380" t="s">
        <v>6277</v>
      </c>
      <c r="E1269" s="382" t="s">
        <v>6278</v>
      </c>
      <c r="F1269" s="282" t="s">
        <v>6279</v>
      </c>
      <c r="G1269" s="282" t="s">
        <v>6267</v>
      </c>
      <c r="J1269" s="282" t="s">
        <v>1550</v>
      </c>
    </row>
    <row r="1270" spans="1:10" ht="14.4" hidden="1">
      <c r="A1270" s="380" t="s">
        <v>1189</v>
      </c>
      <c r="B1270" s="380" t="s">
        <v>1194</v>
      </c>
      <c r="C1270" s="381" t="s">
        <v>6280</v>
      </c>
      <c r="D1270" s="380" t="s">
        <v>6281</v>
      </c>
      <c r="E1270" s="382" t="s">
        <v>6282</v>
      </c>
      <c r="F1270" s="282" t="s">
        <v>6283</v>
      </c>
      <c r="G1270" s="282" t="s">
        <v>6267</v>
      </c>
      <c r="J1270" s="282" t="s">
        <v>1550</v>
      </c>
    </row>
    <row r="1271" spans="1:10" ht="14.4" hidden="1">
      <c r="A1271" s="380" t="s">
        <v>1189</v>
      </c>
      <c r="B1271" s="380" t="s">
        <v>1194</v>
      </c>
      <c r="C1271" s="381" t="s">
        <v>6284</v>
      </c>
      <c r="D1271" s="380" t="s">
        <v>6285</v>
      </c>
      <c r="E1271" s="382" t="s">
        <v>6286</v>
      </c>
      <c r="F1271" s="282" t="s">
        <v>6287</v>
      </c>
      <c r="G1271" s="282" t="s">
        <v>6267</v>
      </c>
      <c r="J1271" s="282" t="s">
        <v>1550</v>
      </c>
    </row>
    <row r="1272" spans="1:10" ht="14.4" hidden="1">
      <c r="A1272" s="380" t="s">
        <v>1189</v>
      </c>
      <c r="B1272" s="380" t="s">
        <v>1194</v>
      </c>
      <c r="C1272" s="381" t="s">
        <v>6288</v>
      </c>
      <c r="D1272" s="380" t="s">
        <v>6289</v>
      </c>
      <c r="E1272" s="382" t="s">
        <v>6290</v>
      </c>
      <c r="F1272" s="282" t="s">
        <v>6291</v>
      </c>
      <c r="G1272" s="282" t="s">
        <v>6267</v>
      </c>
      <c r="J1272" s="282" t="s">
        <v>1550</v>
      </c>
    </row>
    <row r="1273" spans="1:10" ht="14.4" hidden="1">
      <c r="A1273" s="380" t="s">
        <v>1196</v>
      </c>
      <c r="B1273" s="380" t="s">
        <v>1202</v>
      </c>
      <c r="C1273" s="381" t="s">
        <v>6292</v>
      </c>
      <c r="D1273" s="380" t="s">
        <v>6293</v>
      </c>
      <c r="E1273" s="382" t="s">
        <v>6294</v>
      </c>
      <c r="F1273" s="282" t="s">
        <v>6295</v>
      </c>
      <c r="G1273" s="282" t="s">
        <v>6296</v>
      </c>
      <c r="J1273" s="282" t="s">
        <v>1550</v>
      </c>
    </row>
    <row r="1274" spans="1:10" ht="14.4" hidden="1">
      <c r="A1274" s="380" t="s">
        <v>1196</v>
      </c>
      <c r="B1274" s="380" t="s">
        <v>1202</v>
      </c>
      <c r="C1274" s="381" t="s">
        <v>6297</v>
      </c>
      <c r="D1274" s="380" t="s">
        <v>6298</v>
      </c>
      <c r="E1274" s="382" t="s">
        <v>6299</v>
      </c>
      <c r="F1274" s="282" t="s">
        <v>6300</v>
      </c>
      <c r="G1274" s="282" t="s">
        <v>6296</v>
      </c>
      <c r="J1274" s="282" t="s">
        <v>1550</v>
      </c>
    </row>
    <row r="1275" spans="1:10" ht="14.4" hidden="1">
      <c r="A1275" s="380" t="s">
        <v>1196</v>
      </c>
      <c r="B1275" s="380" t="s">
        <v>1202</v>
      </c>
      <c r="C1275" s="381" t="s">
        <v>6301</v>
      </c>
      <c r="D1275" s="380" t="s">
        <v>6302</v>
      </c>
      <c r="E1275" s="382" t="s">
        <v>6303</v>
      </c>
      <c r="F1275" s="282" t="s">
        <v>6304</v>
      </c>
      <c r="G1275" s="282" t="s">
        <v>6296</v>
      </c>
      <c r="J1275" s="282" t="s">
        <v>1550</v>
      </c>
    </row>
    <row r="1276" spans="1:10" ht="14.4" hidden="1">
      <c r="A1276" s="380" t="s">
        <v>1196</v>
      </c>
      <c r="B1276" s="380" t="s">
        <v>1202</v>
      </c>
      <c r="C1276" s="381" t="s">
        <v>6305</v>
      </c>
      <c r="D1276" s="380" t="s">
        <v>6306</v>
      </c>
      <c r="E1276" s="382" t="s">
        <v>6307</v>
      </c>
      <c r="F1276" s="282" t="s">
        <v>6308</v>
      </c>
      <c r="G1276" s="282" t="s">
        <v>6296</v>
      </c>
      <c r="J1276" s="282" t="s">
        <v>1550</v>
      </c>
    </row>
    <row r="1277" spans="1:10" ht="14.4" hidden="1">
      <c r="A1277" s="380" t="s">
        <v>1196</v>
      </c>
      <c r="B1277" s="380" t="s">
        <v>1202</v>
      </c>
      <c r="C1277" s="381" t="s">
        <v>6309</v>
      </c>
      <c r="D1277" s="380" t="s">
        <v>6310</v>
      </c>
      <c r="E1277" s="382" t="s">
        <v>6311</v>
      </c>
      <c r="F1277" s="282" t="s">
        <v>6312</v>
      </c>
      <c r="G1277" s="282" t="s">
        <v>2944</v>
      </c>
      <c r="J1277" s="282" t="s">
        <v>1550</v>
      </c>
    </row>
    <row r="1278" spans="1:10" ht="14.4" hidden="1">
      <c r="A1278" s="380" t="s">
        <v>1196</v>
      </c>
      <c r="B1278" s="380" t="s">
        <v>1202</v>
      </c>
      <c r="C1278" s="381" t="s">
        <v>6313</v>
      </c>
      <c r="D1278" s="380" t="s">
        <v>6314</v>
      </c>
      <c r="E1278" s="382" t="s">
        <v>6315</v>
      </c>
      <c r="F1278" s="282" t="s">
        <v>6316</v>
      </c>
      <c r="G1278" s="282" t="s">
        <v>6317</v>
      </c>
      <c r="J1278" s="282" t="s">
        <v>1550</v>
      </c>
    </row>
    <row r="1279" spans="1:10" ht="14.4" hidden="1">
      <c r="A1279" s="380" t="s">
        <v>1196</v>
      </c>
      <c r="B1279" s="380" t="s">
        <v>1202</v>
      </c>
      <c r="C1279" s="381" t="s">
        <v>6318</v>
      </c>
      <c r="D1279" s="380" t="s">
        <v>6319</v>
      </c>
      <c r="E1279" s="382" t="s">
        <v>6320</v>
      </c>
      <c r="F1279" s="282" t="s">
        <v>6321</v>
      </c>
      <c r="G1279" s="282" t="s">
        <v>6317</v>
      </c>
      <c r="J1279" s="282" t="s">
        <v>1550</v>
      </c>
    </row>
    <row r="1280" spans="1:10" ht="14.4" hidden="1">
      <c r="A1280" s="380" t="s">
        <v>1196</v>
      </c>
      <c r="B1280" s="380" t="s">
        <v>1202</v>
      </c>
      <c r="C1280" s="381" t="s">
        <v>6322</v>
      </c>
      <c r="D1280" s="380" t="s">
        <v>6323</v>
      </c>
      <c r="E1280" s="382" t="s">
        <v>6324</v>
      </c>
      <c r="F1280" s="282" t="s">
        <v>6325</v>
      </c>
      <c r="G1280" s="282" t="s">
        <v>6317</v>
      </c>
      <c r="J1280" s="282" t="s">
        <v>1550</v>
      </c>
    </row>
    <row r="1281" spans="1:10" ht="14.4" hidden="1">
      <c r="A1281" s="380" t="s">
        <v>1196</v>
      </c>
      <c r="B1281" s="380" t="s">
        <v>1202</v>
      </c>
      <c r="C1281" s="381" t="s">
        <v>6326</v>
      </c>
      <c r="D1281" s="380" t="s">
        <v>6327</v>
      </c>
      <c r="E1281" s="382" t="s">
        <v>6328</v>
      </c>
      <c r="F1281" s="282" t="s">
        <v>6329</v>
      </c>
      <c r="G1281" s="282" t="s">
        <v>6317</v>
      </c>
      <c r="J1281" s="282" t="s">
        <v>1550</v>
      </c>
    </row>
    <row r="1282" spans="1:10" ht="14.4" hidden="1">
      <c r="A1282" s="380" t="s">
        <v>1196</v>
      </c>
      <c r="B1282" s="380" t="s">
        <v>1202</v>
      </c>
      <c r="C1282" s="381" t="s">
        <v>6330</v>
      </c>
      <c r="D1282" s="380" t="s">
        <v>6331</v>
      </c>
      <c r="E1282" s="382" t="s">
        <v>6332</v>
      </c>
      <c r="F1282" s="282" t="s">
        <v>6333</v>
      </c>
      <c r="G1282" s="282" t="s">
        <v>6317</v>
      </c>
      <c r="J1282" s="282" t="s">
        <v>1550</v>
      </c>
    </row>
    <row r="1283" spans="1:10" ht="14.4" hidden="1">
      <c r="A1283" s="380" t="s">
        <v>1196</v>
      </c>
      <c r="B1283" s="380" t="s">
        <v>1202</v>
      </c>
      <c r="C1283" s="381" t="s">
        <v>6334</v>
      </c>
      <c r="D1283" s="380" t="s">
        <v>6335</v>
      </c>
      <c r="E1283" s="382" t="s">
        <v>6336</v>
      </c>
      <c r="F1283" s="282" t="s">
        <v>6337</v>
      </c>
      <c r="G1283" s="282" t="s">
        <v>6317</v>
      </c>
      <c r="J1283" s="282" t="s">
        <v>1550</v>
      </c>
    </row>
    <row r="1284" spans="1:10" ht="14.4" hidden="1">
      <c r="A1284" s="380" t="s">
        <v>1196</v>
      </c>
      <c r="B1284" s="380" t="s">
        <v>1202</v>
      </c>
      <c r="C1284" s="381" t="s">
        <v>6338</v>
      </c>
      <c r="D1284" s="380" t="s">
        <v>6339</v>
      </c>
      <c r="E1284" s="382" t="s">
        <v>6340</v>
      </c>
      <c r="F1284" s="282" t="s">
        <v>6341</v>
      </c>
      <c r="G1284" s="282" t="s">
        <v>6317</v>
      </c>
      <c r="J1284" s="282" t="s">
        <v>1550</v>
      </c>
    </row>
    <row r="1285" spans="1:10" ht="14.4" hidden="1">
      <c r="A1285" s="380" t="s">
        <v>1196</v>
      </c>
      <c r="B1285" s="380" t="s">
        <v>1202</v>
      </c>
      <c r="C1285" s="381" t="s">
        <v>6342</v>
      </c>
      <c r="D1285" s="380" t="s">
        <v>6343</v>
      </c>
      <c r="E1285" s="382" t="s">
        <v>6344</v>
      </c>
      <c r="F1285" s="282" t="s">
        <v>6345</v>
      </c>
      <c r="G1285" s="282" t="s">
        <v>6317</v>
      </c>
      <c r="J1285" s="282" t="s">
        <v>1550</v>
      </c>
    </row>
    <row r="1286" spans="1:10" ht="14.4" hidden="1">
      <c r="A1286" s="380" t="s">
        <v>1196</v>
      </c>
      <c r="B1286" s="380" t="s">
        <v>1202</v>
      </c>
      <c r="C1286" s="381" t="s">
        <v>6346</v>
      </c>
      <c r="D1286" s="380" t="s">
        <v>6347</v>
      </c>
      <c r="E1286" s="382" t="s">
        <v>6348</v>
      </c>
      <c r="F1286" s="282" t="s">
        <v>6349</v>
      </c>
      <c r="G1286" s="282" t="s">
        <v>6350</v>
      </c>
      <c r="J1286" s="282" t="s">
        <v>1550</v>
      </c>
    </row>
    <row r="1287" spans="1:10" ht="14.4" hidden="1">
      <c r="A1287" s="380" t="s">
        <v>1196</v>
      </c>
      <c r="B1287" s="380" t="s">
        <v>1202</v>
      </c>
      <c r="C1287" s="381" t="s">
        <v>6351</v>
      </c>
      <c r="D1287" s="380" t="s">
        <v>6352</v>
      </c>
      <c r="E1287" s="382" t="s">
        <v>6353</v>
      </c>
      <c r="F1287" s="282" t="s">
        <v>6354</v>
      </c>
      <c r="G1287" s="282" t="s">
        <v>6350</v>
      </c>
      <c r="J1287" s="282" t="s">
        <v>1550</v>
      </c>
    </row>
    <row r="1288" spans="1:10" ht="14.4" hidden="1">
      <c r="A1288" s="380" t="s">
        <v>1196</v>
      </c>
      <c r="B1288" s="380" t="s">
        <v>1202</v>
      </c>
      <c r="C1288" s="381" t="s">
        <v>6355</v>
      </c>
      <c r="D1288" s="380" t="s">
        <v>6356</v>
      </c>
      <c r="E1288" s="382" t="s">
        <v>6357</v>
      </c>
      <c r="F1288" s="282" t="s">
        <v>6358</v>
      </c>
      <c r="G1288" s="282" t="s">
        <v>6350</v>
      </c>
      <c r="J1288" s="282" t="s">
        <v>1550</v>
      </c>
    </row>
    <row r="1289" spans="1:10" ht="14.4" hidden="1">
      <c r="A1289" s="380" t="s">
        <v>1196</v>
      </c>
      <c r="B1289" s="380" t="s">
        <v>1202</v>
      </c>
      <c r="C1289" s="381" t="s">
        <v>6359</v>
      </c>
      <c r="D1289" s="380" t="s">
        <v>6360</v>
      </c>
      <c r="E1289" s="382" t="s">
        <v>6361</v>
      </c>
      <c r="F1289" s="282" t="s">
        <v>6362</v>
      </c>
      <c r="G1289" s="282" t="s">
        <v>6350</v>
      </c>
      <c r="J1289" s="282" t="s">
        <v>1550</v>
      </c>
    </row>
    <row r="1290" spans="1:10" ht="14.4" hidden="1">
      <c r="A1290" s="380" t="s">
        <v>1196</v>
      </c>
      <c r="B1290" s="380" t="s">
        <v>1202</v>
      </c>
      <c r="C1290" s="381" t="s">
        <v>6363</v>
      </c>
      <c r="D1290" s="380" t="s">
        <v>6364</v>
      </c>
      <c r="E1290" s="382" t="s">
        <v>6365</v>
      </c>
      <c r="F1290" s="282" t="s">
        <v>6366</v>
      </c>
      <c r="G1290" s="282" t="s">
        <v>6350</v>
      </c>
      <c r="J1290" s="282" t="s">
        <v>1550</v>
      </c>
    </row>
    <row r="1291" spans="1:10" ht="14.4" hidden="1">
      <c r="A1291" s="380" t="s">
        <v>1196</v>
      </c>
      <c r="B1291" s="380" t="s">
        <v>1202</v>
      </c>
      <c r="C1291" s="381" t="s">
        <v>6367</v>
      </c>
      <c r="D1291" s="380" t="s">
        <v>6368</v>
      </c>
      <c r="E1291" s="382" t="s">
        <v>6369</v>
      </c>
      <c r="F1291" s="282" t="s">
        <v>6370</v>
      </c>
      <c r="G1291" s="282" t="s">
        <v>6350</v>
      </c>
      <c r="J1291" s="282" t="s">
        <v>1550</v>
      </c>
    </row>
    <row r="1292" spans="1:10" ht="14.4" hidden="1">
      <c r="A1292" s="380" t="s">
        <v>1196</v>
      </c>
      <c r="B1292" s="380" t="s">
        <v>1202</v>
      </c>
      <c r="C1292" s="381" t="s">
        <v>6371</v>
      </c>
      <c r="D1292" s="380" t="s">
        <v>6372</v>
      </c>
      <c r="E1292" s="382" t="s">
        <v>6373</v>
      </c>
      <c r="F1292" s="282" t="s">
        <v>6374</v>
      </c>
      <c r="G1292" s="282" t="s">
        <v>6350</v>
      </c>
      <c r="J1292" s="282" t="s">
        <v>1550</v>
      </c>
    </row>
    <row r="1293" spans="1:10" ht="14.4" hidden="1">
      <c r="A1293" s="380" t="s">
        <v>1196</v>
      </c>
      <c r="B1293" s="380" t="s">
        <v>1202</v>
      </c>
      <c r="C1293" s="381" t="s">
        <v>6375</v>
      </c>
      <c r="D1293" s="380" t="s">
        <v>6376</v>
      </c>
      <c r="E1293" s="382" t="s">
        <v>6377</v>
      </c>
      <c r="F1293" s="282" t="s">
        <v>6378</v>
      </c>
      <c r="G1293" s="282" t="s">
        <v>6350</v>
      </c>
      <c r="J1293" s="282" t="s">
        <v>1550</v>
      </c>
    </row>
    <row r="1294" spans="1:10" ht="14.4" hidden="1">
      <c r="A1294" s="380" t="s">
        <v>1196</v>
      </c>
      <c r="B1294" s="380" t="s">
        <v>1202</v>
      </c>
      <c r="C1294" s="381" t="s">
        <v>6379</v>
      </c>
      <c r="D1294" s="380" t="s">
        <v>6380</v>
      </c>
      <c r="E1294" s="382" t="s">
        <v>6381</v>
      </c>
      <c r="F1294" s="282" t="s">
        <v>6382</v>
      </c>
      <c r="G1294" s="282" t="s">
        <v>6350</v>
      </c>
      <c r="J1294" s="282" t="s">
        <v>1550</v>
      </c>
    </row>
    <row r="1295" spans="1:10" ht="14.4" hidden="1">
      <c r="A1295" s="380" t="s">
        <v>1196</v>
      </c>
      <c r="B1295" s="380" t="s">
        <v>1202</v>
      </c>
      <c r="C1295" s="381" t="s">
        <v>6383</v>
      </c>
      <c r="D1295" s="380" t="s">
        <v>6384</v>
      </c>
      <c r="E1295" s="382" t="s">
        <v>6385</v>
      </c>
      <c r="F1295" s="282" t="s">
        <v>6386</v>
      </c>
      <c r="G1295" s="282" t="s">
        <v>6350</v>
      </c>
      <c r="J1295" s="282" t="s">
        <v>1550</v>
      </c>
    </row>
    <row r="1296" spans="1:10" ht="14.4" hidden="1">
      <c r="A1296" s="380" t="s">
        <v>1196</v>
      </c>
      <c r="B1296" s="380" t="s">
        <v>1202</v>
      </c>
      <c r="C1296" s="381" t="s">
        <v>6387</v>
      </c>
      <c r="D1296" s="380" t="s">
        <v>6388</v>
      </c>
      <c r="E1296" s="382" t="s">
        <v>6389</v>
      </c>
      <c r="F1296" s="282" t="s">
        <v>6390</v>
      </c>
      <c r="G1296" s="282" t="s">
        <v>6350</v>
      </c>
      <c r="J1296" s="282" t="s">
        <v>1550</v>
      </c>
    </row>
    <row r="1297" spans="1:10" ht="14.4" hidden="1">
      <c r="A1297" s="380" t="s">
        <v>1196</v>
      </c>
      <c r="B1297" s="380" t="s">
        <v>1202</v>
      </c>
      <c r="C1297" s="381" t="s">
        <v>6391</v>
      </c>
      <c r="D1297" s="380" t="s">
        <v>6392</v>
      </c>
      <c r="E1297" s="382" t="s">
        <v>6393</v>
      </c>
      <c r="F1297" s="282" t="s">
        <v>6394</v>
      </c>
      <c r="G1297" s="282" t="s">
        <v>6350</v>
      </c>
      <c r="J1297" s="282" t="s">
        <v>1550</v>
      </c>
    </row>
    <row r="1298" spans="1:10" ht="14.4" hidden="1">
      <c r="A1298" s="380" t="s">
        <v>1196</v>
      </c>
      <c r="B1298" s="380" t="s">
        <v>1202</v>
      </c>
      <c r="C1298" s="381" t="s">
        <v>6395</v>
      </c>
      <c r="D1298" s="380" t="s">
        <v>6396</v>
      </c>
      <c r="E1298" s="382" t="s">
        <v>6397</v>
      </c>
      <c r="F1298" s="282" t="s">
        <v>6398</v>
      </c>
      <c r="G1298" s="282" t="s">
        <v>6350</v>
      </c>
      <c r="J1298" s="282" t="s">
        <v>1550</v>
      </c>
    </row>
    <row r="1299" spans="1:10" ht="14.4" hidden="1">
      <c r="A1299" s="380" t="s">
        <v>1196</v>
      </c>
      <c r="B1299" s="380" t="s">
        <v>1202</v>
      </c>
      <c r="C1299" s="381" t="s">
        <v>6399</v>
      </c>
      <c r="D1299" s="380" t="s">
        <v>6400</v>
      </c>
      <c r="E1299" s="382" t="s">
        <v>6401</v>
      </c>
      <c r="F1299" s="282" t="s">
        <v>6402</v>
      </c>
      <c r="G1299" s="282" t="s">
        <v>6350</v>
      </c>
      <c r="J1299" s="282" t="s">
        <v>1550</v>
      </c>
    </row>
    <row r="1300" spans="1:10" ht="14.4" hidden="1">
      <c r="A1300" s="380" t="s">
        <v>1196</v>
      </c>
      <c r="B1300" s="380" t="s">
        <v>1202</v>
      </c>
      <c r="C1300" s="381" t="s">
        <v>6403</v>
      </c>
      <c r="D1300" s="380" t="s">
        <v>6404</v>
      </c>
      <c r="E1300" s="382" t="s">
        <v>6405</v>
      </c>
      <c r="F1300" s="282" t="s">
        <v>6406</v>
      </c>
      <c r="G1300" s="282" t="s">
        <v>6350</v>
      </c>
      <c r="J1300" s="282" t="s">
        <v>1550</v>
      </c>
    </row>
    <row r="1301" spans="1:10" ht="14.4" hidden="1">
      <c r="A1301" s="380" t="s">
        <v>1196</v>
      </c>
      <c r="B1301" s="380" t="s">
        <v>1202</v>
      </c>
      <c r="C1301" s="381" t="s">
        <v>6407</v>
      </c>
      <c r="D1301" s="380" t="s">
        <v>6408</v>
      </c>
      <c r="E1301" s="382" t="s">
        <v>6409</v>
      </c>
      <c r="F1301" s="282" t="s">
        <v>6410</v>
      </c>
      <c r="G1301" s="282" t="s">
        <v>6350</v>
      </c>
      <c r="J1301" s="282" t="s">
        <v>1550</v>
      </c>
    </row>
    <row r="1302" spans="1:10" ht="14.4" hidden="1">
      <c r="A1302" s="380" t="s">
        <v>1196</v>
      </c>
      <c r="B1302" s="380" t="s">
        <v>1202</v>
      </c>
      <c r="C1302" s="381" t="s">
        <v>6411</v>
      </c>
      <c r="D1302" s="380" t="s">
        <v>6412</v>
      </c>
      <c r="E1302" s="382" t="s">
        <v>6413</v>
      </c>
      <c r="F1302" s="282" t="s">
        <v>6414</v>
      </c>
      <c r="G1302" s="282" t="s">
        <v>6350</v>
      </c>
      <c r="J1302" s="282" t="s">
        <v>1550</v>
      </c>
    </row>
    <row r="1303" spans="1:10" ht="14.4" hidden="1">
      <c r="A1303" s="380" t="s">
        <v>1196</v>
      </c>
      <c r="B1303" s="380" t="s">
        <v>1202</v>
      </c>
      <c r="C1303" s="381" t="s">
        <v>6415</v>
      </c>
      <c r="D1303" s="380" t="s">
        <v>6416</v>
      </c>
      <c r="E1303" s="382" t="s">
        <v>6417</v>
      </c>
      <c r="F1303" s="282" t="s">
        <v>6418</v>
      </c>
      <c r="G1303" s="282" t="s">
        <v>6350</v>
      </c>
      <c r="J1303" s="282" t="s">
        <v>1550</v>
      </c>
    </row>
    <row r="1304" spans="1:10" ht="14.4" hidden="1">
      <c r="A1304" s="380" t="s">
        <v>1196</v>
      </c>
      <c r="B1304" s="380" t="s">
        <v>1202</v>
      </c>
      <c r="C1304" s="381" t="s">
        <v>6419</v>
      </c>
      <c r="D1304" s="380" t="s">
        <v>6420</v>
      </c>
      <c r="E1304" s="382" t="s">
        <v>6421</v>
      </c>
      <c r="F1304" s="282" t="s">
        <v>6422</v>
      </c>
      <c r="G1304" s="282" t="s">
        <v>6350</v>
      </c>
      <c r="J1304" s="282" t="s">
        <v>1550</v>
      </c>
    </row>
    <row r="1305" spans="1:10" ht="14.4" hidden="1">
      <c r="A1305" s="380" t="s">
        <v>1196</v>
      </c>
      <c r="B1305" s="380" t="s">
        <v>1202</v>
      </c>
      <c r="C1305" s="381" t="s">
        <v>6423</v>
      </c>
      <c r="D1305" s="380" t="s">
        <v>6424</v>
      </c>
      <c r="E1305" s="382" t="s">
        <v>6425</v>
      </c>
      <c r="F1305" s="282" t="s">
        <v>6426</v>
      </c>
      <c r="G1305" s="282" t="s">
        <v>6350</v>
      </c>
      <c r="J1305" s="282" t="s">
        <v>1550</v>
      </c>
    </row>
    <row r="1306" spans="1:10" ht="14.4" hidden="1">
      <c r="A1306" s="380" t="s">
        <v>1196</v>
      </c>
      <c r="B1306" s="380" t="s">
        <v>1202</v>
      </c>
      <c r="C1306" s="381" t="s">
        <v>6427</v>
      </c>
      <c r="D1306" s="380" t="s">
        <v>6428</v>
      </c>
      <c r="E1306" s="382" t="s">
        <v>6429</v>
      </c>
      <c r="F1306" s="282" t="s">
        <v>6430</v>
      </c>
      <c r="G1306" s="282" t="s">
        <v>6350</v>
      </c>
      <c r="J1306" s="282" t="s">
        <v>1550</v>
      </c>
    </row>
    <row r="1307" spans="1:10" ht="14.4" hidden="1">
      <c r="A1307" s="380" t="s">
        <v>1196</v>
      </c>
      <c r="B1307" s="380" t="s">
        <v>1202</v>
      </c>
      <c r="C1307" s="381" t="s">
        <v>6431</v>
      </c>
      <c r="D1307" s="380" t="s">
        <v>6432</v>
      </c>
      <c r="E1307" s="382" t="s">
        <v>6433</v>
      </c>
      <c r="F1307" s="282" t="s">
        <v>6434</v>
      </c>
      <c r="G1307" s="282" t="s">
        <v>6350</v>
      </c>
      <c r="J1307" s="282" t="s">
        <v>1550</v>
      </c>
    </row>
    <row r="1308" spans="1:10" ht="14.4" hidden="1">
      <c r="A1308" s="380" t="s">
        <v>1196</v>
      </c>
      <c r="B1308" s="380" t="s">
        <v>1202</v>
      </c>
      <c r="C1308" s="381" t="s">
        <v>6435</v>
      </c>
      <c r="D1308" s="380" t="s">
        <v>6436</v>
      </c>
      <c r="E1308" s="382" t="s">
        <v>6437</v>
      </c>
      <c r="F1308" s="282" t="s">
        <v>6438</v>
      </c>
      <c r="G1308" s="282" t="s">
        <v>6350</v>
      </c>
      <c r="J1308" s="282" t="s">
        <v>1550</v>
      </c>
    </row>
    <row r="1309" spans="1:10" ht="14.4" hidden="1">
      <c r="A1309" s="380" t="s">
        <v>1196</v>
      </c>
      <c r="B1309" s="380" t="s">
        <v>1202</v>
      </c>
      <c r="C1309" s="381" t="s">
        <v>6439</v>
      </c>
      <c r="D1309" s="380" t="s">
        <v>6440</v>
      </c>
      <c r="E1309" s="382" t="s">
        <v>6441</v>
      </c>
      <c r="F1309" s="282" t="s">
        <v>6442</v>
      </c>
      <c r="G1309" s="282" t="s">
        <v>6350</v>
      </c>
      <c r="J1309" s="282" t="s">
        <v>1550</v>
      </c>
    </row>
    <row r="1310" spans="1:10" ht="14.4" hidden="1">
      <c r="A1310" s="380" t="s">
        <v>1196</v>
      </c>
      <c r="B1310" s="380" t="s">
        <v>1202</v>
      </c>
      <c r="C1310" s="381" t="s">
        <v>6443</v>
      </c>
      <c r="D1310" s="380" t="s">
        <v>6444</v>
      </c>
      <c r="E1310" s="382" t="s">
        <v>6445</v>
      </c>
      <c r="F1310" s="282" t="s">
        <v>6446</v>
      </c>
      <c r="G1310" s="282" t="s">
        <v>6350</v>
      </c>
      <c r="J1310" s="282" t="s">
        <v>1550</v>
      </c>
    </row>
    <row r="1311" spans="1:10" ht="14.4" hidden="1">
      <c r="A1311" s="380" t="s">
        <v>1196</v>
      </c>
      <c r="B1311" s="380" t="s">
        <v>1202</v>
      </c>
      <c r="C1311" s="381" t="s">
        <v>6447</v>
      </c>
      <c r="D1311" s="380" t="s">
        <v>6448</v>
      </c>
      <c r="E1311" s="382" t="s">
        <v>6449</v>
      </c>
      <c r="F1311" s="282" t="s">
        <v>6450</v>
      </c>
      <c r="G1311" s="282" t="s">
        <v>6350</v>
      </c>
      <c r="J1311" s="282" t="s">
        <v>1550</v>
      </c>
    </row>
    <row r="1312" spans="1:10" ht="14.4" hidden="1">
      <c r="A1312" s="380" t="s">
        <v>1196</v>
      </c>
      <c r="B1312" s="380" t="s">
        <v>1202</v>
      </c>
      <c r="C1312" s="381" t="s">
        <v>6451</v>
      </c>
      <c r="D1312" s="380" t="s">
        <v>6452</v>
      </c>
      <c r="E1312" s="382" t="s">
        <v>6453</v>
      </c>
      <c r="F1312" s="282" t="s">
        <v>6454</v>
      </c>
      <c r="G1312" s="282" t="s">
        <v>6350</v>
      </c>
      <c r="J1312" s="282" t="s">
        <v>1550</v>
      </c>
    </row>
    <row r="1313" spans="1:10" ht="14.4" hidden="1">
      <c r="A1313" s="380" t="s">
        <v>1196</v>
      </c>
      <c r="B1313" s="380" t="s">
        <v>1202</v>
      </c>
      <c r="C1313" s="381" t="s">
        <v>6455</v>
      </c>
      <c r="D1313" s="380" t="s">
        <v>6456</v>
      </c>
      <c r="E1313" s="382" t="s">
        <v>6457</v>
      </c>
      <c r="F1313" s="282" t="s">
        <v>6458</v>
      </c>
      <c r="G1313" s="282" t="s">
        <v>6350</v>
      </c>
      <c r="J1313" s="282" t="s">
        <v>1550</v>
      </c>
    </row>
    <row r="1314" spans="1:10" ht="14.4" hidden="1">
      <c r="A1314" s="380" t="s">
        <v>1196</v>
      </c>
      <c r="B1314" s="380" t="s">
        <v>1202</v>
      </c>
      <c r="C1314" s="381" t="s">
        <v>6459</v>
      </c>
      <c r="D1314" s="380" t="s">
        <v>6460</v>
      </c>
      <c r="E1314" s="382" t="s">
        <v>6461</v>
      </c>
      <c r="F1314" s="282" t="s">
        <v>6462</v>
      </c>
      <c r="G1314" s="282" t="s">
        <v>6350</v>
      </c>
      <c r="J1314" s="282" t="s">
        <v>1550</v>
      </c>
    </row>
    <row r="1315" spans="1:10" ht="14.4" hidden="1">
      <c r="A1315" s="380" t="s">
        <v>1196</v>
      </c>
      <c r="B1315" s="380" t="s">
        <v>1202</v>
      </c>
      <c r="C1315" s="381" t="s">
        <v>6463</v>
      </c>
      <c r="D1315" s="380" t="s">
        <v>6464</v>
      </c>
      <c r="E1315" s="382" t="s">
        <v>6465</v>
      </c>
      <c r="F1315" s="282" t="s">
        <v>6466</v>
      </c>
      <c r="G1315" s="282" t="s">
        <v>6350</v>
      </c>
      <c r="J1315" s="282" t="s">
        <v>1550</v>
      </c>
    </row>
    <row r="1316" spans="1:10" ht="14.4" hidden="1">
      <c r="A1316" s="380" t="s">
        <v>1196</v>
      </c>
      <c r="B1316" s="380" t="s">
        <v>1202</v>
      </c>
      <c r="C1316" s="381" t="s">
        <v>6467</v>
      </c>
      <c r="D1316" s="380" t="s">
        <v>6468</v>
      </c>
      <c r="E1316" s="382" t="s">
        <v>6469</v>
      </c>
      <c r="F1316" s="282" t="s">
        <v>6470</v>
      </c>
      <c r="G1316" s="282" t="s">
        <v>6350</v>
      </c>
      <c r="J1316" s="282" t="s">
        <v>1550</v>
      </c>
    </row>
    <row r="1317" spans="1:10" ht="14.4" hidden="1">
      <c r="A1317" s="380" t="s">
        <v>1196</v>
      </c>
      <c r="B1317" s="380" t="s">
        <v>1202</v>
      </c>
      <c r="C1317" s="381" t="s">
        <v>6471</v>
      </c>
      <c r="D1317" s="380" t="s">
        <v>6472</v>
      </c>
      <c r="E1317" s="382" t="s">
        <v>6473</v>
      </c>
      <c r="F1317" s="282" t="s">
        <v>6474</v>
      </c>
      <c r="G1317" s="282" t="s">
        <v>6350</v>
      </c>
      <c r="J1317" s="282" t="s">
        <v>1550</v>
      </c>
    </row>
    <row r="1318" spans="1:10" ht="14.4" hidden="1">
      <c r="A1318" s="380" t="s">
        <v>1196</v>
      </c>
      <c r="B1318" s="380" t="s">
        <v>1202</v>
      </c>
      <c r="C1318" s="381" t="s">
        <v>6475</v>
      </c>
      <c r="D1318" s="380" t="s">
        <v>6476</v>
      </c>
      <c r="E1318" s="382" t="s">
        <v>6477</v>
      </c>
      <c r="F1318" s="282" t="s">
        <v>6478</v>
      </c>
      <c r="G1318" s="282" t="s">
        <v>6350</v>
      </c>
      <c r="J1318" s="282" t="s">
        <v>1550</v>
      </c>
    </row>
    <row r="1319" spans="1:10" ht="14.4" hidden="1">
      <c r="A1319" s="380" t="s">
        <v>1196</v>
      </c>
      <c r="B1319" s="380" t="s">
        <v>1202</v>
      </c>
      <c r="C1319" s="381" t="s">
        <v>6479</v>
      </c>
      <c r="D1319" s="380" t="s">
        <v>6476</v>
      </c>
      <c r="E1319" s="382" t="s">
        <v>6477</v>
      </c>
      <c r="F1319" s="282" t="s">
        <v>6480</v>
      </c>
      <c r="G1319" s="282" t="s">
        <v>6350</v>
      </c>
      <c r="J1319" s="282" t="s">
        <v>1550</v>
      </c>
    </row>
    <row r="1320" spans="1:10" ht="14.4" hidden="1">
      <c r="A1320" s="380" t="s">
        <v>1196</v>
      </c>
      <c r="B1320" s="380" t="s">
        <v>1202</v>
      </c>
      <c r="C1320" s="381" t="s">
        <v>6481</v>
      </c>
      <c r="D1320" s="380" t="s">
        <v>6476</v>
      </c>
      <c r="E1320" s="382" t="s">
        <v>6477</v>
      </c>
      <c r="F1320" s="282" t="s">
        <v>6482</v>
      </c>
      <c r="G1320" s="282" t="s">
        <v>6350</v>
      </c>
      <c r="J1320" s="282" t="s">
        <v>1550</v>
      </c>
    </row>
    <row r="1321" spans="1:10" ht="14.4" hidden="1">
      <c r="A1321" s="380" t="s">
        <v>1196</v>
      </c>
      <c r="B1321" s="380" t="s">
        <v>1202</v>
      </c>
      <c r="C1321" s="381" t="s">
        <v>6483</v>
      </c>
      <c r="D1321" s="380" t="s">
        <v>6484</v>
      </c>
      <c r="E1321" s="382" t="s">
        <v>6485</v>
      </c>
      <c r="F1321" s="282" t="s">
        <v>6486</v>
      </c>
      <c r="G1321" s="282" t="s">
        <v>6350</v>
      </c>
      <c r="J1321" s="282" t="s">
        <v>1550</v>
      </c>
    </row>
    <row r="1322" spans="1:10" ht="14.4" hidden="1">
      <c r="A1322" s="380" t="s">
        <v>1196</v>
      </c>
      <c r="B1322" s="380" t="s">
        <v>1202</v>
      </c>
      <c r="C1322" s="381" t="s">
        <v>6487</v>
      </c>
      <c r="D1322" s="380" t="s">
        <v>6488</v>
      </c>
      <c r="E1322" s="382" t="s">
        <v>6489</v>
      </c>
      <c r="F1322" s="282" t="s">
        <v>6490</v>
      </c>
      <c r="G1322" s="282" t="s">
        <v>6350</v>
      </c>
      <c r="J1322" s="282" t="s">
        <v>1550</v>
      </c>
    </row>
    <row r="1323" spans="1:10" ht="14.4" hidden="1">
      <c r="A1323" s="380" t="s">
        <v>1196</v>
      </c>
      <c r="B1323" s="380" t="s">
        <v>1202</v>
      </c>
      <c r="C1323" s="381" t="s">
        <v>6491</v>
      </c>
      <c r="D1323" s="380" t="s">
        <v>6492</v>
      </c>
      <c r="E1323" s="382" t="s">
        <v>6493</v>
      </c>
      <c r="F1323" s="282" t="s">
        <v>6494</v>
      </c>
      <c r="G1323" s="282" t="s">
        <v>6350</v>
      </c>
      <c r="J1323" s="282" t="s">
        <v>1550</v>
      </c>
    </row>
    <row r="1324" spans="1:10" ht="14.4" hidden="1">
      <c r="A1324" s="380" t="s">
        <v>1196</v>
      </c>
      <c r="B1324" s="380" t="s">
        <v>1202</v>
      </c>
      <c r="C1324" s="381" t="s">
        <v>6495</v>
      </c>
      <c r="D1324" s="380" t="s">
        <v>6496</v>
      </c>
      <c r="E1324" s="382" t="s">
        <v>6497</v>
      </c>
      <c r="F1324" s="282" t="s">
        <v>6498</v>
      </c>
      <c r="G1324" s="282" t="s">
        <v>6350</v>
      </c>
      <c r="J1324" s="282" t="s">
        <v>1550</v>
      </c>
    </row>
    <row r="1325" spans="1:10" ht="14.4" hidden="1">
      <c r="A1325" s="380" t="s">
        <v>1196</v>
      </c>
      <c r="B1325" s="380" t="s">
        <v>1202</v>
      </c>
      <c r="C1325" s="381" t="s">
        <v>6499</v>
      </c>
      <c r="D1325" s="380" t="s">
        <v>6500</v>
      </c>
      <c r="E1325" s="382" t="s">
        <v>6501</v>
      </c>
      <c r="F1325" s="282" t="s">
        <v>6502</v>
      </c>
      <c r="G1325" s="282" t="s">
        <v>6350</v>
      </c>
      <c r="J1325" s="282" t="s">
        <v>1550</v>
      </c>
    </row>
    <row r="1326" spans="1:10" ht="14.4" hidden="1">
      <c r="A1326" s="380" t="s">
        <v>1196</v>
      </c>
      <c r="B1326" s="380" t="s">
        <v>1202</v>
      </c>
      <c r="C1326" s="381" t="s">
        <v>6503</v>
      </c>
      <c r="D1326" s="380" t="s">
        <v>6504</v>
      </c>
      <c r="E1326" s="382" t="s">
        <v>6505</v>
      </c>
      <c r="F1326" s="282" t="s">
        <v>6506</v>
      </c>
      <c r="G1326" s="282" t="s">
        <v>6350</v>
      </c>
      <c r="J1326" s="282" t="s">
        <v>1550</v>
      </c>
    </row>
    <row r="1327" spans="1:10" ht="14.4" hidden="1">
      <c r="A1327" s="380" t="s">
        <v>1196</v>
      </c>
      <c r="B1327" s="380" t="s">
        <v>1202</v>
      </c>
      <c r="C1327" s="381" t="s">
        <v>6507</v>
      </c>
      <c r="D1327" s="380" t="s">
        <v>6508</v>
      </c>
      <c r="E1327" s="382" t="s">
        <v>6509</v>
      </c>
      <c r="F1327" s="282" t="s">
        <v>6510</v>
      </c>
      <c r="G1327" s="282" t="s">
        <v>6350</v>
      </c>
      <c r="J1327" s="282" t="s">
        <v>1550</v>
      </c>
    </row>
    <row r="1328" spans="1:10" ht="14.4" hidden="1">
      <c r="A1328" s="380" t="s">
        <v>1196</v>
      </c>
      <c r="B1328" s="380" t="s">
        <v>1202</v>
      </c>
      <c r="C1328" s="381" t="s">
        <v>6511</v>
      </c>
      <c r="D1328" s="380" t="s">
        <v>6512</v>
      </c>
      <c r="E1328" s="382" t="s">
        <v>6513</v>
      </c>
      <c r="F1328" s="282" t="s">
        <v>6514</v>
      </c>
      <c r="G1328" s="282" t="s">
        <v>6350</v>
      </c>
      <c r="J1328" s="282" t="s">
        <v>1550</v>
      </c>
    </row>
    <row r="1329" spans="1:10" ht="13.95" hidden="1" customHeight="1">
      <c r="A1329" s="380" t="s">
        <v>1196</v>
      </c>
      <c r="B1329" s="380" t="s">
        <v>1202</v>
      </c>
      <c r="C1329" s="381" t="s">
        <v>6515</v>
      </c>
      <c r="D1329" s="380" t="s">
        <v>6516</v>
      </c>
      <c r="E1329" s="72" t="s">
        <v>6517</v>
      </c>
      <c r="F1329" s="282" t="s">
        <v>6518</v>
      </c>
      <c r="G1329" s="282" t="s">
        <v>6350</v>
      </c>
      <c r="J1329" s="384" t="s">
        <v>2284</v>
      </c>
    </row>
    <row r="1330" spans="1:10" ht="13.95" hidden="1" customHeight="1">
      <c r="A1330" s="380" t="s">
        <v>1196</v>
      </c>
      <c r="B1330" s="380" t="s">
        <v>1202</v>
      </c>
      <c r="C1330" s="381" t="s">
        <v>6519</v>
      </c>
      <c r="D1330" s="380" t="s">
        <v>6520</v>
      </c>
      <c r="E1330" s="72" t="s">
        <v>6521</v>
      </c>
      <c r="F1330" s="282" t="s">
        <v>6522</v>
      </c>
      <c r="G1330" s="282" t="s">
        <v>6350</v>
      </c>
      <c r="J1330" s="384" t="s">
        <v>2284</v>
      </c>
    </row>
    <row r="1331" spans="1:10" ht="13.95" hidden="1" customHeight="1">
      <c r="A1331" s="380" t="s">
        <v>1196</v>
      </c>
      <c r="B1331" s="380" t="s">
        <v>1202</v>
      </c>
      <c r="C1331" s="381" t="s">
        <v>6523</v>
      </c>
      <c r="D1331" s="380" t="s">
        <v>6524</v>
      </c>
      <c r="E1331" s="72" t="s">
        <v>6525</v>
      </c>
      <c r="F1331" s="282" t="s">
        <v>6526</v>
      </c>
      <c r="G1331" s="282" t="s">
        <v>6350</v>
      </c>
      <c r="J1331" s="384" t="s">
        <v>2284</v>
      </c>
    </row>
    <row r="1332" spans="1:10" ht="13.95" hidden="1" customHeight="1">
      <c r="A1332" s="380" t="s">
        <v>1196</v>
      </c>
      <c r="B1332" s="380" t="s">
        <v>1202</v>
      </c>
      <c r="C1332" s="381" t="s">
        <v>6527</v>
      </c>
      <c r="D1332" s="380" t="s">
        <v>6528</v>
      </c>
      <c r="E1332" s="72" t="s">
        <v>6529</v>
      </c>
      <c r="F1332" s="282" t="s">
        <v>6530</v>
      </c>
      <c r="G1332" s="282" t="s">
        <v>6350</v>
      </c>
      <c r="J1332" s="384" t="s">
        <v>2284</v>
      </c>
    </row>
    <row r="1333" spans="1:10" ht="14.4" hidden="1">
      <c r="A1333" s="380" t="s">
        <v>1196</v>
      </c>
      <c r="B1333" s="380" t="s">
        <v>1202</v>
      </c>
      <c r="C1333" s="381" t="s">
        <v>6531</v>
      </c>
      <c r="D1333" s="380" t="s">
        <v>6532</v>
      </c>
      <c r="E1333" s="382" t="s">
        <v>6533</v>
      </c>
      <c r="F1333" s="282" t="s">
        <v>6534</v>
      </c>
      <c r="G1333" s="282" t="s">
        <v>6535</v>
      </c>
      <c r="J1333" s="282" t="s">
        <v>1550</v>
      </c>
    </row>
    <row r="1334" spans="1:10" ht="14.4" hidden="1">
      <c r="A1334" s="380" t="s">
        <v>1196</v>
      </c>
      <c r="B1334" s="380" t="s">
        <v>1202</v>
      </c>
      <c r="C1334" s="381" t="s">
        <v>6536</v>
      </c>
      <c r="D1334" s="380" t="s">
        <v>6537</v>
      </c>
      <c r="E1334" s="382" t="s">
        <v>6538</v>
      </c>
      <c r="F1334" s="282" t="s">
        <v>6539</v>
      </c>
      <c r="G1334" s="282" t="s">
        <v>6535</v>
      </c>
      <c r="J1334" s="282" t="s">
        <v>1550</v>
      </c>
    </row>
    <row r="1335" spans="1:10" ht="14.4" hidden="1">
      <c r="A1335" s="380" t="s">
        <v>1196</v>
      </c>
      <c r="B1335" s="380" t="s">
        <v>1202</v>
      </c>
      <c r="C1335" s="381" t="s">
        <v>6540</v>
      </c>
      <c r="D1335" s="380" t="s">
        <v>6541</v>
      </c>
      <c r="E1335" s="382" t="s">
        <v>6542</v>
      </c>
      <c r="F1335" s="282" t="s">
        <v>6543</v>
      </c>
      <c r="G1335" s="282" t="s">
        <v>6544</v>
      </c>
      <c r="J1335" s="282" t="s">
        <v>1550</v>
      </c>
    </row>
    <row r="1336" spans="1:10" ht="14.4" hidden="1">
      <c r="A1336" s="380" t="s">
        <v>1196</v>
      </c>
      <c r="B1336" s="380" t="s">
        <v>1202</v>
      </c>
      <c r="C1336" s="381" t="s">
        <v>6545</v>
      </c>
      <c r="D1336" s="380" t="s">
        <v>6546</v>
      </c>
      <c r="E1336" s="382" t="s">
        <v>6547</v>
      </c>
      <c r="F1336" s="282" t="s">
        <v>6548</v>
      </c>
      <c r="G1336" s="282" t="s">
        <v>6544</v>
      </c>
      <c r="J1336" s="282" t="s">
        <v>1550</v>
      </c>
    </row>
    <row r="1337" spans="1:10" ht="14.4" hidden="1">
      <c r="A1337" s="380" t="s">
        <v>1196</v>
      </c>
      <c r="B1337" s="380" t="s">
        <v>1202</v>
      </c>
      <c r="C1337" s="381" t="s">
        <v>6549</v>
      </c>
      <c r="D1337" s="380" t="s">
        <v>6550</v>
      </c>
      <c r="E1337" s="382" t="s">
        <v>6551</v>
      </c>
      <c r="F1337" s="282" t="s">
        <v>6552</v>
      </c>
      <c r="G1337" s="282" t="s">
        <v>6544</v>
      </c>
      <c r="J1337" s="282" t="s">
        <v>1550</v>
      </c>
    </row>
    <row r="1338" spans="1:10" ht="14.4" hidden="1">
      <c r="A1338" s="380" t="s">
        <v>6553</v>
      </c>
      <c r="B1338" s="380" t="s">
        <v>6553</v>
      </c>
      <c r="C1338" s="381" t="s">
        <v>6554</v>
      </c>
      <c r="D1338" s="380" t="s">
        <v>6555</v>
      </c>
      <c r="E1338" s="382" t="s">
        <v>6556</v>
      </c>
      <c r="F1338" s="282" t="s">
        <v>6557</v>
      </c>
      <c r="G1338" s="282" t="s">
        <v>2547</v>
      </c>
      <c r="H1338" s="282" t="s">
        <v>1548</v>
      </c>
      <c r="I1338" s="385" t="s">
        <v>6558</v>
      </c>
      <c r="J1338" s="282" t="s">
        <v>1550</v>
      </c>
    </row>
    <row r="1339" spans="1:10" ht="14.4" hidden="1">
      <c r="A1339" s="380" t="s">
        <v>6553</v>
      </c>
      <c r="B1339" s="380" t="s">
        <v>6553</v>
      </c>
      <c r="C1339" s="381" t="s">
        <v>6559</v>
      </c>
      <c r="D1339" s="380" t="s">
        <v>6560</v>
      </c>
      <c r="E1339" s="382" t="s">
        <v>6561</v>
      </c>
      <c r="F1339" s="282" t="s">
        <v>6562</v>
      </c>
      <c r="G1339" s="282" t="s">
        <v>6317</v>
      </c>
      <c r="J1339" s="282" t="s">
        <v>1550</v>
      </c>
    </row>
  </sheetData>
  <autoFilter ref="A1:J1339" xr:uid="{A1586865-B01C-4412-BEE6-1D9CAA5171B9}">
    <filterColumn colId="5">
      <filters>
        <filter val="NHS Birmingham and Solihull ICB"/>
      </filters>
    </filterColumn>
  </autoFilter>
  <pageMargins left="0.7" right="0.7" top="0.75" bottom="0.75" header="0.3" footer="0.3"/>
  <pageSetup paperSize="9" orientation="portrait" r:id="rId1"/>
  <headerFooter>
    <oddFooter>&amp;C_x000D_&amp;1#&amp;"Calibri"&amp;10&amp;K000000 OFFICIAL</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03514-29FF-4385-A411-C4AB96CB7EBD}">
  <sheetPr>
    <tabColor rgb="FFFFCCFF"/>
  </sheetPr>
  <dimension ref="A1:H88"/>
  <sheetViews>
    <sheetView workbookViewId="0">
      <selection activeCell="E29" sqref="E29"/>
    </sheetView>
  </sheetViews>
  <sheetFormatPr defaultRowHeight="14.4"/>
  <cols>
    <col min="1" max="1" width="13.88671875" bestFit="1" customWidth="1"/>
    <col min="2" max="2" width="14.88671875" bestFit="1" customWidth="1"/>
    <col min="3" max="3" width="78.6640625" bestFit="1" customWidth="1"/>
    <col min="4" max="4" width="22.109375" bestFit="1" customWidth="1"/>
    <col min="5" max="5" width="80" customWidth="1"/>
    <col min="6" max="6" width="51.33203125" customWidth="1"/>
    <col min="7" max="7" width="12.109375" bestFit="1" customWidth="1"/>
    <col min="8" max="8" width="57.109375" bestFit="1" customWidth="1"/>
  </cols>
  <sheetData>
    <row r="1" spans="1:8" s="395" customFormat="1" ht="18">
      <c r="A1" s="391" t="s">
        <v>6563</v>
      </c>
      <c r="B1" s="391" t="s">
        <v>6564</v>
      </c>
      <c r="C1" s="392" t="s">
        <v>6565</v>
      </c>
      <c r="D1" s="393"/>
      <c r="E1" s="394" t="s">
        <v>6566</v>
      </c>
      <c r="F1" s="393" t="s">
        <v>6567</v>
      </c>
      <c r="G1" s="393" t="s">
        <v>1538</v>
      </c>
      <c r="H1" s="393" t="s">
        <v>6568</v>
      </c>
    </row>
    <row r="2" spans="1:8">
      <c r="A2" s="396" t="s">
        <v>6569</v>
      </c>
      <c r="B2" s="396" t="s">
        <v>6569</v>
      </c>
      <c r="C2" s="397" t="s">
        <v>6570</v>
      </c>
      <c r="D2" s="76" t="s">
        <v>6571</v>
      </c>
      <c r="E2" t="s">
        <v>6572</v>
      </c>
      <c r="F2" t="s">
        <v>6573</v>
      </c>
    </row>
    <row r="3" spans="1:8">
      <c r="A3" s="396" t="s">
        <v>6569</v>
      </c>
      <c r="B3" s="396" t="s">
        <v>6569</v>
      </c>
      <c r="C3" s="397" t="s">
        <v>6574</v>
      </c>
      <c r="D3" s="76" t="s">
        <v>6575</v>
      </c>
      <c r="E3" t="s">
        <v>6576</v>
      </c>
      <c r="F3" t="s">
        <v>6573</v>
      </c>
    </row>
    <row r="4" spans="1:8">
      <c r="A4" s="396" t="s">
        <v>6569</v>
      </c>
      <c r="B4" s="396" t="s">
        <v>6569</v>
      </c>
      <c r="C4" s="397" t="s">
        <v>6577</v>
      </c>
      <c r="D4" s="76" t="s">
        <v>6578</v>
      </c>
      <c r="E4" t="s">
        <v>6579</v>
      </c>
      <c r="F4" t="s">
        <v>6573</v>
      </c>
    </row>
    <row r="5" spans="1:8">
      <c r="A5" s="396" t="s">
        <v>6569</v>
      </c>
      <c r="B5" s="396" t="s">
        <v>6569</v>
      </c>
      <c r="C5" s="397" t="s">
        <v>6580</v>
      </c>
      <c r="D5" s="76" t="s">
        <v>6581</v>
      </c>
      <c r="E5" t="s">
        <v>6582</v>
      </c>
      <c r="F5" t="s">
        <v>6573</v>
      </c>
    </row>
    <row r="6" spans="1:8">
      <c r="A6" s="396" t="s">
        <v>6569</v>
      </c>
      <c r="B6" s="396" t="s">
        <v>6569</v>
      </c>
      <c r="C6" s="397" t="s">
        <v>6583</v>
      </c>
      <c r="D6" s="76" t="s">
        <v>6584</v>
      </c>
      <c r="E6" t="s">
        <v>6585</v>
      </c>
      <c r="F6" t="s">
        <v>6573</v>
      </c>
    </row>
    <row r="7" spans="1:8">
      <c r="A7" s="396" t="s">
        <v>6569</v>
      </c>
      <c r="B7" s="396" t="s">
        <v>6569</v>
      </c>
      <c r="C7" s="397" t="s">
        <v>6586</v>
      </c>
      <c r="D7" s="76" t="s">
        <v>6587</v>
      </c>
      <c r="E7" t="s">
        <v>6588</v>
      </c>
      <c r="F7" t="s">
        <v>6573</v>
      </c>
    </row>
    <row r="8" spans="1:8">
      <c r="A8" s="396" t="s">
        <v>6569</v>
      </c>
      <c r="B8" s="396" t="s">
        <v>6569</v>
      </c>
      <c r="C8" s="397" t="s">
        <v>6589</v>
      </c>
      <c r="D8" s="76" t="s">
        <v>6590</v>
      </c>
      <c r="E8" t="s">
        <v>6591</v>
      </c>
      <c r="F8" t="s">
        <v>6573</v>
      </c>
    </row>
    <row r="9" spans="1:8">
      <c r="A9" s="396" t="s">
        <v>6569</v>
      </c>
      <c r="B9" s="396" t="s">
        <v>6569</v>
      </c>
      <c r="C9" s="397" t="s">
        <v>6592</v>
      </c>
      <c r="D9" s="76" t="s">
        <v>6593</v>
      </c>
      <c r="E9" t="s">
        <v>6594</v>
      </c>
      <c r="F9" t="s">
        <v>6595</v>
      </c>
    </row>
    <row r="10" spans="1:8">
      <c r="A10" s="396" t="s">
        <v>6569</v>
      </c>
      <c r="B10" s="396" t="s">
        <v>6569</v>
      </c>
      <c r="C10" s="397" t="s">
        <v>6596</v>
      </c>
      <c r="D10" s="76" t="s">
        <v>6597</v>
      </c>
      <c r="E10" t="s">
        <v>6598</v>
      </c>
      <c r="F10" t="s">
        <v>6595</v>
      </c>
    </row>
    <row r="11" spans="1:8">
      <c r="A11" s="396" t="s">
        <v>6569</v>
      </c>
      <c r="B11" s="396" t="s">
        <v>6569</v>
      </c>
      <c r="C11" s="397" t="s">
        <v>6599</v>
      </c>
      <c r="D11" s="76" t="s">
        <v>6600</v>
      </c>
      <c r="E11" t="s">
        <v>6601</v>
      </c>
      <c r="F11" t="s">
        <v>6602</v>
      </c>
    </row>
    <row r="12" spans="1:8">
      <c r="A12" s="396" t="s">
        <v>6569</v>
      </c>
      <c r="B12" s="396" t="s">
        <v>6569</v>
      </c>
      <c r="C12" s="397" t="s">
        <v>6603</v>
      </c>
      <c r="D12" s="76" t="s">
        <v>6604</v>
      </c>
      <c r="E12" t="s">
        <v>6605</v>
      </c>
      <c r="F12" t="s">
        <v>6602</v>
      </c>
    </row>
    <row r="13" spans="1:8">
      <c r="A13" s="396" t="s">
        <v>6569</v>
      </c>
      <c r="B13" s="396" t="s">
        <v>6569</v>
      </c>
      <c r="C13" s="397" t="s">
        <v>6606</v>
      </c>
      <c r="D13" s="76" t="s">
        <v>6607</v>
      </c>
      <c r="E13" t="s">
        <v>6608</v>
      </c>
      <c r="F13" t="s">
        <v>6602</v>
      </c>
    </row>
    <row r="14" spans="1:8">
      <c r="A14" s="396" t="s">
        <v>6569</v>
      </c>
      <c r="B14" s="396" t="s">
        <v>6569</v>
      </c>
      <c r="C14" s="397" t="s">
        <v>6609</v>
      </c>
      <c r="D14" s="76" t="s">
        <v>6610</v>
      </c>
      <c r="E14" t="s">
        <v>6611</v>
      </c>
      <c r="F14" t="s">
        <v>6602</v>
      </c>
    </row>
    <row r="15" spans="1:8">
      <c r="A15" s="396" t="s">
        <v>6569</v>
      </c>
      <c r="B15" s="396" t="s">
        <v>6569</v>
      </c>
      <c r="C15" s="397" t="s">
        <v>6612</v>
      </c>
      <c r="D15" s="76" t="s">
        <v>6613</v>
      </c>
      <c r="E15" t="s">
        <v>6614</v>
      </c>
      <c r="F15" t="s">
        <v>6602</v>
      </c>
    </row>
    <row r="16" spans="1:8">
      <c r="A16" s="396" t="s">
        <v>6569</v>
      </c>
      <c r="B16" s="396" t="s">
        <v>6569</v>
      </c>
      <c r="C16" s="397" t="s">
        <v>6615</v>
      </c>
      <c r="D16" s="76" t="s">
        <v>6616</v>
      </c>
      <c r="E16" t="s">
        <v>6617</v>
      </c>
      <c r="F16" t="s">
        <v>6602</v>
      </c>
    </row>
    <row r="17" spans="1:8">
      <c r="A17" s="398" t="s">
        <v>1189</v>
      </c>
      <c r="B17" s="398" t="s">
        <v>1194</v>
      </c>
      <c r="C17" s="397" t="s">
        <v>6618</v>
      </c>
      <c r="D17" s="399" t="s">
        <v>6619</v>
      </c>
      <c r="E17" t="s">
        <v>6620</v>
      </c>
      <c r="F17" t="s">
        <v>6602</v>
      </c>
      <c r="G17" s="380" t="s">
        <v>5725</v>
      </c>
      <c r="H17" s="389" t="s">
        <v>5727</v>
      </c>
    </row>
    <row r="18" spans="1:8">
      <c r="A18" s="396" t="s">
        <v>6569</v>
      </c>
      <c r="B18" s="396" t="s">
        <v>6569</v>
      </c>
      <c r="C18" s="397" t="s">
        <v>6621</v>
      </c>
      <c r="D18" s="76" t="s">
        <v>6622</v>
      </c>
      <c r="E18" t="s">
        <v>6623</v>
      </c>
      <c r="F18" t="s">
        <v>6602</v>
      </c>
    </row>
    <row r="19" spans="1:8">
      <c r="A19" s="398" t="s">
        <v>1189</v>
      </c>
      <c r="B19" s="398" t="s">
        <v>1194</v>
      </c>
      <c r="C19" s="397" t="s">
        <v>6624</v>
      </c>
      <c r="D19" s="399" t="s">
        <v>6625</v>
      </c>
      <c r="E19" t="s">
        <v>6626</v>
      </c>
      <c r="F19" t="s">
        <v>6602</v>
      </c>
      <c r="G19" s="380" t="s">
        <v>5765</v>
      </c>
      <c r="H19" s="389" t="s">
        <v>5767</v>
      </c>
    </row>
    <row r="20" spans="1:8">
      <c r="A20" s="396" t="s">
        <v>6569</v>
      </c>
      <c r="B20" s="396" t="s">
        <v>6569</v>
      </c>
      <c r="C20" s="397" t="s">
        <v>6627</v>
      </c>
      <c r="D20" s="76" t="s">
        <v>6628</v>
      </c>
      <c r="E20" t="s">
        <v>6629</v>
      </c>
      <c r="F20" t="s">
        <v>6602</v>
      </c>
    </row>
    <row r="21" spans="1:8">
      <c r="A21" s="396" t="s">
        <v>6569</v>
      </c>
      <c r="B21" s="396" t="s">
        <v>6569</v>
      </c>
      <c r="C21" s="397" t="s">
        <v>6630</v>
      </c>
      <c r="D21" s="76" t="s">
        <v>6631</v>
      </c>
      <c r="E21" t="s">
        <v>6632</v>
      </c>
      <c r="F21" t="s">
        <v>6602</v>
      </c>
    </row>
    <row r="22" spans="1:8">
      <c r="A22" s="396" t="s">
        <v>6569</v>
      </c>
      <c r="B22" s="396" t="s">
        <v>6569</v>
      </c>
      <c r="C22" s="397" t="s">
        <v>6633</v>
      </c>
      <c r="D22" s="76" t="s">
        <v>6634</v>
      </c>
      <c r="E22" t="s">
        <v>6635</v>
      </c>
      <c r="F22" t="s">
        <v>6602</v>
      </c>
    </row>
    <row r="23" spans="1:8">
      <c r="A23" s="396" t="s">
        <v>6569</v>
      </c>
      <c r="B23" s="396" t="s">
        <v>6569</v>
      </c>
      <c r="C23" s="397" t="s">
        <v>6636</v>
      </c>
      <c r="D23" s="76" t="s">
        <v>6637</v>
      </c>
      <c r="E23" t="s">
        <v>6638</v>
      </c>
      <c r="F23" t="s">
        <v>6602</v>
      </c>
    </row>
    <row r="24" spans="1:8">
      <c r="A24" s="396" t="s">
        <v>6569</v>
      </c>
      <c r="B24" s="396" t="s">
        <v>6569</v>
      </c>
      <c r="C24" s="397" t="s">
        <v>6639</v>
      </c>
      <c r="D24" s="76" t="s">
        <v>6640</v>
      </c>
      <c r="E24" t="s">
        <v>6641</v>
      </c>
      <c r="F24" t="s">
        <v>6602</v>
      </c>
    </row>
    <row r="25" spans="1:8">
      <c r="A25" s="396" t="s">
        <v>6569</v>
      </c>
      <c r="B25" s="396" t="s">
        <v>6569</v>
      </c>
      <c r="C25" s="397" t="s">
        <v>6642</v>
      </c>
      <c r="D25" s="76" t="s">
        <v>6643</v>
      </c>
      <c r="E25" t="s">
        <v>6644</v>
      </c>
      <c r="F25" t="s">
        <v>6602</v>
      </c>
    </row>
    <row r="26" spans="1:8">
      <c r="A26" s="396" t="s">
        <v>6569</v>
      </c>
      <c r="B26" s="396" t="s">
        <v>6569</v>
      </c>
      <c r="C26" s="397" t="s">
        <v>6645</v>
      </c>
      <c r="D26" s="76" t="s">
        <v>6646</v>
      </c>
      <c r="E26" t="s">
        <v>6647</v>
      </c>
      <c r="F26" t="s">
        <v>6602</v>
      </c>
    </row>
    <row r="27" spans="1:8">
      <c r="A27" s="396" t="s">
        <v>6569</v>
      </c>
      <c r="B27" s="396" t="s">
        <v>6569</v>
      </c>
      <c r="C27" s="397" t="s">
        <v>6648</v>
      </c>
      <c r="D27" s="76" t="s">
        <v>6649</v>
      </c>
      <c r="E27" t="s">
        <v>6650</v>
      </c>
      <c r="F27" t="s">
        <v>6602</v>
      </c>
    </row>
    <row r="28" spans="1:8">
      <c r="A28" s="396" t="s">
        <v>6569</v>
      </c>
      <c r="B28" s="396" t="s">
        <v>6569</v>
      </c>
      <c r="C28" s="397" t="s">
        <v>6651</v>
      </c>
      <c r="D28" s="76" t="s">
        <v>6652</v>
      </c>
      <c r="E28" t="s">
        <v>6653</v>
      </c>
      <c r="F28" t="s">
        <v>6602</v>
      </c>
    </row>
    <row r="29" spans="1:8">
      <c r="A29" s="396" t="s">
        <v>6569</v>
      </c>
      <c r="B29" s="396" t="s">
        <v>6569</v>
      </c>
      <c r="C29" s="397" t="s">
        <v>6654</v>
      </c>
      <c r="D29" s="76" t="s">
        <v>6655</v>
      </c>
      <c r="E29" t="s">
        <v>6656</v>
      </c>
      <c r="F29" t="s">
        <v>6602</v>
      </c>
    </row>
    <row r="30" spans="1:8">
      <c r="A30" s="396" t="s">
        <v>6569</v>
      </c>
      <c r="B30" s="396" t="s">
        <v>6569</v>
      </c>
      <c r="C30" s="397" t="s">
        <v>6657</v>
      </c>
      <c r="D30" s="76" t="s">
        <v>6658</v>
      </c>
      <c r="E30" t="s">
        <v>6659</v>
      </c>
      <c r="F30" t="s">
        <v>6602</v>
      </c>
    </row>
    <row r="31" spans="1:8">
      <c r="A31" s="396" t="s">
        <v>6569</v>
      </c>
      <c r="B31" s="396" t="s">
        <v>6569</v>
      </c>
      <c r="C31" s="397" t="s">
        <v>6660</v>
      </c>
      <c r="D31" s="76" t="s">
        <v>6661</v>
      </c>
      <c r="E31" t="s">
        <v>6662</v>
      </c>
      <c r="F31" t="s">
        <v>6602</v>
      </c>
    </row>
    <row r="32" spans="1:8">
      <c r="A32" s="396" t="s">
        <v>6569</v>
      </c>
      <c r="B32" s="396" t="s">
        <v>6569</v>
      </c>
      <c r="C32" s="397" t="s">
        <v>6663</v>
      </c>
      <c r="D32" s="76" t="s">
        <v>6664</v>
      </c>
      <c r="E32" t="s">
        <v>6665</v>
      </c>
      <c r="F32" t="s">
        <v>6602</v>
      </c>
    </row>
    <row r="33" spans="1:8">
      <c r="A33" s="398" t="s">
        <v>1189</v>
      </c>
      <c r="B33" s="398" t="s">
        <v>1194</v>
      </c>
      <c r="C33" s="397" t="s">
        <v>6666</v>
      </c>
      <c r="D33" s="399" t="s">
        <v>6667</v>
      </c>
      <c r="E33" t="s">
        <v>6668</v>
      </c>
      <c r="F33" t="s">
        <v>6602</v>
      </c>
      <c r="G33" s="380" t="s">
        <v>5982</v>
      </c>
      <c r="H33" s="389" t="s">
        <v>5984</v>
      </c>
    </row>
    <row r="34" spans="1:8">
      <c r="A34" s="396" t="s">
        <v>6569</v>
      </c>
      <c r="B34" s="396" t="s">
        <v>6569</v>
      </c>
      <c r="C34" s="397" t="s">
        <v>6669</v>
      </c>
      <c r="D34" s="76" t="s">
        <v>6670</v>
      </c>
      <c r="E34" t="s">
        <v>6671</v>
      </c>
      <c r="F34" t="s">
        <v>6602</v>
      </c>
    </row>
    <row r="35" spans="1:8">
      <c r="A35" s="396" t="s">
        <v>6569</v>
      </c>
      <c r="B35" s="396" t="s">
        <v>6569</v>
      </c>
      <c r="C35" s="397" t="s">
        <v>6672</v>
      </c>
      <c r="D35" s="76" t="s">
        <v>6673</v>
      </c>
      <c r="E35" t="s">
        <v>6674</v>
      </c>
      <c r="F35" t="s">
        <v>6602</v>
      </c>
    </row>
    <row r="36" spans="1:8">
      <c r="A36" s="396" t="s">
        <v>6569</v>
      </c>
      <c r="B36" s="396" t="s">
        <v>6569</v>
      </c>
      <c r="C36" s="397" t="s">
        <v>6675</v>
      </c>
      <c r="D36" s="76" t="s">
        <v>6676</v>
      </c>
      <c r="E36" t="s">
        <v>6677</v>
      </c>
      <c r="F36" t="s">
        <v>6602</v>
      </c>
    </row>
    <row r="37" spans="1:8">
      <c r="A37" s="396" t="s">
        <v>6569</v>
      </c>
      <c r="B37" s="396" t="s">
        <v>6569</v>
      </c>
      <c r="C37" s="397" t="s">
        <v>6678</v>
      </c>
      <c r="D37" s="76" t="s">
        <v>6679</v>
      </c>
      <c r="E37" t="s">
        <v>6680</v>
      </c>
      <c r="F37" t="s">
        <v>6602</v>
      </c>
    </row>
    <row r="38" spans="1:8">
      <c r="A38" s="396" t="s">
        <v>6569</v>
      </c>
      <c r="B38" s="396" t="s">
        <v>6569</v>
      </c>
      <c r="C38" s="397" t="s">
        <v>6681</v>
      </c>
      <c r="D38" s="76" t="s">
        <v>6682</v>
      </c>
      <c r="E38" t="s">
        <v>6683</v>
      </c>
      <c r="F38" t="s">
        <v>6602</v>
      </c>
    </row>
    <row r="39" spans="1:8">
      <c r="A39" s="396" t="s">
        <v>6569</v>
      </c>
      <c r="B39" s="396" t="s">
        <v>6569</v>
      </c>
      <c r="C39" s="397" t="s">
        <v>6684</v>
      </c>
      <c r="D39" s="76" t="s">
        <v>6685</v>
      </c>
      <c r="E39" t="s">
        <v>6686</v>
      </c>
      <c r="F39" t="s">
        <v>6602</v>
      </c>
    </row>
    <row r="40" spans="1:8">
      <c r="A40" s="396" t="s">
        <v>6569</v>
      </c>
      <c r="B40" s="396" t="s">
        <v>6569</v>
      </c>
      <c r="C40" s="397" t="s">
        <v>6687</v>
      </c>
      <c r="D40" s="76" t="s">
        <v>6688</v>
      </c>
      <c r="E40" t="s">
        <v>6689</v>
      </c>
      <c r="F40" t="s">
        <v>6602</v>
      </c>
    </row>
    <row r="41" spans="1:8">
      <c r="A41" s="396" t="s">
        <v>6569</v>
      </c>
      <c r="B41" s="396" t="s">
        <v>6569</v>
      </c>
      <c r="C41" s="397" t="s">
        <v>6690</v>
      </c>
      <c r="D41" s="76" t="s">
        <v>6691</v>
      </c>
      <c r="E41" t="s">
        <v>6692</v>
      </c>
      <c r="F41" t="s">
        <v>6602</v>
      </c>
    </row>
    <row r="42" spans="1:8">
      <c r="A42" s="396" t="s">
        <v>6569</v>
      </c>
      <c r="B42" s="396" t="s">
        <v>6569</v>
      </c>
      <c r="C42" s="397" t="s">
        <v>6693</v>
      </c>
      <c r="D42" s="76" t="s">
        <v>6694</v>
      </c>
      <c r="E42" t="s">
        <v>6695</v>
      </c>
      <c r="F42" t="s">
        <v>6602</v>
      </c>
    </row>
    <row r="43" spans="1:8">
      <c r="A43" s="396" t="s">
        <v>6569</v>
      </c>
      <c r="B43" s="396" t="s">
        <v>6569</v>
      </c>
      <c r="C43" s="397" t="s">
        <v>6696</v>
      </c>
      <c r="D43" s="76" t="s">
        <v>6697</v>
      </c>
      <c r="E43" t="s">
        <v>6698</v>
      </c>
      <c r="F43" t="s">
        <v>6602</v>
      </c>
    </row>
    <row r="44" spans="1:8">
      <c r="A44" s="398" t="s">
        <v>1174</v>
      </c>
      <c r="B44" s="398" t="s">
        <v>1172</v>
      </c>
      <c r="C44" s="397" t="s">
        <v>6699</v>
      </c>
      <c r="D44" s="76" t="s">
        <v>6700</v>
      </c>
      <c r="E44" t="s">
        <v>6701</v>
      </c>
      <c r="F44" t="s">
        <v>6602</v>
      </c>
      <c r="G44" s="380" t="s">
        <v>1982</v>
      </c>
      <c r="H44" s="282" t="s">
        <v>1984</v>
      </c>
    </row>
    <row r="45" spans="1:8">
      <c r="A45" s="396" t="s">
        <v>6569</v>
      </c>
      <c r="B45" s="396" t="s">
        <v>6569</v>
      </c>
      <c r="C45" s="397" t="s">
        <v>6702</v>
      </c>
      <c r="D45" s="76" t="s">
        <v>6703</v>
      </c>
      <c r="E45" t="s">
        <v>6704</v>
      </c>
      <c r="F45" t="s">
        <v>6602</v>
      </c>
    </row>
    <row r="46" spans="1:8">
      <c r="A46" s="396" t="s">
        <v>6569</v>
      </c>
      <c r="B46" s="396" t="s">
        <v>6569</v>
      </c>
      <c r="C46" s="397" t="s">
        <v>6705</v>
      </c>
      <c r="D46" s="76" t="s">
        <v>6706</v>
      </c>
      <c r="E46" t="s">
        <v>6707</v>
      </c>
      <c r="F46" t="s">
        <v>6602</v>
      </c>
    </row>
    <row r="47" spans="1:8">
      <c r="A47" s="396" t="s">
        <v>6569</v>
      </c>
      <c r="B47" s="396" t="s">
        <v>6569</v>
      </c>
      <c r="C47" s="397" t="s">
        <v>6708</v>
      </c>
      <c r="D47" s="76" t="s">
        <v>6709</v>
      </c>
      <c r="E47" t="s">
        <v>6710</v>
      </c>
      <c r="F47" t="s">
        <v>6602</v>
      </c>
    </row>
    <row r="48" spans="1:8">
      <c r="A48" s="396" t="s">
        <v>6569</v>
      </c>
      <c r="B48" s="396" t="s">
        <v>6569</v>
      </c>
      <c r="C48" s="397" t="s">
        <v>6711</v>
      </c>
      <c r="D48" s="76" t="s">
        <v>6712</v>
      </c>
      <c r="E48" t="s">
        <v>6713</v>
      </c>
      <c r="F48" t="s">
        <v>6602</v>
      </c>
    </row>
    <row r="49" spans="1:8">
      <c r="A49" s="396" t="s">
        <v>6569</v>
      </c>
      <c r="B49" s="396" t="s">
        <v>6569</v>
      </c>
      <c r="C49" s="397" t="s">
        <v>6714</v>
      </c>
      <c r="D49" s="76" t="s">
        <v>6715</v>
      </c>
      <c r="E49" t="s">
        <v>6716</v>
      </c>
      <c r="F49" t="s">
        <v>6602</v>
      </c>
    </row>
    <row r="50" spans="1:8">
      <c r="A50" s="396" t="s">
        <v>6569</v>
      </c>
      <c r="B50" s="396" t="s">
        <v>6569</v>
      </c>
      <c r="C50" s="397" t="s">
        <v>6717</v>
      </c>
      <c r="D50" s="76" t="s">
        <v>6718</v>
      </c>
      <c r="E50" t="s">
        <v>6719</v>
      </c>
      <c r="F50" t="s">
        <v>6602</v>
      </c>
    </row>
    <row r="51" spans="1:8">
      <c r="A51" s="396" t="s">
        <v>6569</v>
      </c>
      <c r="B51" s="396" t="s">
        <v>6569</v>
      </c>
      <c r="C51" s="397" t="s">
        <v>6720</v>
      </c>
      <c r="D51" s="76" t="s">
        <v>6721</v>
      </c>
      <c r="E51" t="s">
        <v>6722</v>
      </c>
      <c r="F51" t="s">
        <v>6602</v>
      </c>
    </row>
    <row r="52" spans="1:8">
      <c r="A52" s="396" t="s">
        <v>6569</v>
      </c>
      <c r="B52" s="396" t="s">
        <v>6569</v>
      </c>
      <c r="C52" s="397" t="s">
        <v>6723</v>
      </c>
      <c r="D52" s="76" t="s">
        <v>6724</v>
      </c>
      <c r="E52" t="s">
        <v>6725</v>
      </c>
      <c r="F52" t="s">
        <v>6602</v>
      </c>
    </row>
    <row r="53" spans="1:8">
      <c r="A53" s="398" t="s">
        <v>1189</v>
      </c>
      <c r="B53" s="398" t="s">
        <v>1194</v>
      </c>
      <c r="C53" s="397" t="s">
        <v>6726</v>
      </c>
      <c r="D53" s="76" t="s">
        <v>6727</v>
      </c>
      <c r="E53" t="s">
        <v>6728</v>
      </c>
      <c r="F53" t="s">
        <v>6602</v>
      </c>
      <c r="G53" s="380" t="s">
        <v>5565</v>
      </c>
      <c r="H53" s="389" t="s">
        <v>5567</v>
      </c>
    </row>
    <row r="54" spans="1:8">
      <c r="A54" s="396" t="s">
        <v>6569</v>
      </c>
      <c r="B54" s="396" t="s">
        <v>6569</v>
      </c>
      <c r="C54" s="397" t="s">
        <v>6729</v>
      </c>
      <c r="D54" s="76" t="s">
        <v>6730</v>
      </c>
      <c r="E54" t="s">
        <v>6731</v>
      </c>
      <c r="F54" t="s">
        <v>6602</v>
      </c>
    </row>
    <row r="55" spans="1:8">
      <c r="A55" s="396" t="s">
        <v>6569</v>
      </c>
      <c r="B55" s="396" t="s">
        <v>6569</v>
      </c>
      <c r="C55" s="397" t="s">
        <v>6732</v>
      </c>
      <c r="D55" s="76" t="s">
        <v>6733</v>
      </c>
      <c r="E55" t="s">
        <v>6734</v>
      </c>
      <c r="F55" t="s">
        <v>6602</v>
      </c>
    </row>
    <row r="56" spans="1:8">
      <c r="A56" s="396" t="s">
        <v>6569</v>
      </c>
      <c r="B56" s="396" t="s">
        <v>6569</v>
      </c>
      <c r="C56" s="397" t="s">
        <v>6735</v>
      </c>
      <c r="D56" s="76" t="s">
        <v>6736</v>
      </c>
      <c r="E56" t="s">
        <v>6737</v>
      </c>
      <c r="F56" t="s">
        <v>6602</v>
      </c>
    </row>
    <row r="57" spans="1:8">
      <c r="A57" s="396" t="s">
        <v>6569</v>
      </c>
      <c r="B57" s="396" t="s">
        <v>6569</v>
      </c>
      <c r="C57" s="397" t="s">
        <v>6738</v>
      </c>
      <c r="D57" s="76" t="s">
        <v>6739</v>
      </c>
      <c r="E57" t="s">
        <v>6740</v>
      </c>
      <c r="F57" t="s">
        <v>6602</v>
      </c>
    </row>
    <row r="58" spans="1:8">
      <c r="A58" s="396" t="s">
        <v>6569</v>
      </c>
      <c r="B58" s="396" t="s">
        <v>6569</v>
      </c>
      <c r="C58" s="397" t="s">
        <v>6741</v>
      </c>
      <c r="D58" s="76" t="s">
        <v>6742</v>
      </c>
      <c r="E58" t="s">
        <v>6743</v>
      </c>
      <c r="F58" t="s">
        <v>6602</v>
      </c>
    </row>
    <row r="59" spans="1:8">
      <c r="A59" s="396" t="s">
        <v>6569</v>
      </c>
      <c r="B59" s="396" t="s">
        <v>6569</v>
      </c>
      <c r="C59" s="397" t="s">
        <v>6744</v>
      </c>
      <c r="D59" s="76" t="s">
        <v>6745</v>
      </c>
      <c r="E59" t="s">
        <v>6746</v>
      </c>
      <c r="F59" t="s">
        <v>6602</v>
      </c>
    </row>
    <row r="60" spans="1:8">
      <c r="A60" s="396" t="s">
        <v>6569</v>
      </c>
      <c r="B60" s="396" t="s">
        <v>6569</v>
      </c>
      <c r="C60" s="397" t="s">
        <v>6747</v>
      </c>
      <c r="D60" s="76" t="s">
        <v>6748</v>
      </c>
      <c r="E60" t="s">
        <v>6749</v>
      </c>
      <c r="F60" t="s">
        <v>6602</v>
      </c>
    </row>
    <row r="61" spans="1:8">
      <c r="A61" s="396" t="s">
        <v>6569</v>
      </c>
      <c r="B61" s="396" t="s">
        <v>6569</v>
      </c>
      <c r="C61" s="397" t="s">
        <v>6750</v>
      </c>
      <c r="D61" s="76" t="s">
        <v>6751</v>
      </c>
      <c r="E61" t="s">
        <v>6752</v>
      </c>
      <c r="F61" t="s">
        <v>6602</v>
      </c>
    </row>
    <row r="62" spans="1:8">
      <c r="A62" s="396" t="s">
        <v>6569</v>
      </c>
      <c r="B62" s="396" t="s">
        <v>6569</v>
      </c>
      <c r="C62" s="397" t="s">
        <v>6753</v>
      </c>
      <c r="D62" s="76" t="s">
        <v>6754</v>
      </c>
      <c r="E62" t="s">
        <v>6755</v>
      </c>
      <c r="F62" t="s">
        <v>6602</v>
      </c>
    </row>
    <row r="63" spans="1:8">
      <c r="A63" s="396" t="s">
        <v>6569</v>
      </c>
      <c r="B63" s="396" t="s">
        <v>6569</v>
      </c>
      <c r="C63" s="397" t="s">
        <v>6756</v>
      </c>
      <c r="D63" s="76" t="s">
        <v>6757</v>
      </c>
      <c r="E63" t="s">
        <v>6758</v>
      </c>
      <c r="F63" t="s">
        <v>6602</v>
      </c>
    </row>
    <row r="64" spans="1:8">
      <c r="A64" s="396" t="s">
        <v>6569</v>
      </c>
      <c r="B64" s="396" t="s">
        <v>6569</v>
      </c>
      <c r="C64" s="397" t="s">
        <v>6759</v>
      </c>
      <c r="D64" s="76" t="s">
        <v>6760</v>
      </c>
      <c r="E64" t="s">
        <v>6761</v>
      </c>
      <c r="F64" t="s">
        <v>6602</v>
      </c>
    </row>
    <row r="65" spans="1:8">
      <c r="A65" s="396" t="s">
        <v>6569</v>
      </c>
      <c r="B65" s="396" t="s">
        <v>6569</v>
      </c>
      <c r="C65" s="397" t="s">
        <v>6762</v>
      </c>
      <c r="D65" s="76" t="s">
        <v>6763</v>
      </c>
      <c r="E65" t="s">
        <v>6764</v>
      </c>
      <c r="F65" t="s">
        <v>6602</v>
      </c>
    </row>
    <row r="66" spans="1:8">
      <c r="A66" s="398" t="s">
        <v>1189</v>
      </c>
      <c r="B66" s="398" t="s">
        <v>1194</v>
      </c>
      <c r="C66" s="397" t="s">
        <v>6765</v>
      </c>
      <c r="D66" s="76" t="s">
        <v>6766</v>
      </c>
      <c r="E66" t="s">
        <v>6767</v>
      </c>
      <c r="F66" t="s">
        <v>6602</v>
      </c>
      <c r="G66" s="380" t="s">
        <v>5585</v>
      </c>
      <c r="H66" s="389" t="s">
        <v>5587</v>
      </c>
    </row>
    <row r="67" spans="1:8">
      <c r="A67" s="396" t="s">
        <v>6569</v>
      </c>
      <c r="B67" s="396" t="s">
        <v>6569</v>
      </c>
      <c r="C67" s="397" t="s">
        <v>6768</v>
      </c>
      <c r="D67" s="76" t="s">
        <v>6769</v>
      </c>
      <c r="E67" t="s">
        <v>6770</v>
      </c>
      <c r="F67" t="s">
        <v>6602</v>
      </c>
    </row>
    <row r="68" spans="1:8">
      <c r="A68" s="396" t="s">
        <v>6569</v>
      </c>
      <c r="B68" s="396" t="s">
        <v>6569</v>
      </c>
      <c r="C68" s="397" t="s">
        <v>6771</v>
      </c>
      <c r="D68" s="76" t="s">
        <v>6772</v>
      </c>
      <c r="E68" t="s">
        <v>6773</v>
      </c>
      <c r="F68" t="s">
        <v>6602</v>
      </c>
    </row>
    <row r="69" spans="1:8">
      <c r="A69" s="398" t="s">
        <v>1182</v>
      </c>
      <c r="B69" s="398" t="s">
        <v>1187</v>
      </c>
      <c r="C69" s="397" t="s">
        <v>6774</v>
      </c>
      <c r="D69" s="76" t="s">
        <v>6775</v>
      </c>
      <c r="E69" t="s">
        <v>6776</v>
      </c>
      <c r="F69" t="s">
        <v>6602</v>
      </c>
      <c r="G69" s="380" t="s">
        <v>4666</v>
      </c>
      <c r="H69" s="282" t="s">
        <v>4668</v>
      </c>
    </row>
    <row r="70" spans="1:8">
      <c r="A70" s="396" t="s">
        <v>6569</v>
      </c>
      <c r="B70" s="396" t="s">
        <v>6569</v>
      </c>
      <c r="C70" s="397" t="s">
        <v>6777</v>
      </c>
      <c r="D70" s="76" t="s">
        <v>6778</v>
      </c>
      <c r="E70" t="s">
        <v>6779</v>
      </c>
      <c r="F70" t="s">
        <v>6602</v>
      </c>
    </row>
    <row r="71" spans="1:8">
      <c r="A71" s="396" t="s">
        <v>6569</v>
      </c>
      <c r="B71" s="396" t="s">
        <v>6569</v>
      </c>
      <c r="C71" s="397" t="s">
        <v>6780</v>
      </c>
      <c r="D71" s="76" t="s">
        <v>6781</v>
      </c>
      <c r="E71" t="s">
        <v>6782</v>
      </c>
      <c r="F71" t="s">
        <v>6602</v>
      </c>
    </row>
    <row r="72" spans="1:8">
      <c r="A72" s="396" t="s">
        <v>6569</v>
      </c>
      <c r="B72" s="396" t="s">
        <v>6569</v>
      </c>
      <c r="C72" s="397" t="s">
        <v>6783</v>
      </c>
      <c r="D72" s="76" t="s">
        <v>6784</v>
      </c>
      <c r="E72" t="s">
        <v>6785</v>
      </c>
      <c r="F72" t="s">
        <v>6602</v>
      </c>
    </row>
    <row r="73" spans="1:8">
      <c r="A73" s="396" t="s">
        <v>6569</v>
      </c>
      <c r="B73" s="396" t="s">
        <v>6569</v>
      </c>
      <c r="C73" s="397" t="s">
        <v>6786</v>
      </c>
      <c r="D73" s="76" t="s">
        <v>6787</v>
      </c>
      <c r="E73" t="s">
        <v>6788</v>
      </c>
      <c r="F73" t="s">
        <v>6602</v>
      </c>
    </row>
    <row r="74" spans="1:8">
      <c r="A74" s="398" t="s">
        <v>1174</v>
      </c>
      <c r="B74" s="398" t="s">
        <v>1172</v>
      </c>
      <c r="C74" s="397" t="s">
        <v>6789</v>
      </c>
      <c r="D74" s="76" t="s">
        <v>6790</v>
      </c>
      <c r="E74" t="s">
        <v>6791</v>
      </c>
      <c r="F74" t="s">
        <v>6792</v>
      </c>
      <c r="G74" s="380" t="s">
        <v>1545</v>
      </c>
      <c r="H74" s="282" t="s">
        <v>1547</v>
      </c>
    </row>
    <row r="75" spans="1:8">
      <c r="A75" s="398" t="s">
        <v>1174</v>
      </c>
      <c r="B75" s="398" t="s">
        <v>1172</v>
      </c>
      <c r="C75" s="397" t="s">
        <v>6793</v>
      </c>
      <c r="D75" s="76" t="s">
        <v>6794</v>
      </c>
      <c r="E75" t="s">
        <v>6795</v>
      </c>
      <c r="F75" t="s">
        <v>6792</v>
      </c>
      <c r="G75" s="380" t="s">
        <v>1545</v>
      </c>
      <c r="H75" s="282" t="s">
        <v>1547</v>
      </c>
    </row>
    <row r="76" spans="1:8">
      <c r="A76" s="398" t="s">
        <v>1174</v>
      </c>
      <c r="B76" s="398" t="s">
        <v>1172</v>
      </c>
      <c r="C76" s="397" t="s">
        <v>6796</v>
      </c>
      <c r="D76" s="76" t="s">
        <v>6797</v>
      </c>
      <c r="E76" t="s">
        <v>6798</v>
      </c>
      <c r="F76" t="s">
        <v>6792</v>
      </c>
      <c r="G76" s="380" t="s">
        <v>1545</v>
      </c>
      <c r="H76" s="282" t="s">
        <v>1547</v>
      </c>
    </row>
    <row r="77" spans="1:8">
      <c r="A77" s="398" t="s">
        <v>1174</v>
      </c>
      <c r="B77" s="398" t="s">
        <v>1172</v>
      </c>
      <c r="C77" s="397" t="s">
        <v>6799</v>
      </c>
      <c r="D77" s="76" t="s">
        <v>6800</v>
      </c>
      <c r="E77" t="s">
        <v>6801</v>
      </c>
      <c r="F77" t="s">
        <v>6792</v>
      </c>
      <c r="G77" s="380" t="s">
        <v>1545</v>
      </c>
      <c r="H77" s="282" t="s">
        <v>1547</v>
      </c>
    </row>
    <row r="78" spans="1:8">
      <c r="A78" s="398" t="s">
        <v>1174</v>
      </c>
      <c r="B78" s="398" t="s">
        <v>1172</v>
      </c>
      <c r="C78" s="397" t="s">
        <v>6802</v>
      </c>
      <c r="D78" s="76" t="s">
        <v>6803</v>
      </c>
      <c r="E78" t="s">
        <v>6804</v>
      </c>
      <c r="F78" t="s">
        <v>6792</v>
      </c>
      <c r="G78" s="380" t="s">
        <v>1545</v>
      </c>
      <c r="H78" s="282" t="s">
        <v>1547</v>
      </c>
    </row>
    <row r="79" spans="1:8">
      <c r="A79" s="398" t="s">
        <v>1174</v>
      </c>
      <c r="B79" s="398" t="s">
        <v>1172</v>
      </c>
      <c r="C79" s="397" t="s">
        <v>6805</v>
      </c>
      <c r="D79" s="76" t="s">
        <v>6806</v>
      </c>
      <c r="E79" t="s">
        <v>6807</v>
      </c>
      <c r="F79" t="s">
        <v>6792</v>
      </c>
      <c r="G79" s="380" t="s">
        <v>1545</v>
      </c>
      <c r="H79" s="282" t="s">
        <v>1547</v>
      </c>
    </row>
    <row r="80" spans="1:8">
      <c r="A80" s="398" t="s">
        <v>1174</v>
      </c>
      <c r="B80" s="398" t="s">
        <v>1172</v>
      </c>
      <c r="C80" s="397" t="s">
        <v>6808</v>
      </c>
      <c r="D80" s="76" t="s">
        <v>6809</v>
      </c>
      <c r="E80" t="s">
        <v>6810</v>
      </c>
      <c r="F80" t="s">
        <v>6792</v>
      </c>
      <c r="G80" s="380" t="s">
        <v>1545</v>
      </c>
      <c r="H80" s="282" t="s">
        <v>1547</v>
      </c>
    </row>
    <row r="81" spans="1:8">
      <c r="A81" s="398" t="s">
        <v>1174</v>
      </c>
      <c r="B81" s="398" t="s">
        <v>1172</v>
      </c>
      <c r="C81" s="397" t="s">
        <v>6811</v>
      </c>
      <c r="D81" s="76" t="s">
        <v>6812</v>
      </c>
      <c r="E81" t="s">
        <v>6813</v>
      </c>
      <c r="F81" t="s">
        <v>6792</v>
      </c>
      <c r="G81" s="380" t="s">
        <v>1545</v>
      </c>
      <c r="H81" s="282" t="s">
        <v>1547</v>
      </c>
    </row>
    <row r="82" spans="1:8">
      <c r="A82" s="396" t="s">
        <v>6569</v>
      </c>
      <c r="B82" s="396" t="s">
        <v>6569</v>
      </c>
      <c r="C82" s="397" t="s">
        <v>6814</v>
      </c>
      <c r="D82" s="76" t="s">
        <v>6815</v>
      </c>
      <c r="E82" t="s">
        <v>6816</v>
      </c>
      <c r="F82" t="s">
        <v>6817</v>
      </c>
    </row>
    <row r="83" spans="1:8">
      <c r="A83" s="398" t="s">
        <v>1174</v>
      </c>
      <c r="B83" s="398" t="s">
        <v>1172</v>
      </c>
      <c r="C83" s="397" t="s">
        <v>6818</v>
      </c>
      <c r="D83" s="76" t="s">
        <v>6819</v>
      </c>
      <c r="E83" t="s">
        <v>6820</v>
      </c>
      <c r="F83" t="s">
        <v>6792</v>
      </c>
      <c r="G83" s="380" t="s">
        <v>1545</v>
      </c>
      <c r="H83" s="282" t="s">
        <v>1547</v>
      </c>
    </row>
    <row r="84" spans="1:8">
      <c r="A84" s="398" t="s">
        <v>1174</v>
      </c>
      <c r="B84" s="398" t="s">
        <v>1172</v>
      </c>
      <c r="C84" s="397" t="s">
        <v>6821</v>
      </c>
      <c r="D84" s="76" t="s">
        <v>6822</v>
      </c>
      <c r="E84" t="s">
        <v>6823</v>
      </c>
      <c r="F84" t="s">
        <v>6792</v>
      </c>
      <c r="G84" s="380" t="s">
        <v>1545</v>
      </c>
      <c r="H84" s="282" t="s">
        <v>1547</v>
      </c>
    </row>
    <row r="85" spans="1:8">
      <c r="A85" s="400" t="s">
        <v>1182</v>
      </c>
      <c r="B85" s="400" t="s">
        <v>1187</v>
      </c>
      <c r="C85" s="397" t="s">
        <v>6824</v>
      </c>
      <c r="D85" s="76" t="s">
        <v>6825</v>
      </c>
      <c r="E85" t="s">
        <v>6826</v>
      </c>
      <c r="F85" t="s">
        <v>6817</v>
      </c>
    </row>
    <row r="86" spans="1:8">
      <c r="A86" s="398" t="s">
        <v>1174</v>
      </c>
      <c r="B86" s="398" t="s">
        <v>1172</v>
      </c>
      <c r="C86" s="397" t="s">
        <v>6827</v>
      </c>
      <c r="D86" s="76" t="s">
        <v>6828</v>
      </c>
      <c r="E86" t="s">
        <v>6829</v>
      </c>
      <c r="F86" t="s">
        <v>6792</v>
      </c>
      <c r="G86" s="380" t="s">
        <v>1545</v>
      </c>
      <c r="H86" s="282" t="s">
        <v>1547</v>
      </c>
    </row>
    <row r="87" spans="1:8">
      <c r="A87" s="396" t="s">
        <v>6569</v>
      </c>
      <c r="B87" s="396" t="s">
        <v>6569</v>
      </c>
      <c r="C87" s="397" t="s">
        <v>6830</v>
      </c>
      <c r="D87" s="76" t="s">
        <v>6831</v>
      </c>
      <c r="E87" t="s">
        <v>6832</v>
      </c>
      <c r="F87" t="s">
        <v>6817</v>
      </c>
    </row>
    <row r="88" spans="1:8">
      <c r="A88" s="400" t="s">
        <v>1174</v>
      </c>
      <c r="B88" s="400" t="s">
        <v>1172</v>
      </c>
      <c r="C88" s="397" t="s">
        <v>6833</v>
      </c>
      <c r="D88" s="76" t="s">
        <v>6834</v>
      </c>
      <c r="E88" t="s">
        <v>2508</v>
      </c>
      <c r="F88" t="s">
        <v>6817</v>
      </c>
      <c r="G88" s="401" t="s">
        <v>2505</v>
      </c>
      <c r="H88" t="s">
        <v>2508</v>
      </c>
    </row>
  </sheetData>
  <autoFilter ref="A1:H81" xr:uid="{D9F4A037-A9C7-4428-85C7-8A351E6CFDD1}"/>
  <pageMargins left="0.7" right="0.7" top="0.75" bottom="0.75" header="0.3" footer="0.3"/>
  <pageSetup paperSize="9" orientation="portrait" r:id="rId1"/>
  <headerFooter>
    <oddFooter>&amp;C_x000D_&amp;1#&amp;"Calibri"&amp;10&amp;K000000 OFFICIAL</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982B3-E05B-4D13-AAB3-18EBBF73350C}">
  <dimension ref="A1:Z20"/>
  <sheetViews>
    <sheetView workbookViewId="0">
      <selection activeCell="P31" sqref="P31"/>
    </sheetView>
  </sheetViews>
  <sheetFormatPr defaultRowHeight="14.4"/>
  <cols>
    <col min="1" max="1" width="17.5546875" bestFit="1" customWidth="1"/>
    <col min="2" max="2" width="10.88671875" bestFit="1" customWidth="1"/>
    <col min="9" max="9" width="13.33203125" bestFit="1" customWidth="1"/>
    <col min="13" max="13" width="13.44140625" bestFit="1" customWidth="1"/>
    <col min="14" max="14" width="13.33203125" bestFit="1" customWidth="1"/>
    <col min="15" max="15" width="11.109375" customWidth="1"/>
    <col min="16" max="16" width="13.33203125" bestFit="1" customWidth="1"/>
    <col min="17" max="17" width="10.33203125" customWidth="1"/>
    <col min="18" max="18" width="11.5546875" bestFit="1" customWidth="1"/>
    <col min="21" max="21" width="10.5546875" bestFit="1" customWidth="1"/>
    <col min="22" max="22" width="15" customWidth="1"/>
    <col min="24" max="24" width="13.33203125" customWidth="1"/>
  </cols>
  <sheetData>
    <row r="1" spans="1:26">
      <c r="H1" t="s">
        <v>6835</v>
      </c>
      <c r="L1" t="s">
        <v>6836</v>
      </c>
      <c r="N1" t="s">
        <v>6837</v>
      </c>
      <c r="P1" t="s">
        <v>6838</v>
      </c>
      <c r="R1" t="s">
        <v>65</v>
      </c>
      <c r="U1" t="s">
        <v>6839</v>
      </c>
      <c r="V1" t="s">
        <v>6840</v>
      </c>
    </row>
    <row r="2" spans="1:26">
      <c r="H2" t="s">
        <v>305</v>
      </c>
      <c r="I2" s="94">
        <v>-132869.09999999974</v>
      </c>
      <c r="M2" t="s">
        <v>308</v>
      </c>
      <c r="N2" s="411">
        <v>-4557360.5896277223</v>
      </c>
      <c r="O2" t="s">
        <v>6841</v>
      </c>
      <c r="P2" s="94">
        <v>162627.75962772223</v>
      </c>
      <c r="Q2" t="s">
        <v>6842</v>
      </c>
      <c r="R2" s="94">
        <v>148944.11000000002</v>
      </c>
      <c r="S2" t="s">
        <v>6843</v>
      </c>
      <c r="U2" s="72"/>
    </row>
    <row r="3" spans="1:26">
      <c r="A3" t="s">
        <v>6844</v>
      </c>
      <c r="B3" t="s">
        <v>313</v>
      </c>
      <c r="C3">
        <v>1000</v>
      </c>
      <c r="I3" s="94">
        <v>-34995.35</v>
      </c>
      <c r="N3" s="411">
        <v>332187.33490000002</v>
      </c>
      <c r="O3" t="s">
        <v>6845</v>
      </c>
      <c r="P3" s="94">
        <v>4011094.6650999999</v>
      </c>
      <c r="Q3" t="s">
        <v>6846</v>
      </c>
      <c r="R3" s="94">
        <v>0</v>
      </c>
    </row>
    <row r="4" spans="1:26">
      <c r="N4" s="411">
        <v>-11638.75</v>
      </c>
      <c r="P4" s="94">
        <v>-23507.79</v>
      </c>
      <c r="R4" s="94"/>
    </row>
    <row r="5" spans="1:26">
      <c r="A5" t="s">
        <v>6847</v>
      </c>
      <c r="B5" t="s">
        <v>316</v>
      </c>
      <c r="C5">
        <v>-1000</v>
      </c>
      <c r="N5" s="411">
        <v>0</v>
      </c>
      <c r="P5" s="94">
        <v>0</v>
      </c>
      <c r="R5" s="94"/>
    </row>
    <row r="6" spans="1:26">
      <c r="A6" t="s">
        <v>6844</v>
      </c>
      <c r="B6" t="s">
        <v>316</v>
      </c>
      <c r="C6">
        <v>1000</v>
      </c>
      <c r="I6" s="407">
        <f>SUM(I2:I5)</f>
        <v>-167864.44999999975</v>
      </c>
      <c r="N6" s="411">
        <f>SUM(N2:N5)</f>
        <v>-4236812.0047277221</v>
      </c>
      <c r="P6" s="408">
        <f>SUM(P2:P5)</f>
        <v>4150214.634727722</v>
      </c>
      <c r="R6" s="94">
        <f>SUM(R2:R5)</f>
        <v>148944.11000000002</v>
      </c>
      <c r="U6" s="407">
        <f>N6+P6</f>
        <v>-86597.370000000112</v>
      </c>
      <c r="V6" s="407">
        <f>U6+I6+R6</f>
        <v>-105517.70999999985</v>
      </c>
    </row>
    <row r="7" spans="1:26">
      <c r="M7" t="s">
        <v>6848</v>
      </c>
      <c r="N7" s="411"/>
      <c r="P7" s="94"/>
    </row>
    <row r="8" spans="1:26">
      <c r="H8" t="s">
        <v>313</v>
      </c>
      <c r="I8" s="407">
        <v>200000</v>
      </c>
      <c r="L8" t="s">
        <v>6849</v>
      </c>
      <c r="M8" t="s">
        <v>313</v>
      </c>
      <c r="N8" s="411">
        <f>-N6</f>
        <v>4236812.0047277221</v>
      </c>
      <c r="P8" s="408">
        <f>-(P2+P3+P4+P5)</f>
        <v>-4150214.634727722</v>
      </c>
      <c r="U8" s="409">
        <f>N8+P8</f>
        <v>86597.370000000112</v>
      </c>
      <c r="X8" s="410">
        <f>I8+U8</f>
        <v>286597.37000000011</v>
      </c>
      <c r="Z8" t="s">
        <v>6850</v>
      </c>
    </row>
    <row r="9" spans="1:26">
      <c r="L9" t="s">
        <v>61</v>
      </c>
      <c r="M9" t="s">
        <v>1174</v>
      </c>
      <c r="N9" s="411"/>
      <c r="P9" s="94"/>
    </row>
    <row r="10" spans="1:26">
      <c r="A10" t="s">
        <v>6851</v>
      </c>
      <c r="B10" t="s">
        <v>6847</v>
      </c>
      <c r="C10">
        <v>-10000</v>
      </c>
      <c r="L10" t="s">
        <v>62</v>
      </c>
      <c r="M10" t="s">
        <v>1172</v>
      </c>
      <c r="N10" s="286">
        <f>N6+N8</f>
        <v>0</v>
      </c>
      <c r="O10" t="s">
        <v>6852</v>
      </c>
      <c r="P10" s="408">
        <f>P8+P6</f>
        <v>0</v>
      </c>
      <c r="Q10" s="408"/>
      <c r="R10" s="408">
        <f t="shared" ref="R10:U10" si="0">R8+R6</f>
        <v>148944.11000000002</v>
      </c>
      <c r="S10" s="408"/>
      <c r="T10" s="408"/>
      <c r="U10" s="408">
        <f t="shared" si="0"/>
        <v>0</v>
      </c>
    </row>
    <row r="11" spans="1:26">
      <c r="A11" t="s">
        <v>6851</v>
      </c>
      <c r="B11" t="s">
        <v>6844</v>
      </c>
      <c r="C11">
        <v>10000</v>
      </c>
      <c r="N11" s="286"/>
    </row>
    <row r="12" spans="1:26">
      <c r="N12" s="286"/>
    </row>
    <row r="13" spans="1:26">
      <c r="A13" t="s">
        <v>6853</v>
      </c>
      <c r="B13" t="s">
        <v>6847</v>
      </c>
      <c r="C13">
        <v>-10000</v>
      </c>
      <c r="N13" s="286"/>
    </row>
    <row r="14" spans="1:26">
      <c r="B14" t="s">
        <v>6844</v>
      </c>
      <c r="C14">
        <v>10000</v>
      </c>
      <c r="E14" t="s">
        <v>6854</v>
      </c>
      <c r="N14" s="286"/>
    </row>
    <row r="15" spans="1:26">
      <c r="N15" s="286"/>
    </row>
    <row r="16" spans="1:26">
      <c r="N16" s="286"/>
    </row>
    <row r="17" spans="9:14">
      <c r="N17" s="286"/>
    </row>
    <row r="18" spans="9:14">
      <c r="N18" t="s">
        <v>6855</v>
      </c>
    </row>
    <row r="20" spans="9:14">
      <c r="I20" s="407">
        <f>I8+N8+P8</f>
        <v>286597.37000000011</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20"/>
  <sheetViews>
    <sheetView zoomScaleNormal="100" workbookViewId="0">
      <selection activeCell="B24" sqref="B24"/>
    </sheetView>
  </sheetViews>
  <sheetFormatPr defaultColWidth="8.6640625" defaultRowHeight="14.4"/>
  <cols>
    <col min="1" max="1" width="41.88671875" customWidth="1"/>
    <col min="2" max="2" width="40.109375" customWidth="1"/>
    <col min="3" max="3" width="12.88671875" customWidth="1"/>
    <col min="4" max="4" width="13.88671875" customWidth="1"/>
    <col min="5" max="5" width="2.109375" customWidth="1"/>
    <col min="6" max="6" width="13.88671875" customWidth="1"/>
    <col min="7" max="7" width="2.109375" customWidth="1"/>
    <col min="8" max="8" width="19.109375" customWidth="1"/>
    <col min="9" max="9" width="2.109375" customWidth="1"/>
    <col min="10" max="10" width="17.6640625" customWidth="1"/>
  </cols>
  <sheetData>
    <row r="1" spans="1:14">
      <c r="A1" s="73" t="s">
        <v>6856</v>
      </c>
      <c r="B1" s="74"/>
      <c r="C1" s="74"/>
    </row>
    <row r="2" spans="1:14">
      <c r="A2" s="73" t="s">
        <v>2</v>
      </c>
      <c r="B2" s="75" t="str">
        <f>'CFR Return'!C3</f>
        <v>0000</v>
      </c>
      <c r="C2" s="73" t="s">
        <v>3</v>
      </c>
    </row>
    <row r="3" spans="1:14">
      <c r="A3" s="73" t="s">
        <v>4</v>
      </c>
      <c r="B3" s="73" t="str">
        <f>'CFR Return'!C2</f>
        <v>Select School</v>
      </c>
      <c r="C3" s="73" t="str">
        <f>+'CFR Return'!C4</f>
        <v>Final Accounts</v>
      </c>
    </row>
    <row r="5" spans="1:14">
      <c r="A5" s="76" t="s">
        <v>6857</v>
      </c>
    </row>
    <row r="6" spans="1:14">
      <c r="A6" s="76"/>
    </row>
    <row r="7" spans="1:14">
      <c r="A7" s="76"/>
    </row>
    <row r="8" spans="1:14">
      <c r="A8" s="76"/>
    </row>
    <row r="9" spans="1:14">
      <c r="A9" s="76"/>
      <c r="D9" s="3" t="s">
        <v>6</v>
      </c>
      <c r="E9" s="3"/>
      <c r="F9" s="84"/>
    </row>
    <row r="10" spans="1:14">
      <c r="A10" s="76"/>
    </row>
    <row r="11" spans="1:14">
      <c r="B11" s="44" t="s">
        <v>300</v>
      </c>
      <c r="D11" s="85">
        <v>45747</v>
      </c>
      <c r="E11" s="86"/>
    </row>
    <row r="12" spans="1:14" ht="57" customHeight="1">
      <c r="D12" s="87" t="s">
        <v>6858</v>
      </c>
      <c r="E12" s="87"/>
      <c r="F12" s="87" t="s">
        <v>6859</v>
      </c>
      <c r="H12" s="271" t="s">
        <v>6860</v>
      </c>
      <c r="J12" s="87" t="s">
        <v>6861</v>
      </c>
    </row>
    <row r="14" spans="1:14">
      <c r="B14" s="48" t="s">
        <v>253</v>
      </c>
      <c r="C14" s="45"/>
      <c r="D14" s="88">
        <f>'CFR Return'!H139</f>
        <v>0</v>
      </c>
      <c r="E14" s="26"/>
      <c r="F14" s="88">
        <f>'CFR Return'!P139</f>
        <v>0</v>
      </c>
      <c r="H14" s="207"/>
      <c r="J14" s="207"/>
    </row>
    <row r="15" spans="1:14">
      <c r="B15" s="51"/>
      <c r="C15" s="45"/>
      <c r="D15" s="45"/>
      <c r="E15" s="45"/>
      <c r="F15" s="45"/>
      <c r="H15" s="45"/>
      <c r="J15" s="45"/>
      <c r="N15" s="270"/>
    </row>
    <row r="16" spans="1:14">
      <c r="B16" s="47" t="s">
        <v>254</v>
      </c>
      <c r="C16" s="45"/>
      <c r="D16" s="45"/>
      <c r="E16" s="45"/>
      <c r="F16" s="45"/>
      <c r="H16" s="45"/>
      <c r="J16" s="45"/>
    </row>
    <row r="17" spans="2:10">
      <c r="B17" s="52" t="s">
        <v>255</v>
      </c>
      <c r="C17" s="45"/>
      <c r="D17" s="88">
        <f>'CFR Return'!H142</f>
        <v>0</v>
      </c>
      <c r="E17" s="26"/>
      <c r="F17" s="88">
        <f>'CFR Return'!P142</f>
        <v>0</v>
      </c>
      <c r="H17" s="88"/>
      <c r="J17" s="88"/>
    </row>
    <row r="18" spans="2:10">
      <c r="B18" s="52" t="s">
        <v>256</v>
      </c>
      <c r="C18" s="45"/>
      <c r="D18" s="88">
        <f>'CFR Return'!H143</f>
        <v>0</v>
      </c>
      <c r="E18" s="26"/>
      <c r="F18" s="88">
        <f>'CFR Return'!P143</f>
        <v>0</v>
      </c>
      <c r="H18" s="88"/>
      <c r="J18" s="88"/>
    </row>
    <row r="19" spans="2:10">
      <c r="B19" s="51"/>
      <c r="C19" s="45"/>
      <c r="D19" s="46"/>
      <c r="E19" s="46"/>
      <c r="F19" s="46"/>
      <c r="H19" s="46"/>
      <c r="J19" s="46"/>
    </row>
    <row r="20" spans="2:10">
      <c r="B20" s="48" t="s">
        <v>257</v>
      </c>
      <c r="C20" s="45"/>
      <c r="D20" s="16">
        <f>'CFR Return'!H145</f>
        <v>0</v>
      </c>
      <c r="E20" s="272"/>
      <c r="F20" s="16">
        <f>'CFR Return'!P145</f>
        <v>0</v>
      </c>
      <c r="H20" s="16"/>
      <c r="J20" s="16"/>
    </row>
  </sheetData>
  <sheetProtection selectLockedCells="1"/>
  <conditionalFormatting sqref="D14:F14 H14 J14 D20:F20 H20 J20">
    <cfRule type="cellIs" dxfId="81" priority="3" operator="lessThan">
      <formula>-1</formula>
    </cfRule>
  </conditionalFormatting>
  <conditionalFormatting sqref="D17:F18 H17:H18 J17:J18">
    <cfRule type="cellIs" dxfId="80" priority="1" operator="lessThan">
      <formula>-1</formula>
    </cfRule>
  </conditionalFormatting>
  <pageMargins left="0.7" right="0.7" top="0.75" bottom="0.75" header="0.3" footer="0.3"/>
  <pageSetup paperSize="9" scale="79" orientation="portrait" verticalDpi="0" r:id="rId1"/>
  <headerFooter>
    <oddFooter>&amp;C_x000D_&amp;1#&amp;"Calibri"&amp;10&amp;K000000 OFFICIAL</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E86B1-1E67-46E8-B571-C3491CE5C5F1}">
  <dimension ref="A1:J19"/>
  <sheetViews>
    <sheetView workbookViewId="0">
      <selection activeCell="N14" sqref="N14"/>
    </sheetView>
  </sheetViews>
  <sheetFormatPr defaultRowHeight="14.4"/>
  <cols>
    <col min="2" max="3" width="13.6640625" bestFit="1" customWidth="1"/>
    <col min="4" max="4" width="11.5546875" bestFit="1" customWidth="1"/>
    <col min="10" max="10" width="13.6640625" bestFit="1" customWidth="1"/>
  </cols>
  <sheetData>
    <row r="1" spans="1:10">
      <c r="A1" t="s">
        <v>305</v>
      </c>
      <c r="C1" t="s">
        <v>306</v>
      </c>
      <c r="D1" t="s">
        <v>307</v>
      </c>
    </row>
    <row r="2" spans="1:10">
      <c r="A2" t="s">
        <v>308</v>
      </c>
      <c r="B2" s="750">
        <f>-'CFR Return'!P10</f>
        <v>0</v>
      </c>
      <c r="C2" s="750">
        <f>(-SUM(Journal1!J8:J22)+SUM(Journal1!I8:I22)-Journal1!J24)+SUM(Journal1!I26:I65)+Journal1!I67-Journal1!J79+Journal1!I81</f>
        <v>0</v>
      </c>
      <c r="J2" s="776">
        <f>SUM(B2:H2)</f>
        <v>0</v>
      </c>
    </row>
    <row r="3" spans="1:10">
      <c r="C3" s="775"/>
    </row>
    <row r="7" spans="1:10">
      <c r="A7" t="s">
        <v>309</v>
      </c>
      <c r="B7" t="s">
        <v>310</v>
      </c>
      <c r="C7" s="750">
        <f>-Journal1!J69</f>
        <v>0</v>
      </c>
    </row>
    <row r="8" spans="1:10">
      <c r="B8" t="s">
        <v>311</v>
      </c>
      <c r="C8" s="750">
        <f>-Journal1!J70-Journal1!J71</f>
        <v>0</v>
      </c>
    </row>
    <row r="9" spans="1:10">
      <c r="B9" t="s">
        <v>312</v>
      </c>
      <c r="C9" s="775">
        <f>SUM(Journal1!I74:I77)</f>
        <v>0</v>
      </c>
    </row>
    <row r="10" spans="1:10">
      <c r="C10" s="776"/>
      <c r="J10" s="776">
        <f>SUM(C7:C9)</f>
        <v>0</v>
      </c>
    </row>
    <row r="11" spans="1:10">
      <c r="B11" s="750">
        <f>-'CFR Return'!P77</f>
        <v>0</v>
      </c>
    </row>
    <row r="13" spans="1:10">
      <c r="A13" t="s">
        <v>313</v>
      </c>
      <c r="B13" s="750">
        <f>-B2-B11</f>
        <v>0</v>
      </c>
      <c r="C13" s="407">
        <f>-Journal1!J85+Journal1!I85</f>
        <v>0</v>
      </c>
      <c r="D13" s="94">
        <f>-SUMIFS(Journal2!J:J,Journal2!C:C,"Eta4")+SUMIFS(Journal2!I:I,Journal2!C:C,"Eta4")</f>
        <v>0</v>
      </c>
      <c r="J13" s="776">
        <f>SUM(B13:H13)</f>
        <v>0</v>
      </c>
    </row>
    <row r="19" spans="2:2">
      <c r="B19" s="750">
        <f>'CFR Return'!H153+'CFR Return'!P153</f>
        <v>0</v>
      </c>
    </row>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48720-CB08-42F5-8381-25349BABC30A}">
  <sheetPr>
    <tabColor theme="1"/>
  </sheetPr>
  <dimension ref="A1:Q85"/>
  <sheetViews>
    <sheetView topLeftCell="A45" zoomScale="80" zoomScaleNormal="80" workbookViewId="0">
      <selection activeCell="C25" sqref="C25"/>
    </sheetView>
  </sheetViews>
  <sheetFormatPr defaultRowHeight="14.4"/>
  <cols>
    <col min="1" max="1" width="19.88671875" customWidth="1"/>
    <col min="2" max="2" width="20.5546875" bestFit="1" customWidth="1"/>
    <col min="3" max="3" width="11.88671875" customWidth="1"/>
    <col min="4" max="4" width="6.44140625" bestFit="1" customWidth="1"/>
    <col min="5" max="5" width="8.88671875" bestFit="1" customWidth="1"/>
    <col min="6" max="6" width="14" bestFit="1" customWidth="1"/>
    <col min="7" max="8" width="9.33203125" bestFit="1" customWidth="1"/>
    <col min="9" max="10" width="16.88671875" customWidth="1"/>
    <col min="11" max="11" width="44.109375" bestFit="1" customWidth="1"/>
    <col min="12" max="12" width="18.6640625" bestFit="1" customWidth="1"/>
    <col min="13" max="13" width="37.109375" bestFit="1" customWidth="1"/>
    <col min="14" max="14" width="49.5546875" bestFit="1" customWidth="1"/>
    <col min="15" max="15" width="22.88671875" customWidth="1"/>
    <col min="16" max="16" width="35.6640625" customWidth="1"/>
    <col min="17" max="17" width="20.88671875" bestFit="1" customWidth="1"/>
    <col min="19" max="19" width="41.6640625" bestFit="1" customWidth="1"/>
  </cols>
  <sheetData>
    <row r="1" spans="1:17">
      <c r="A1" s="834" t="s">
        <v>314</v>
      </c>
      <c r="B1" s="835"/>
      <c r="C1" s="835"/>
      <c r="D1" s="835"/>
      <c r="E1" s="835"/>
      <c r="F1" s="357"/>
      <c r="G1" s="357"/>
    </row>
    <row r="2" spans="1:17" ht="15.6">
      <c r="A2" s="358"/>
      <c r="B2" s="359"/>
      <c r="C2" s="359"/>
      <c r="D2" s="359"/>
      <c r="E2" s="360"/>
      <c r="F2" s="77"/>
      <c r="G2" s="77"/>
    </row>
    <row r="3" spans="1:17" ht="15.6">
      <c r="A3" s="361" t="s">
        <v>315</v>
      </c>
      <c r="B3" s="362" t="str">
        <f>'CFR Return'!C3</f>
        <v>0000</v>
      </c>
      <c r="C3" s="363"/>
      <c r="D3" s="363"/>
      <c r="E3" s="364"/>
      <c r="F3" s="365"/>
      <c r="G3" s="366"/>
    </row>
    <row r="4" spans="1:17">
      <c r="A4" s="367" t="s">
        <v>47</v>
      </c>
      <c r="B4" s="368" t="str">
        <f>'CFR Return'!C2</f>
        <v>Select School</v>
      </c>
      <c r="C4" s="368"/>
      <c r="D4" s="368"/>
      <c r="E4" s="369"/>
      <c r="F4" s="370"/>
      <c r="G4" s="371"/>
    </row>
    <row r="5" spans="1:17">
      <c r="A5" s="367" t="s">
        <v>316</v>
      </c>
      <c r="B5" s="368" t="str">
        <f>VLOOKUP(B3,Lookup!B:C,2,FALSE)</f>
        <v>0000</v>
      </c>
      <c r="C5" s="368"/>
      <c r="D5" s="368"/>
      <c r="E5" s="369"/>
      <c r="F5" s="370"/>
      <c r="G5" s="371"/>
    </row>
    <row r="6" spans="1:17">
      <c r="I6" s="775">
        <f>SUM(I8:I82)</f>
        <v>0</v>
      </c>
      <c r="J6" s="775">
        <f>SUM(J8:J82)</f>
        <v>0</v>
      </c>
    </row>
    <row r="7" spans="1:17" ht="52.8">
      <c r="A7" s="650" t="s">
        <v>317</v>
      </c>
      <c r="B7" s="651" t="s">
        <v>318</v>
      </c>
      <c r="C7" s="651" t="s">
        <v>319</v>
      </c>
      <c r="D7" s="652" t="s">
        <v>320</v>
      </c>
      <c r="E7" s="652" t="s">
        <v>321</v>
      </c>
      <c r="F7" s="652" t="s">
        <v>322</v>
      </c>
      <c r="G7" s="652" t="s">
        <v>323</v>
      </c>
      <c r="H7" s="652" t="s">
        <v>324</v>
      </c>
      <c r="I7" s="653" t="s">
        <v>325</v>
      </c>
      <c r="J7" s="653" t="s">
        <v>326</v>
      </c>
      <c r="K7" s="654" t="s">
        <v>327</v>
      </c>
      <c r="L7" s="659" t="s">
        <v>328</v>
      </c>
      <c r="M7" s="659" t="s">
        <v>329</v>
      </c>
      <c r="N7" s="659" t="s">
        <v>330</v>
      </c>
      <c r="O7" s="659" t="s">
        <v>331</v>
      </c>
      <c r="P7" s="659" t="s">
        <v>332</v>
      </c>
      <c r="Q7" s="659" t="s">
        <v>333</v>
      </c>
    </row>
    <row r="8" spans="1:17">
      <c r="A8" s="655" t="s">
        <v>334</v>
      </c>
      <c r="B8" s="658" t="str">
        <f>$B$5</f>
        <v>0000</v>
      </c>
      <c r="C8" s="656" t="str">
        <f>O8</f>
        <v>8G00</v>
      </c>
      <c r="D8" s="656" t="s">
        <v>335</v>
      </c>
      <c r="E8" s="656" t="s">
        <v>336</v>
      </c>
      <c r="F8" s="656" t="s">
        <v>337</v>
      </c>
      <c r="G8" s="656" t="s">
        <v>338</v>
      </c>
      <c r="H8" s="656" t="s">
        <v>339</v>
      </c>
      <c r="I8" s="657">
        <f>-IF(('CFR Return'!I13+'CFR Return'!O13)&lt;0,('CFR Return'!I13+'CFR Return'!O13),0)</f>
        <v>0</v>
      </c>
      <c r="J8" s="657">
        <f>IF(('CFR Return'!I13+'CFR Return'!O13)&gt;0,('CFR Return'!I13+'CFR Return'!O13),0)</f>
        <v>0</v>
      </c>
      <c r="K8" s="660" t="str">
        <f>M8&amp;" "&amp;$B$4</f>
        <v>I01 Select School</v>
      </c>
      <c r="L8" s="656" t="s">
        <v>340</v>
      </c>
      <c r="M8" s="656" t="s">
        <v>77</v>
      </c>
      <c r="N8" s="661" t="s">
        <v>78</v>
      </c>
      <c r="O8" s="656" t="s">
        <v>341</v>
      </c>
      <c r="P8" s="661" t="s">
        <v>342</v>
      </c>
      <c r="Q8" s="656" t="s">
        <v>343</v>
      </c>
    </row>
    <row r="9" spans="1:17">
      <c r="A9" s="655" t="s">
        <v>334</v>
      </c>
      <c r="B9" s="658" t="str">
        <f t="shared" ref="B9:B73" si="0">$B$5</f>
        <v>0000</v>
      </c>
      <c r="C9" s="656" t="str">
        <f t="shared" ref="C9:C22" si="1">O9</f>
        <v>8G00</v>
      </c>
      <c r="D9" s="656" t="s">
        <v>335</v>
      </c>
      <c r="E9" s="656" t="s">
        <v>336</v>
      </c>
      <c r="F9" s="656" t="s">
        <v>337</v>
      </c>
      <c r="G9" s="656" t="s">
        <v>338</v>
      </c>
      <c r="H9" s="656" t="s">
        <v>339</v>
      </c>
      <c r="I9" s="657">
        <f>-IF(('CFR Return'!I14+'CFR Return'!O14)&lt;0,('CFR Return'!I14+'CFR Return'!O14),0)</f>
        <v>0</v>
      </c>
      <c r="J9" s="657">
        <f>IF(('CFR Return'!I14+'CFR Return'!O14)&gt;0,('CFR Return'!I14+'CFR Return'!O14),0)</f>
        <v>0</v>
      </c>
      <c r="K9" s="660" t="str">
        <f t="shared" ref="K9:K65" si="2">M9&amp;" "&amp;$B$4</f>
        <v>I02 Select School</v>
      </c>
      <c r="L9" s="656" t="s">
        <v>340</v>
      </c>
      <c r="M9" s="656" t="s">
        <v>79</v>
      </c>
      <c r="N9" s="661" t="s">
        <v>80</v>
      </c>
      <c r="O9" s="656" t="s">
        <v>341</v>
      </c>
      <c r="P9" s="661" t="s">
        <v>342</v>
      </c>
      <c r="Q9" s="656" t="s">
        <v>343</v>
      </c>
    </row>
    <row r="10" spans="1:17">
      <c r="A10" s="655" t="s">
        <v>334</v>
      </c>
      <c r="B10" s="658" t="str">
        <f t="shared" si="0"/>
        <v>0000</v>
      </c>
      <c r="C10" s="656" t="str">
        <f t="shared" si="1"/>
        <v>8G00</v>
      </c>
      <c r="D10" s="656" t="s">
        <v>335</v>
      </c>
      <c r="E10" s="656" t="s">
        <v>336</v>
      </c>
      <c r="F10" s="656" t="s">
        <v>337</v>
      </c>
      <c r="G10" s="656" t="s">
        <v>338</v>
      </c>
      <c r="H10" s="656" t="s">
        <v>339</v>
      </c>
      <c r="I10" s="657">
        <f>-IF(('CFR Return'!I15+'CFR Return'!O15)&lt;0,('CFR Return'!I15+'CFR Return'!O15),0)</f>
        <v>0</v>
      </c>
      <c r="J10" s="657">
        <f>IF(('CFR Return'!I15+'CFR Return'!O15)&gt;0,('CFR Return'!I15+'CFR Return'!O15),0)</f>
        <v>0</v>
      </c>
      <c r="K10" s="660" t="str">
        <f t="shared" si="2"/>
        <v>I03 Select School</v>
      </c>
      <c r="L10" s="656" t="s">
        <v>340</v>
      </c>
      <c r="M10" s="656" t="s">
        <v>81</v>
      </c>
      <c r="N10" s="661" t="s">
        <v>82</v>
      </c>
      <c r="O10" s="656" t="s">
        <v>341</v>
      </c>
      <c r="P10" s="661" t="s">
        <v>342</v>
      </c>
      <c r="Q10" s="656" t="s">
        <v>343</v>
      </c>
    </row>
    <row r="11" spans="1:17">
      <c r="A11" s="655" t="s">
        <v>334</v>
      </c>
      <c r="B11" s="658" t="str">
        <f t="shared" si="0"/>
        <v>0000</v>
      </c>
      <c r="C11" s="656" t="str">
        <f t="shared" si="1"/>
        <v>8G00</v>
      </c>
      <c r="D11" s="656" t="s">
        <v>335</v>
      </c>
      <c r="E11" s="656" t="s">
        <v>336</v>
      </c>
      <c r="F11" s="656" t="s">
        <v>337</v>
      </c>
      <c r="G11" s="656" t="s">
        <v>338</v>
      </c>
      <c r="H11" s="656" t="s">
        <v>339</v>
      </c>
      <c r="I11" s="657">
        <f>-IF(('CFR Return'!I16+'CFR Return'!O16)&lt;0,('CFR Return'!I16+'CFR Return'!O16),0)</f>
        <v>0</v>
      </c>
      <c r="J11" s="657">
        <f>IF(('CFR Return'!I16+'CFR Return'!O16)&gt;0,('CFR Return'!I16+'CFR Return'!O16),0)</f>
        <v>0</v>
      </c>
      <c r="K11" s="660" t="str">
        <f t="shared" si="2"/>
        <v>I04 Select School</v>
      </c>
      <c r="L11" s="656" t="s">
        <v>340</v>
      </c>
      <c r="M11" s="656" t="s">
        <v>83</v>
      </c>
      <c r="N11" s="661" t="s">
        <v>84</v>
      </c>
      <c r="O11" s="656" t="s">
        <v>341</v>
      </c>
      <c r="P11" s="661" t="s">
        <v>342</v>
      </c>
      <c r="Q11" s="656" t="s">
        <v>343</v>
      </c>
    </row>
    <row r="12" spans="1:17">
      <c r="A12" s="655" t="s">
        <v>334</v>
      </c>
      <c r="B12" s="658" t="str">
        <f t="shared" si="0"/>
        <v>0000</v>
      </c>
      <c r="C12" s="656" t="str">
        <f t="shared" si="1"/>
        <v>8G00</v>
      </c>
      <c r="D12" s="656" t="s">
        <v>335</v>
      </c>
      <c r="E12" s="656" t="s">
        <v>336</v>
      </c>
      <c r="F12" s="656" t="s">
        <v>337</v>
      </c>
      <c r="G12" s="656" t="s">
        <v>338</v>
      </c>
      <c r="H12" s="656" t="s">
        <v>339</v>
      </c>
      <c r="I12" s="657">
        <f>-IF(('CFR Return'!I17+'CFR Return'!O17)&lt;0,('CFR Return'!I17+'CFR Return'!O17),0)</f>
        <v>0</v>
      </c>
      <c r="J12" s="657">
        <f>IF(('CFR Return'!I17+'CFR Return'!O17)&gt;0,('CFR Return'!I17+'CFR Return'!O17),0)</f>
        <v>0</v>
      </c>
      <c r="K12" s="660" t="str">
        <f t="shared" si="2"/>
        <v>I05 Select School</v>
      </c>
      <c r="L12" s="656" t="s">
        <v>340</v>
      </c>
      <c r="M12" s="656" t="s">
        <v>85</v>
      </c>
      <c r="N12" s="661" t="s">
        <v>86</v>
      </c>
      <c r="O12" s="656" t="s">
        <v>341</v>
      </c>
      <c r="P12" s="661" t="s">
        <v>342</v>
      </c>
      <c r="Q12" s="656" t="s">
        <v>343</v>
      </c>
    </row>
    <row r="13" spans="1:17">
      <c r="A13" s="655" t="s">
        <v>334</v>
      </c>
      <c r="B13" s="658" t="str">
        <f t="shared" si="0"/>
        <v>0000</v>
      </c>
      <c r="C13" s="656" t="str">
        <f t="shared" si="1"/>
        <v>8G00</v>
      </c>
      <c r="D13" s="656" t="s">
        <v>335</v>
      </c>
      <c r="E13" s="656" t="s">
        <v>336</v>
      </c>
      <c r="F13" s="656" t="s">
        <v>337</v>
      </c>
      <c r="G13" s="656" t="s">
        <v>338</v>
      </c>
      <c r="H13" s="656" t="s">
        <v>339</v>
      </c>
      <c r="I13" s="657">
        <f>-IF(('CFR Return'!I18+'CFR Return'!O18)&lt;0,('CFR Return'!I18+'CFR Return'!O18),0)</f>
        <v>0</v>
      </c>
      <c r="J13" s="657">
        <f>IF(('CFR Return'!I18+'CFR Return'!O18)&gt;0,('CFR Return'!I18+'CFR Return'!O18),0)</f>
        <v>0</v>
      </c>
      <c r="K13" s="660" t="str">
        <f t="shared" si="2"/>
        <v>I06 Select School</v>
      </c>
      <c r="L13" s="656" t="s">
        <v>340</v>
      </c>
      <c r="M13" s="656" t="s">
        <v>87</v>
      </c>
      <c r="N13" s="661" t="s">
        <v>88</v>
      </c>
      <c r="O13" s="656" t="s">
        <v>341</v>
      </c>
      <c r="P13" s="661" t="s">
        <v>342</v>
      </c>
      <c r="Q13" s="656" t="s">
        <v>343</v>
      </c>
    </row>
    <row r="14" spans="1:17">
      <c r="A14" s="655" t="s">
        <v>334</v>
      </c>
      <c r="B14" s="658" t="str">
        <f t="shared" si="0"/>
        <v>0000</v>
      </c>
      <c r="C14" s="656" t="str">
        <f t="shared" si="1"/>
        <v>8G00</v>
      </c>
      <c r="D14" s="656" t="s">
        <v>335</v>
      </c>
      <c r="E14" s="656" t="s">
        <v>336</v>
      </c>
      <c r="F14" s="656" t="s">
        <v>337</v>
      </c>
      <c r="G14" s="656" t="s">
        <v>338</v>
      </c>
      <c r="H14" s="656" t="s">
        <v>339</v>
      </c>
      <c r="I14" s="657">
        <f>-IF(('CFR Return'!I19+'CFR Return'!O19)&lt;0,('CFR Return'!I19+'CFR Return'!O19),0)</f>
        <v>0</v>
      </c>
      <c r="J14" s="657">
        <f>IF(('CFR Return'!I19+'CFR Return'!O19)&gt;0,('CFR Return'!I19+'CFR Return'!O19),0)</f>
        <v>0</v>
      </c>
      <c r="K14" s="660" t="str">
        <f t="shared" si="2"/>
        <v>I07 Select School</v>
      </c>
      <c r="L14" s="656" t="s">
        <v>340</v>
      </c>
      <c r="M14" s="656" t="s">
        <v>89</v>
      </c>
      <c r="N14" s="661" t="s">
        <v>90</v>
      </c>
      <c r="O14" s="656" t="s">
        <v>341</v>
      </c>
      <c r="P14" s="661" t="s">
        <v>342</v>
      </c>
      <c r="Q14" s="656" t="s">
        <v>343</v>
      </c>
    </row>
    <row r="15" spans="1:17">
      <c r="A15" s="655" t="s">
        <v>334</v>
      </c>
      <c r="B15" s="658" t="str">
        <f t="shared" si="0"/>
        <v>0000</v>
      </c>
      <c r="C15" s="656" t="str">
        <f t="shared" si="1"/>
        <v>8F00</v>
      </c>
      <c r="D15" s="656" t="s">
        <v>335</v>
      </c>
      <c r="E15" s="656" t="s">
        <v>336</v>
      </c>
      <c r="F15" s="656" t="s">
        <v>337</v>
      </c>
      <c r="G15" s="656" t="s">
        <v>338</v>
      </c>
      <c r="H15" s="656" t="s">
        <v>339</v>
      </c>
      <c r="I15" s="657">
        <f>-IF(('CFR Return'!I20+'CFR Return'!O20)&lt;0,('CFR Return'!I20+'CFR Return'!O20),0)</f>
        <v>0</v>
      </c>
      <c r="J15" s="657">
        <f>IF(('CFR Return'!I20+'CFR Return'!O20)&gt;0,('CFR Return'!I20+'CFR Return'!O20),0)</f>
        <v>0</v>
      </c>
      <c r="K15" s="660" t="str">
        <f t="shared" si="2"/>
        <v>I08a Select School</v>
      </c>
      <c r="L15" s="656" t="s">
        <v>340</v>
      </c>
      <c r="M15" s="656" t="s">
        <v>92</v>
      </c>
      <c r="N15" s="661" t="s">
        <v>93</v>
      </c>
      <c r="O15" s="656" t="s">
        <v>344</v>
      </c>
      <c r="P15" s="661" t="s">
        <v>345</v>
      </c>
      <c r="Q15" s="656" t="s">
        <v>346</v>
      </c>
    </row>
    <row r="16" spans="1:17">
      <c r="A16" s="655" t="s">
        <v>334</v>
      </c>
      <c r="B16" s="658" t="str">
        <f t="shared" si="0"/>
        <v>0000</v>
      </c>
      <c r="C16" s="656" t="str">
        <f t="shared" si="1"/>
        <v>8D01</v>
      </c>
      <c r="D16" s="656" t="s">
        <v>335</v>
      </c>
      <c r="E16" s="656" t="s">
        <v>336</v>
      </c>
      <c r="F16" s="656" t="s">
        <v>337</v>
      </c>
      <c r="G16" s="656" t="s">
        <v>338</v>
      </c>
      <c r="H16" s="656" t="s">
        <v>339</v>
      </c>
      <c r="I16" s="657">
        <f>-IF(('CFR Return'!I21+'CFR Return'!O21)&lt;0,('CFR Return'!I21+'CFR Return'!O21),0)</f>
        <v>0</v>
      </c>
      <c r="J16" s="657">
        <f>IF(('CFR Return'!I21+'CFR Return'!O21)&gt;0,('CFR Return'!I21+'CFR Return'!O21),0)</f>
        <v>0</v>
      </c>
      <c r="K16" s="660" t="str">
        <f t="shared" si="2"/>
        <v>I08b Select School</v>
      </c>
      <c r="L16" s="656" t="s">
        <v>340</v>
      </c>
      <c r="M16" s="656" t="s">
        <v>94</v>
      </c>
      <c r="N16" s="661" t="s">
        <v>95</v>
      </c>
      <c r="O16" s="656" t="s">
        <v>347</v>
      </c>
      <c r="P16" s="661" t="s">
        <v>348</v>
      </c>
      <c r="Q16" s="656" t="s">
        <v>346</v>
      </c>
    </row>
    <row r="17" spans="1:17">
      <c r="A17" s="655" t="s">
        <v>334</v>
      </c>
      <c r="B17" s="658" t="str">
        <f t="shared" si="0"/>
        <v>0000</v>
      </c>
      <c r="C17" s="656" t="str">
        <f t="shared" si="1"/>
        <v>8D03</v>
      </c>
      <c r="D17" s="656" t="s">
        <v>335</v>
      </c>
      <c r="E17" s="656" t="s">
        <v>336</v>
      </c>
      <c r="F17" s="656" t="s">
        <v>337</v>
      </c>
      <c r="G17" s="656" t="s">
        <v>338</v>
      </c>
      <c r="H17" s="656" t="s">
        <v>339</v>
      </c>
      <c r="I17" s="657">
        <f>-IF(('CFR Return'!I22+'CFR Return'!O22)&lt;0,('CFR Return'!I22+'CFR Return'!O22),0)</f>
        <v>0</v>
      </c>
      <c r="J17" s="657">
        <f>IF(('CFR Return'!I22+'CFR Return'!O22)&gt;0,('CFR Return'!I22+'CFR Return'!O22),0)</f>
        <v>0</v>
      </c>
      <c r="K17" s="660" t="str">
        <f t="shared" si="2"/>
        <v>I09 Select School</v>
      </c>
      <c r="L17" s="656" t="s">
        <v>340</v>
      </c>
      <c r="M17" s="656" t="s">
        <v>96</v>
      </c>
      <c r="N17" s="661" t="s">
        <v>97</v>
      </c>
      <c r="O17" s="656" t="s">
        <v>349</v>
      </c>
      <c r="P17" s="661" t="s">
        <v>350</v>
      </c>
      <c r="Q17" s="656" t="s">
        <v>346</v>
      </c>
    </row>
    <row r="18" spans="1:17">
      <c r="A18" s="655" t="s">
        <v>334</v>
      </c>
      <c r="B18" s="658" t="str">
        <f t="shared" si="0"/>
        <v>0000</v>
      </c>
      <c r="C18" s="656" t="str">
        <f t="shared" si="1"/>
        <v>8G00</v>
      </c>
      <c r="D18" s="656" t="s">
        <v>335</v>
      </c>
      <c r="E18" s="656" t="s">
        <v>336</v>
      </c>
      <c r="F18" s="656" t="s">
        <v>337</v>
      </c>
      <c r="G18" s="656" t="s">
        <v>338</v>
      </c>
      <c r="H18" s="656" t="s">
        <v>339</v>
      </c>
      <c r="I18" s="657">
        <f>-IF(('CFR Return'!I23+'CFR Return'!O23)&lt;0,('CFR Return'!I23+'CFR Return'!O23),0)</f>
        <v>0</v>
      </c>
      <c r="J18" s="657">
        <f>IF(('CFR Return'!I23+'CFR Return'!O23)&gt;0,('CFR Return'!I23+'CFR Return'!O23),0)</f>
        <v>0</v>
      </c>
      <c r="K18" s="660" t="str">
        <f t="shared" si="2"/>
        <v>I10 Select School</v>
      </c>
      <c r="L18" s="656" t="s">
        <v>340</v>
      </c>
      <c r="M18" s="656" t="s">
        <v>98</v>
      </c>
      <c r="N18" s="661" t="s">
        <v>99</v>
      </c>
      <c r="O18" s="656" t="s">
        <v>341</v>
      </c>
      <c r="P18" s="661" t="s">
        <v>342</v>
      </c>
      <c r="Q18" s="656" t="s">
        <v>343</v>
      </c>
    </row>
    <row r="19" spans="1:17">
      <c r="A19" s="655" t="s">
        <v>334</v>
      </c>
      <c r="B19" s="658" t="str">
        <f t="shared" si="0"/>
        <v>0000</v>
      </c>
      <c r="C19" s="656" t="str">
        <f t="shared" si="1"/>
        <v>8G00</v>
      </c>
      <c r="D19" s="656" t="s">
        <v>335</v>
      </c>
      <c r="E19" s="656" t="s">
        <v>336</v>
      </c>
      <c r="F19" s="656" t="s">
        <v>337</v>
      </c>
      <c r="G19" s="656" t="s">
        <v>338</v>
      </c>
      <c r="H19" s="656" t="s">
        <v>339</v>
      </c>
      <c r="I19" s="657">
        <f>-IF(('CFR Return'!I24+'CFR Return'!O24)&lt;0,('CFR Return'!I24+'CFR Return'!O24),0)</f>
        <v>0</v>
      </c>
      <c r="J19" s="657">
        <f>IF(('CFR Return'!I24+'CFR Return'!O24)&gt;0,('CFR Return'!I24+'CFR Return'!O24),0)</f>
        <v>0</v>
      </c>
      <c r="K19" s="660" t="str">
        <f t="shared" si="2"/>
        <v>I11 Select School</v>
      </c>
      <c r="L19" s="656" t="s">
        <v>340</v>
      </c>
      <c r="M19" s="656" t="s">
        <v>100</v>
      </c>
      <c r="N19" s="661" t="s">
        <v>101</v>
      </c>
      <c r="O19" s="656" t="s">
        <v>341</v>
      </c>
      <c r="P19" s="661" t="s">
        <v>342</v>
      </c>
      <c r="Q19" s="656" t="s">
        <v>343</v>
      </c>
    </row>
    <row r="20" spans="1:17">
      <c r="A20" s="655" t="s">
        <v>334</v>
      </c>
      <c r="B20" s="658" t="str">
        <f t="shared" si="0"/>
        <v>0000</v>
      </c>
      <c r="C20" s="656" t="str">
        <f t="shared" si="1"/>
        <v>8D03</v>
      </c>
      <c r="D20" s="656" t="s">
        <v>335</v>
      </c>
      <c r="E20" s="656" t="s">
        <v>336</v>
      </c>
      <c r="F20" s="656" t="s">
        <v>337</v>
      </c>
      <c r="G20" s="656" t="s">
        <v>338</v>
      </c>
      <c r="H20" s="656" t="s">
        <v>339</v>
      </c>
      <c r="I20" s="657">
        <f>-IF(('CFR Return'!I25+'CFR Return'!O25)&lt;0,('CFR Return'!I25+'CFR Return'!O25),0)</f>
        <v>0</v>
      </c>
      <c r="J20" s="657">
        <f>IF(('CFR Return'!I25+'CFR Return'!O25)&gt;0,('CFR Return'!I25+'CFR Return'!O25),0)</f>
        <v>0</v>
      </c>
      <c r="K20" s="660" t="str">
        <f t="shared" si="2"/>
        <v>I12 Select School</v>
      </c>
      <c r="L20" s="656" t="s">
        <v>340</v>
      </c>
      <c r="M20" s="656" t="s">
        <v>102</v>
      </c>
      <c r="N20" s="661" t="s">
        <v>103</v>
      </c>
      <c r="O20" s="656" t="s">
        <v>349</v>
      </c>
      <c r="P20" s="661" t="s">
        <v>350</v>
      </c>
      <c r="Q20" s="656" t="s">
        <v>346</v>
      </c>
    </row>
    <row r="21" spans="1:17">
      <c r="A21" s="655" t="s">
        <v>334</v>
      </c>
      <c r="B21" s="658" t="str">
        <f t="shared" si="0"/>
        <v>0000</v>
      </c>
      <c r="C21" s="656" t="str">
        <f t="shared" si="1"/>
        <v>8B00</v>
      </c>
      <c r="D21" s="656" t="s">
        <v>335</v>
      </c>
      <c r="E21" s="656" t="s">
        <v>336</v>
      </c>
      <c r="F21" s="656" t="s">
        <v>337</v>
      </c>
      <c r="G21" s="656" t="s">
        <v>338</v>
      </c>
      <c r="H21" s="656" t="s">
        <v>339</v>
      </c>
      <c r="I21" s="657">
        <f>-IF(('CFR Return'!I26+'CFR Return'!O26)&lt;0,('CFR Return'!I26+'CFR Return'!O26),0)</f>
        <v>0</v>
      </c>
      <c r="J21" s="657">
        <f>IF(('CFR Return'!I26+'CFR Return'!O26)&gt;0,('CFR Return'!I26+'CFR Return'!O26),0)</f>
        <v>0</v>
      </c>
      <c r="K21" s="660" t="str">
        <f t="shared" si="2"/>
        <v>I13 Select School</v>
      </c>
      <c r="L21" s="656" t="s">
        <v>340</v>
      </c>
      <c r="M21" s="656" t="s">
        <v>104</v>
      </c>
      <c r="N21" s="661" t="s">
        <v>105</v>
      </c>
      <c r="O21" s="656" t="s">
        <v>351</v>
      </c>
      <c r="P21" s="661" t="s">
        <v>352</v>
      </c>
      <c r="Q21" s="656" t="s">
        <v>346</v>
      </c>
    </row>
    <row r="22" spans="1:17">
      <c r="A22" s="655" t="s">
        <v>334</v>
      </c>
      <c r="B22" s="658" t="str">
        <f t="shared" si="0"/>
        <v>0000</v>
      </c>
      <c r="C22" s="656" t="str">
        <f t="shared" si="1"/>
        <v>8G00</v>
      </c>
      <c r="D22" s="656" t="s">
        <v>335</v>
      </c>
      <c r="E22" s="656" t="s">
        <v>336</v>
      </c>
      <c r="F22" s="656" t="s">
        <v>337</v>
      </c>
      <c r="G22" s="656" t="s">
        <v>338</v>
      </c>
      <c r="H22" s="656" t="s">
        <v>339</v>
      </c>
      <c r="I22" s="657">
        <f>-IF(('CFR Return'!I27+'CFR Return'!O27)&lt;0,('CFR Return'!I27+'CFR Return'!O27),0)</f>
        <v>0</v>
      </c>
      <c r="J22" s="657">
        <f>IF(('CFR Return'!I27+'CFR Return'!O27)&gt;0,('CFR Return'!I27+'CFR Return'!O27),0)</f>
        <v>0</v>
      </c>
      <c r="K22" s="660" t="str">
        <f t="shared" si="2"/>
        <v>I15 Select School</v>
      </c>
      <c r="L22" s="656" t="s">
        <v>340</v>
      </c>
      <c r="M22" s="656" t="s">
        <v>106</v>
      </c>
      <c r="N22" s="661" t="s">
        <v>107</v>
      </c>
      <c r="O22" s="656" t="s">
        <v>341</v>
      </c>
      <c r="P22" s="661" t="s">
        <v>342</v>
      </c>
      <c r="Q22" s="656" t="s">
        <v>343</v>
      </c>
    </row>
    <row r="23" spans="1:17">
      <c r="A23" s="655" t="s">
        <v>334</v>
      </c>
      <c r="B23" s="658" t="str">
        <f t="shared" si="0"/>
        <v>0000</v>
      </c>
      <c r="C23" s="656" t="s">
        <v>313</v>
      </c>
      <c r="D23" s="656" t="s">
        <v>335</v>
      </c>
      <c r="E23" s="656" t="s">
        <v>336</v>
      </c>
      <c r="F23" s="656" t="s">
        <v>337</v>
      </c>
      <c r="G23" s="656" t="s">
        <v>338</v>
      </c>
      <c r="H23" s="656" t="s">
        <v>339</v>
      </c>
      <c r="I23" s="657">
        <f>IF(('CFR Return'!I28+'CFR Return'!O28)&gt;0,('CFR Return'!I28+'CFR Return'!O28),0)</f>
        <v>0</v>
      </c>
      <c r="J23" s="657">
        <f>-IF(('CFR Return'!I28+'CFR Return'!O28)&lt;0,('CFR Return'!I28+'CFR Return'!O28),0)</f>
        <v>0</v>
      </c>
      <c r="K23" s="660" t="str">
        <f t="shared" si="2"/>
        <v>I01-I15 Non Cash Sheet Income Select School</v>
      </c>
      <c r="L23" s="656" t="s">
        <v>340</v>
      </c>
      <c r="M23" s="656" t="s">
        <v>353</v>
      </c>
      <c r="N23" s="656"/>
      <c r="O23" s="656" t="s">
        <v>313</v>
      </c>
      <c r="P23" s="661" t="s">
        <v>354</v>
      </c>
      <c r="Q23" s="656"/>
    </row>
    <row r="24" spans="1:17">
      <c r="A24" s="655" t="s">
        <v>334</v>
      </c>
      <c r="B24" s="658" t="str">
        <f t="shared" si="0"/>
        <v>0000</v>
      </c>
      <c r="C24" s="656" t="s">
        <v>355</v>
      </c>
      <c r="D24" s="656" t="s">
        <v>335</v>
      </c>
      <c r="E24" s="656" t="s">
        <v>336</v>
      </c>
      <c r="F24" s="656" t="s">
        <v>337</v>
      </c>
      <c r="G24" s="656" t="s">
        <v>338</v>
      </c>
      <c r="H24" s="656" t="s">
        <v>339</v>
      </c>
      <c r="I24" s="657"/>
      <c r="J24" s="657">
        <f>'CFR Return'!H28</f>
        <v>0</v>
      </c>
      <c r="K24" s="660" t="str">
        <f t="shared" si="2"/>
        <v>I01-I15 Cash Sheet Income Select School</v>
      </c>
      <c r="L24" s="656" t="s">
        <v>340</v>
      </c>
      <c r="M24" s="656" t="s">
        <v>356</v>
      </c>
      <c r="N24" s="656"/>
      <c r="O24" s="656" t="s">
        <v>355</v>
      </c>
      <c r="P24" s="661" t="s">
        <v>357</v>
      </c>
      <c r="Q24" s="656"/>
    </row>
    <row r="25" spans="1:17" ht="15" thickBot="1">
      <c r="A25" s="655" t="s">
        <v>334</v>
      </c>
      <c r="B25" s="658" t="str">
        <f t="shared" si="0"/>
        <v>0000</v>
      </c>
      <c r="C25" s="656" t="s">
        <v>313</v>
      </c>
      <c r="D25" s="656" t="s">
        <v>335</v>
      </c>
      <c r="E25" s="656" t="s">
        <v>336</v>
      </c>
      <c r="F25" s="656" t="s">
        <v>337</v>
      </c>
      <c r="G25" s="656" t="s">
        <v>338</v>
      </c>
      <c r="H25" s="656" t="s">
        <v>339</v>
      </c>
      <c r="I25" s="657">
        <f>'CFR Return'!H28</f>
        <v>0</v>
      </c>
      <c r="J25" s="657"/>
      <c r="K25" s="660" t="str">
        <f t="shared" si="2"/>
        <v>I01-I15 Cash Sheet Income Select School</v>
      </c>
      <c r="L25" s="656" t="s">
        <v>340</v>
      </c>
      <c r="M25" s="662" t="s">
        <v>356</v>
      </c>
      <c r="N25" s="662"/>
      <c r="O25" s="656" t="s">
        <v>313</v>
      </c>
      <c r="P25" s="661" t="s">
        <v>354</v>
      </c>
      <c r="Q25" s="656"/>
    </row>
    <row r="26" spans="1:17">
      <c r="A26" s="655" t="s">
        <v>334</v>
      </c>
      <c r="B26" s="658" t="str">
        <f t="shared" si="0"/>
        <v>0000</v>
      </c>
      <c r="C26" s="656" t="str">
        <f>O26</f>
        <v>1A01</v>
      </c>
      <c r="D26" s="656" t="s">
        <v>335</v>
      </c>
      <c r="E26" s="656" t="s">
        <v>336</v>
      </c>
      <c r="F26" s="656" t="s">
        <v>337</v>
      </c>
      <c r="G26" s="656" t="s">
        <v>338</v>
      </c>
      <c r="H26" s="656" t="s">
        <v>339</v>
      </c>
      <c r="I26" s="657">
        <f>('CFR Return'!I31+'CFR Return'!O31)-I27-I28-I29-I30</f>
        <v>0</v>
      </c>
      <c r="J26" s="657"/>
      <c r="K26" s="660" t="str">
        <f t="shared" si="2"/>
        <v>E01 Select School</v>
      </c>
      <c r="L26" s="656" t="s">
        <v>340</v>
      </c>
      <c r="M26" s="675" t="s">
        <v>110</v>
      </c>
      <c r="N26" s="676" t="s">
        <v>111</v>
      </c>
      <c r="O26" s="677" t="s">
        <v>358</v>
      </c>
      <c r="P26" s="682" t="s">
        <v>359</v>
      </c>
      <c r="Q26" s="664" t="s">
        <v>360</v>
      </c>
    </row>
    <row r="27" spans="1:17">
      <c r="A27" s="655" t="s">
        <v>334</v>
      </c>
      <c r="B27" s="658" t="str">
        <f t="shared" si="0"/>
        <v>0000</v>
      </c>
      <c r="C27" s="656" t="str">
        <f t="shared" ref="C27:C30" si="3">O27</f>
        <v>1C01</v>
      </c>
      <c r="D27" s="656" t="s">
        <v>335</v>
      </c>
      <c r="E27" s="656" t="s">
        <v>336</v>
      </c>
      <c r="F27" s="656" t="s">
        <v>337</v>
      </c>
      <c r="G27" s="656" t="s">
        <v>338</v>
      </c>
      <c r="H27" s="656" t="s">
        <v>339</v>
      </c>
      <c r="I27" s="657">
        <f>'4. Establishment'!Y14</f>
        <v>0</v>
      </c>
      <c r="J27" s="657"/>
      <c r="K27" s="660" t="str">
        <f t="shared" si="2"/>
        <v>E01 Select School</v>
      </c>
      <c r="L27" s="656" t="s">
        <v>340</v>
      </c>
      <c r="M27" s="672" t="s">
        <v>110</v>
      </c>
      <c r="N27" s="669" t="s">
        <v>361</v>
      </c>
      <c r="O27" s="731" t="s">
        <v>362</v>
      </c>
      <c r="P27" s="732" t="s">
        <v>363</v>
      </c>
      <c r="Q27" s="664" t="s">
        <v>360</v>
      </c>
    </row>
    <row r="28" spans="1:17">
      <c r="A28" s="655" t="s">
        <v>334</v>
      </c>
      <c r="B28" s="658" t="str">
        <f t="shared" si="0"/>
        <v>0000</v>
      </c>
      <c r="C28" s="656" t="str">
        <f t="shared" si="3"/>
        <v>1D01</v>
      </c>
      <c r="D28" s="656" t="s">
        <v>335</v>
      </c>
      <c r="E28" s="656" t="s">
        <v>336</v>
      </c>
      <c r="F28" s="656" t="s">
        <v>337</v>
      </c>
      <c r="G28" s="656" t="s">
        <v>338</v>
      </c>
      <c r="H28" s="656" t="s">
        <v>339</v>
      </c>
      <c r="I28" s="657">
        <f>'4. Establishment'!Z14</f>
        <v>0</v>
      </c>
      <c r="J28" s="657"/>
      <c r="K28" s="660" t="str">
        <f t="shared" si="2"/>
        <v>E01 Select School</v>
      </c>
      <c r="L28" s="656" t="s">
        <v>340</v>
      </c>
      <c r="M28" s="672" t="s">
        <v>110</v>
      </c>
      <c r="N28" s="669" t="s">
        <v>364</v>
      </c>
      <c r="O28" s="731" t="s">
        <v>365</v>
      </c>
      <c r="P28" s="732" t="s">
        <v>366</v>
      </c>
      <c r="Q28" s="664" t="s">
        <v>360</v>
      </c>
    </row>
    <row r="29" spans="1:17">
      <c r="A29" s="655" t="s">
        <v>334</v>
      </c>
      <c r="B29" s="658" t="str">
        <f t="shared" si="0"/>
        <v>0000</v>
      </c>
      <c r="C29" s="656" t="str">
        <f t="shared" si="3"/>
        <v>1H01</v>
      </c>
      <c r="D29" s="656" t="s">
        <v>335</v>
      </c>
      <c r="E29" s="656" t="s">
        <v>336</v>
      </c>
      <c r="F29" s="656" t="s">
        <v>337</v>
      </c>
      <c r="G29" s="656" t="s">
        <v>338</v>
      </c>
      <c r="H29" s="656" t="s">
        <v>339</v>
      </c>
      <c r="I29" s="657">
        <f>'4. Establishment'!AA14</f>
        <v>0</v>
      </c>
      <c r="J29" s="657"/>
      <c r="K29" s="660" t="str">
        <f t="shared" si="2"/>
        <v>E01 Select School</v>
      </c>
      <c r="L29" s="656" t="s">
        <v>340</v>
      </c>
      <c r="M29" s="672" t="s">
        <v>110</v>
      </c>
      <c r="N29" s="669" t="s">
        <v>367</v>
      </c>
      <c r="O29" s="731" t="s">
        <v>368</v>
      </c>
      <c r="P29" s="732" t="s">
        <v>369</v>
      </c>
      <c r="Q29" s="664" t="s">
        <v>360</v>
      </c>
    </row>
    <row r="30" spans="1:17" ht="15" thickBot="1">
      <c r="A30" s="655" t="s">
        <v>334</v>
      </c>
      <c r="B30" s="658" t="str">
        <f t="shared" si="0"/>
        <v>0000</v>
      </c>
      <c r="C30" s="656" t="str">
        <f t="shared" si="3"/>
        <v>1G01</v>
      </c>
      <c r="D30" s="656" t="s">
        <v>335</v>
      </c>
      <c r="E30" s="656" t="s">
        <v>336</v>
      </c>
      <c r="F30" s="656" t="s">
        <v>337</v>
      </c>
      <c r="G30" s="656" t="s">
        <v>338</v>
      </c>
      <c r="H30" s="656" t="s">
        <v>339</v>
      </c>
      <c r="I30" s="657">
        <f>'4. Establishment'!AB14+'4. Establishment'!AC14</f>
        <v>0</v>
      </c>
      <c r="J30" s="657"/>
      <c r="K30" s="660" t="str">
        <f t="shared" si="2"/>
        <v>E01 Select School</v>
      </c>
      <c r="L30" s="656" t="s">
        <v>340</v>
      </c>
      <c r="M30" s="668" t="s">
        <v>110</v>
      </c>
      <c r="N30" s="674" t="s">
        <v>370</v>
      </c>
      <c r="O30" s="733" t="s">
        <v>371</v>
      </c>
      <c r="P30" s="734" t="s">
        <v>372</v>
      </c>
      <c r="Q30" s="664" t="s">
        <v>360</v>
      </c>
    </row>
    <row r="31" spans="1:17">
      <c r="A31" s="655" t="s">
        <v>334</v>
      </c>
      <c r="B31" s="658" t="str">
        <f t="shared" si="0"/>
        <v>0000</v>
      </c>
      <c r="C31" s="656" t="str">
        <f t="shared" ref="C31:C65" si="4">O31</f>
        <v>1A25</v>
      </c>
      <c r="D31" s="656" t="s">
        <v>335</v>
      </c>
      <c r="E31" s="656" t="s">
        <v>336</v>
      </c>
      <c r="F31" s="656" t="s">
        <v>337</v>
      </c>
      <c r="G31" s="656" t="s">
        <v>338</v>
      </c>
      <c r="H31" s="656" t="s">
        <v>339</v>
      </c>
      <c r="I31" s="657">
        <f>('CFR Return'!P32+'CFR Return'!P33+'CFR Return'!P34+'CFR Return'!P35+'CFR Return'!P36+'CFR Return'!P37)-I32-I33-I34-I35</f>
        <v>0</v>
      </c>
      <c r="J31" s="657"/>
      <c r="K31" s="660" t="str">
        <f t="shared" si="2"/>
        <v>E02-07 Select School</v>
      </c>
      <c r="L31" s="656" t="s">
        <v>340</v>
      </c>
      <c r="M31" s="666" t="s">
        <v>373</v>
      </c>
      <c r="N31" s="673" t="s">
        <v>374</v>
      </c>
      <c r="O31" s="735" t="s">
        <v>375</v>
      </c>
      <c r="P31" s="736" t="s">
        <v>376</v>
      </c>
      <c r="Q31" s="664" t="s">
        <v>360</v>
      </c>
    </row>
    <row r="32" spans="1:17">
      <c r="A32" s="655" t="s">
        <v>334</v>
      </c>
      <c r="B32" s="658" t="str">
        <f t="shared" si="0"/>
        <v>0000</v>
      </c>
      <c r="C32" s="656" t="str">
        <f t="shared" si="4"/>
        <v>1C25</v>
      </c>
      <c r="D32" s="656" t="s">
        <v>335</v>
      </c>
      <c r="E32" s="656" t="s">
        <v>336</v>
      </c>
      <c r="F32" s="656" t="s">
        <v>337</v>
      </c>
      <c r="G32" s="656" t="s">
        <v>338</v>
      </c>
      <c r="H32" s="656" t="s">
        <v>339</v>
      </c>
      <c r="I32" s="657">
        <f>'4. Establishment'!AE14</f>
        <v>0</v>
      </c>
      <c r="J32" s="657"/>
      <c r="K32" s="660" t="str">
        <f t="shared" si="2"/>
        <v>E02-E07 Select School</v>
      </c>
      <c r="L32" s="656" t="s">
        <v>340</v>
      </c>
      <c r="M32" s="667" t="s">
        <v>377</v>
      </c>
      <c r="N32" s="661" t="s">
        <v>378</v>
      </c>
      <c r="O32" s="737" t="s">
        <v>379</v>
      </c>
      <c r="P32" s="738" t="s">
        <v>380</v>
      </c>
      <c r="Q32" s="664" t="s">
        <v>360</v>
      </c>
    </row>
    <row r="33" spans="1:17">
      <c r="A33" s="655" t="s">
        <v>334</v>
      </c>
      <c r="B33" s="658" t="str">
        <f t="shared" si="0"/>
        <v>0000</v>
      </c>
      <c r="C33" s="656" t="str">
        <f t="shared" si="4"/>
        <v>1D25</v>
      </c>
      <c r="D33" s="656" t="s">
        <v>335</v>
      </c>
      <c r="E33" s="656" t="s">
        <v>336</v>
      </c>
      <c r="F33" s="656" t="s">
        <v>337</v>
      </c>
      <c r="G33" s="656" t="s">
        <v>338</v>
      </c>
      <c r="H33" s="656" t="s">
        <v>339</v>
      </c>
      <c r="I33" s="657">
        <f>'4. Establishment'!AF14</f>
        <v>0</v>
      </c>
      <c r="J33" s="657"/>
      <c r="K33" s="660" t="str">
        <f t="shared" si="2"/>
        <v>E02-E07 Select School</v>
      </c>
      <c r="L33" s="656" t="s">
        <v>340</v>
      </c>
      <c r="M33" s="667" t="s">
        <v>377</v>
      </c>
      <c r="N33" s="661" t="s">
        <v>381</v>
      </c>
      <c r="O33" s="737" t="s">
        <v>382</v>
      </c>
      <c r="P33" s="738" t="s">
        <v>383</v>
      </c>
      <c r="Q33" s="664" t="s">
        <v>360</v>
      </c>
    </row>
    <row r="34" spans="1:17">
      <c r="A34" s="655" t="s">
        <v>334</v>
      </c>
      <c r="B34" s="658" t="str">
        <f t="shared" si="0"/>
        <v>0000</v>
      </c>
      <c r="C34" s="656" t="str">
        <f t="shared" si="4"/>
        <v>1H01</v>
      </c>
      <c r="D34" s="656" t="s">
        <v>335</v>
      </c>
      <c r="E34" s="656" t="s">
        <v>336</v>
      </c>
      <c r="F34" s="656" t="s">
        <v>337</v>
      </c>
      <c r="G34" s="656" t="s">
        <v>338</v>
      </c>
      <c r="H34" s="656" t="s">
        <v>339</v>
      </c>
      <c r="I34" s="657">
        <f>'4. Establishment'!AG14</f>
        <v>0</v>
      </c>
      <c r="J34" s="657"/>
      <c r="K34" s="660" t="str">
        <f t="shared" si="2"/>
        <v>E02-E07 Select School</v>
      </c>
      <c r="L34" s="656" t="s">
        <v>340</v>
      </c>
      <c r="M34" s="667" t="s">
        <v>377</v>
      </c>
      <c r="N34" s="661" t="s">
        <v>384</v>
      </c>
      <c r="O34" s="737" t="s">
        <v>368</v>
      </c>
      <c r="P34" s="738" t="s">
        <v>369</v>
      </c>
      <c r="Q34" s="664" t="s">
        <v>360</v>
      </c>
    </row>
    <row r="35" spans="1:17" ht="15" thickBot="1">
      <c r="A35" s="655" t="s">
        <v>334</v>
      </c>
      <c r="B35" s="658" t="str">
        <f t="shared" si="0"/>
        <v>0000</v>
      </c>
      <c r="C35" s="656" t="str">
        <f t="shared" si="4"/>
        <v>1G01</v>
      </c>
      <c r="D35" s="656" t="s">
        <v>335</v>
      </c>
      <c r="E35" s="656" t="s">
        <v>336</v>
      </c>
      <c r="F35" s="656" t="s">
        <v>337</v>
      </c>
      <c r="G35" s="656" t="s">
        <v>338</v>
      </c>
      <c r="H35" s="656" t="s">
        <v>339</v>
      </c>
      <c r="I35" s="657">
        <f>'4. Establishment'!AH14+'4. Establishment'!AI14</f>
        <v>0</v>
      </c>
      <c r="J35" s="657"/>
      <c r="K35" s="660" t="str">
        <f t="shared" si="2"/>
        <v>E02-E07 Select School</v>
      </c>
      <c r="L35" s="656" t="s">
        <v>340</v>
      </c>
      <c r="M35" s="668" t="s">
        <v>377</v>
      </c>
      <c r="N35" s="674" t="s">
        <v>385</v>
      </c>
      <c r="O35" s="733" t="s">
        <v>371</v>
      </c>
      <c r="P35" s="734" t="s">
        <v>372</v>
      </c>
      <c r="Q35" s="664" t="s">
        <v>360</v>
      </c>
    </row>
    <row r="36" spans="1:17" ht="15" thickBot="1">
      <c r="A36" s="655" t="s">
        <v>334</v>
      </c>
      <c r="B36" s="658" t="str">
        <f t="shared" si="0"/>
        <v>0000</v>
      </c>
      <c r="C36" s="656" t="str">
        <f t="shared" si="4"/>
        <v>1G05</v>
      </c>
      <c r="D36" s="656" t="s">
        <v>335</v>
      </c>
      <c r="E36" s="656" t="s">
        <v>336</v>
      </c>
      <c r="F36" s="656" t="s">
        <v>337</v>
      </c>
      <c r="G36" s="656" t="s">
        <v>338</v>
      </c>
      <c r="H36" s="656" t="s">
        <v>339</v>
      </c>
      <c r="I36" s="657">
        <f>'CFR Return'!I38+'CFR Return'!O38</f>
        <v>0</v>
      </c>
      <c r="J36" s="657"/>
      <c r="K36" s="660" t="str">
        <f t="shared" si="2"/>
        <v>E08 Select School</v>
      </c>
      <c r="L36" s="656" t="s">
        <v>340</v>
      </c>
      <c r="M36" s="670" t="s">
        <v>124</v>
      </c>
      <c r="N36" s="680" t="s">
        <v>125</v>
      </c>
      <c r="O36" s="681" t="s">
        <v>386</v>
      </c>
      <c r="P36" s="671" t="s">
        <v>387</v>
      </c>
      <c r="Q36" s="664" t="s">
        <v>360</v>
      </c>
    </row>
    <row r="37" spans="1:17" ht="15" thickBot="1">
      <c r="A37" s="655" t="s">
        <v>334</v>
      </c>
      <c r="B37" s="658" t="str">
        <f t="shared" si="0"/>
        <v>0000</v>
      </c>
      <c r="C37" s="656" t="str">
        <f t="shared" si="4"/>
        <v>1G04</v>
      </c>
      <c r="D37" s="656" t="s">
        <v>335</v>
      </c>
      <c r="E37" s="656" t="s">
        <v>336</v>
      </c>
      <c r="F37" s="656" t="s">
        <v>337</v>
      </c>
      <c r="G37" s="656" t="s">
        <v>338</v>
      </c>
      <c r="H37" s="656" t="s">
        <v>339</v>
      </c>
      <c r="I37" s="657">
        <f>'CFR Return'!I39+'CFR Return'!O39</f>
        <v>0</v>
      </c>
      <c r="J37" s="657"/>
      <c r="K37" s="660" t="str">
        <f t="shared" si="2"/>
        <v>E09 Select School</v>
      </c>
      <c r="L37" s="656" t="s">
        <v>340</v>
      </c>
      <c r="M37" s="670" t="s">
        <v>126</v>
      </c>
      <c r="N37" s="680" t="s">
        <v>127</v>
      </c>
      <c r="O37" s="681" t="s">
        <v>388</v>
      </c>
      <c r="P37" s="671" t="s">
        <v>389</v>
      </c>
      <c r="Q37" s="664" t="s">
        <v>360</v>
      </c>
    </row>
    <row r="38" spans="1:17">
      <c r="A38" s="655" t="s">
        <v>334</v>
      </c>
      <c r="B38" s="658" t="str">
        <f t="shared" si="0"/>
        <v>0000</v>
      </c>
      <c r="C38" s="656" t="str">
        <f t="shared" si="4"/>
        <v>1G31</v>
      </c>
      <c r="D38" s="656" t="s">
        <v>335</v>
      </c>
      <c r="E38" s="656" t="s">
        <v>336</v>
      </c>
      <c r="F38" s="656" t="s">
        <v>337</v>
      </c>
      <c r="G38" s="656" t="s">
        <v>338</v>
      </c>
      <c r="H38" s="656" t="s">
        <v>339</v>
      </c>
      <c r="I38" s="657">
        <f>'CFR Return'!I40+'CFR Return'!O40</f>
        <v>0</v>
      </c>
      <c r="J38" s="657"/>
      <c r="K38" s="660" t="str">
        <f t="shared" si="2"/>
        <v>E10 Select School</v>
      </c>
      <c r="L38" s="656" t="s">
        <v>340</v>
      </c>
      <c r="M38" s="663" t="s">
        <v>128</v>
      </c>
      <c r="N38" s="665" t="s">
        <v>129</v>
      </c>
      <c r="O38" s="663" t="s">
        <v>390</v>
      </c>
      <c r="P38" s="665" t="s">
        <v>391</v>
      </c>
      <c r="Q38" s="656" t="s">
        <v>392</v>
      </c>
    </row>
    <row r="39" spans="1:17">
      <c r="A39" s="655" t="s">
        <v>334</v>
      </c>
      <c r="B39" s="658" t="str">
        <f t="shared" si="0"/>
        <v>0000</v>
      </c>
      <c r="C39" s="656" t="str">
        <f t="shared" si="4"/>
        <v>1G30</v>
      </c>
      <c r="D39" s="656" t="s">
        <v>335</v>
      </c>
      <c r="E39" s="656" t="s">
        <v>336</v>
      </c>
      <c r="F39" s="656" t="s">
        <v>337</v>
      </c>
      <c r="G39" s="656" t="s">
        <v>338</v>
      </c>
      <c r="H39" s="656" t="s">
        <v>339</v>
      </c>
      <c r="I39" s="657">
        <f>'CFR Return'!I41+'CFR Return'!O41</f>
        <v>0</v>
      </c>
      <c r="J39" s="657"/>
      <c r="K39" s="660" t="str">
        <f t="shared" si="2"/>
        <v>E11 Select School</v>
      </c>
      <c r="L39" s="656" t="s">
        <v>340</v>
      </c>
      <c r="M39" s="656" t="s">
        <v>130</v>
      </c>
      <c r="N39" s="661" t="s">
        <v>131</v>
      </c>
      <c r="O39" s="656" t="s">
        <v>393</v>
      </c>
      <c r="P39" s="661" t="s">
        <v>394</v>
      </c>
      <c r="Q39" s="656" t="s">
        <v>392</v>
      </c>
    </row>
    <row r="40" spans="1:17">
      <c r="A40" s="655" t="s">
        <v>334</v>
      </c>
      <c r="B40" s="658" t="str">
        <f t="shared" si="0"/>
        <v>0000</v>
      </c>
      <c r="C40" s="656" t="str">
        <f t="shared" si="4"/>
        <v>2A15</v>
      </c>
      <c r="D40" s="656" t="s">
        <v>335</v>
      </c>
      <c r="E40" s="656" t="s">
        <v>336</v>
      </c>
      <c r="F40" s="656" t="s">
        <v>337</v>
      </c>
      <c r="G40" s="656" t="s">
        <v>338</v>
      </c>
      <c r="H40" s="656" t="s">
        <v>339</v>
      </c>
      <c r="I40" s="657">
        <f>'CFR Return'!I42+'CFR Return'!O42</f>
        <v>0</v>
      </c>
      <c r="J40" s="657"/>
      <c r="K40" s="660" t="str">
        <f t="shared" si="2"/>
        <v>E12 Select School</v>
      </c>
      <c r="L40" s="656" t="s">
        <v>340</v>
      </c>
      <c r="M40" s="656" t="s">
        <v>132</v>
      </c>
      <c r="N40" s="661" t="s">
        <v>133</v>
      </c>
      <c r="O40" s="656" t="s">
        <v>395</v>
      </c>
      <c r="P40" s="661" t="s">
        <v>396</v>
      </c>
      <c r="Q40" s="656" t="s">
        <v>392</v>
      </c>
    </row>
    <row r="41" spans="1:17">
      <c r="A41" s="655" t="s">
        <v>334</v>
      </c>
      <c r="B41" s="658" t="str">
        <f t="shared" si="0"/>
        <v>0000</v>
      </c>
      <c r="C41" s="656" t="str">
        <f t="shared" si="4"/>
        <v>2B00</v>
      </c>
      <c r="D41" s="656" t="s">
        <v>335</v>
      </c>
      <c r="E41" s="656" t="s">
        <v>336</v>
      </c>
      <c r="F41" s="656" t="s">
        <v>337</v>
      </c>
      <c r="G41" s="656" t="s">
        <v>338</v>
      </c>
      <c r="H41" s="656" t="s">
        <v>339</v>
      </c>
      <c r="I41" s="657">
        <f>'CFR Return'!I43+'CFR Return'!O43</f>
        <v>0</v>
      </c>
      <c r="J41" s="657"/>
      <c r="K41" s="660" t="str">
        <f t="shared" si="2"/>
        <v>E13 Select School</v>
      </c>
      <c r="L41" s="656" t="s">
        <v>340</v>
      </c>
      <c r="M41" s="656" t="s">
        <v>134</v>
      </c>
      <c r="N41" s="661" t="s">
        <v>135</v>
      </c>
      <c r="O41" s="656" t="s">
        <v>397</v>
      </c>
      <c r="P41" s="661" t="s">
        <v>398</v>
      </c>
      <c r="Q41" s="656" t="s">
        <v>392</v>
      </c>
    </row>
    <row r="42" spans="1:17">
      <c r="A42" s="655" t="s">
        <v>334</v>
      </c>
      <c r="B42" s="658" t="str">
        <f t="shared" si="0"/>
        <v>0000</v>
      </c>
      <c r="C42" s="656" t="str">
        <f t="shared" si="4"/>
        <v>2H00</v>
      </c>
      <c r="D42" s="656" t="s">
        <v>335</v>
      </c>
      <c r="E42" s="656" t="s">
        <v>336</v>
      </c>
      <c r="F42" s="656" t="s">
        <v>337</v>
      </c>
      <c r="G42" s="656" t="s">
        <v>338</v>
      </c>
      <c r="H42" s="656" t="s">
        <v>339</v>
      </c>
      <c r="I42" s="657">
        <f>'CFR Return'!I44+'CFR Return'!O44</f>
        <v>0</v>
      </c>
      <c r="J42" s="657"/>
      <c r="K42" s="660" t="str">
        <f t="shared" si="2"/>
        <v>E14 Select School</v>
      </c>
      <c r="L42" s="656" t="s">
        <v>340</v>
      </c>
      <c r="M42" s="656" t="s">
        <v>136</v>
      </c>
      <c r="N42" s="661" t="s">
        <v>137</v>
      </c>
      <c r="O42" s="656" t="s">
        <v>399</v>
      </c>
      <c r="P42" s="661" t="s">
        <v>400</v>
      </c>
      <c r="Q42" s="656" t="s">
        <v>392</v>
      </c>
    </row>
    <row r="43" spans="1:17">
      <c r="A43" s="655" t="s">
        <v>334</v>
      </c>
      <c r="B43" s="658" t="str">
        <f t="shared" si="0"/>
        <v>0000</v>
      </c>
      <c r="C43" s="656" t="str">
        <f t="shared" si="4"/>
        <v>2F00</v>
      </c>
      <c r="D43" s="656" t="s">
        <v>335</v>
      </c>
      <c r="E43" s="656" t="s">
        <v>336</v>
      </c>
      <c r="F43" s="656" t="s">
        <v>337</v>
      </c>
      <c r="G43" s="656" t="s">
        <v>338</v>
      </c>
      <c r="H43" s="656" t="s">
        <v>339</v>
      </c>
      <c r="I43" s="657">
        <f>'CFR Return'!I45+'CFR Return'!O45</f>
        <v>0</v>
      </c>
      <c r="J43" s="657"/>
      <c r="K43" s="660" t="str">
        <f t="shared" si="2"/>
        <v>E15 Select School</v>
      </c>
      <c r="L43" s="656" t="s">
        <v>340</v>
      </c>
      <c r="M43" s="656" t="s">
        <v>138</v>
      </c>
      <c r="N43" s="661" t="s">
        <v>139</v>
      </c>
      <c r="O43" s="656" t="s">
        <v>401</v>
      </c>
      <c r="P43" s="661" t="s">
        <v>402</v>
      </c>
      <c r="Q43" s="656" t="s">
        <v>392</v>
      </c>
    </row>
    <row r="44" spans="1:17">
      <c r="A44" s="655" t="s">
        <v>334</v>
      </c>
      <c r="B44" s="658" t="str">
        <f t="shared" si="0"/>
        <v>0000</v>
      </c>
      <c r="C44" s="656" t="str">
        <f t="shared" si="4"/>
        <v>2C03</v>
      </c>
      <c r="D44" s="656" t="s">
        <v>335</v>
      </c>
      <c r="E44" s="656" t="s">
        <v>336</v>
      </c>
      <c r="F44" s="656" t="s">
        <v>337</v>
      </c>
      <c r="G44" s="656" t="s">
        <v>338</v>
      </c>
      <c r="H44" s="656" t="s">
        <v>339</v>
      </c>
      <c r="I44" s="657">
        <f>'CFR Return'!I46+'CFR Return'!O46</f>
        <v>0</v>
      </c>
      <c r="J44" s="657"/>
      <c r="K44" s="660" t="str">
        <f t="shared" si="2"/>
        <v>E16 Select School</v>
      </c>
      <c r="L44" s="656" t="s">
        <v>340</v>
      </c>
      <c r="M44" s="656" t="s">
        <v>140</v>
      </c>
      <c r="N44" s="661" t="s">
        <v>141</v>
      </c>
      <c r="O44" s="656" t="s">
        <v>403</v>
      </c>
      <c r="P44" s="661" t="s">
        <v>404</v>
      </c>
      <c r="Q44" s="656" t="s">
        <v>392</v>
      </c>
    </row>
    <row r="45" spans="1:17">
      <c r="A45" s="655" t="s">
        <v>334</v>
      </c>
      <c r="B45" s="658" t="str">
        <f t="shared" si="0"/>
        <v>0000</v>
      </c>
      <c r="C45" s="656" t="str">
        <f t="shared" si="4"/>
        <v>2D02</v>
      </c>
      <c r="D45" s="656" t="s">
        <v>335</v>
      </c>
      <c r="E45" s="656" t="s">
        <v>336</v>
      </c>
      <c r="F45" s="656" t="s">
        <v>337</v>
      </c>
      <c r="G45" s="656" t="s">
        <v>338</v>
      </c>
      <c r="H45" s="656" t="s">
        <v>339</v>
      </c>
      <c r="I45" s="657">
        <f>'CFR Return'!I47+'CFR Return'!O47</f>
        <v>0</v>
      </c>
      <c r="J45" s="657"/>
      <c r="K45" s="660" t="str">
        <f t="shared" si="2"/>
        <v>E17 Select School</v>
      </c>
      <c r="L45" s="656" t="s">
        <v>340</v>
      </c>
      <c r="M45" s="656" t="s">
        <v>142</v>
      </c>
      <c r="N45" s="661" t="s">
        <v>143</v>
      </c>
      <c r="O45" s="656" t="s">
        <v>405</v>
      </c>
      <c r="P45" s="661" t="s">
        <v>143</v>
      </c>
      <c r="Q45" s="656" t="s">
        <v>392</v>
      </c>
    </row>
    <row r="46" spans="1:17">
      <c r="A46" s="655" t="s">
        <v>334</v>
      </c>
      <c r="B46" s="658" t="str">
        <f t="shared" si="0"/>
        <v>0000</v>
      </c>
      <c r="C46" s="656" t="str">
        <f t="shared" si="4"/>
        <v>4A01</v>
      </c>
      <c r="D46" s="656" t="s">
        <v>335</v>
      </c>
      <c r="E46" s="656" t="s">
        <v>336</v>
      </c>
      <c r="F46" s="656" t="s">
        <v>337</v>
      </c>
      <c r="G46" s="656" t="s">
        <v>338</v>
      </c>
      <c r="H46" s="656" t="s">
        <v>339</v>
      </c>
      <c r="I46" s="657">
        <f>'CFR Return'!I48+'CFR Return'!O48</f>
        <v>0</v>
      </c>
      <c r="J46" s="657"/>
      <c r="K46" s="660" t="str">
        <f t="shared" si="2"/>
        <v>E18 Select School</v>
      </c>
      <c r="L46" s="656" t="s">
        <v>340</v>
      </c>
      <c r="M46" s="656" t="s">
        <v>144</v>
      </c>
      <c r="N46" s="661" t="s">
        <v>145</v>
      </c>
      <c r="O46" s="656" t="s">
        <v>406</v>
      </c>
      <c r="P46" s="661" t="s">
        <v>407</v>
      </c>
      <c r="Q46" s="656" t="s">
        <v>392</v>
      </c>
    </row>
    <row r="47" spans="1:17">
      <c r="A47" s="655" t="s">
        <v>334</v>
      </c>
      <c r="B47" s="658" t="str">
        <f t="shared" si="0"/>
        <v>0000</v>
      </c>
      <c r="C47" s="656" t="str">
        <f t="shared" si="4"/>
        <v>4A0A</v>
      </c>
      <c r="D47" s="656" t="s">
        <v>335</v>
      </c>
      <c r="E47" s="656" t="s">
        <v>336</v>
      </c>
      <c r="F47" s="656" t="s">
        <v>337</v>
      </c>
      <c r="G47" s="656" t="s">
        <v>338</v>
      </c>
      <c r="H47" s="656" t="s">
        <v>339</v>
      </c>
      <c r="I47" s="657">
        <f>'CFR Return'!I49+'CFR Return'!O49</f>
        <v>0</v>
      </c>
      <c r="J47" s="657"/>
      <c r="K47" s="660" t="str">
        <f t="shared" si="2"/>
        <v>E19 Select School</v>
      </c>
      <c r="L47" s="656" t="s">
        <v>340</v>
      </c>
      <c r="M47" s="656" t="s">
        <v>146</v>
      </c>
      <c r="N47" s="661" t="s">
        <v>147</v>
      </c>
      <c r="O47" s="656" t="s">
        <v>408</v>
      </c>
      <c r="P47" s="661" t="s">
        <v>409</v>
      </c>
      <c r="Q47" s="656" t="s">
        <v>392</v>
      </c>
    </row>
    <row r="48" spans="1:17">
      <c r="A48" s="655" t="s">
        <v>334</v>
      </c>
      <c r="B48" s="658" t="str">
        <f t="shared" si="0"/>
        <v>0000</v>
      </c>
      <c r="C48" s="656" t="str">
        <f t="shared" si="4"/>
        <v>4G05</v>
      </c>
      <c r="D48" s="656" t="s">
        <v>335</v>
      </c>
      <c r="E48" s="656" t="s">
        <v>336</v>
      </c>
      <c r="F48" s="656" t="s">
        <v>337</v>
      </c>
      <c r="G48" s="656" t="s">
        <v>338</v>
      </c>
      <c r="H48" s="656" t="s">
        <v>339</v>
      </c>
      <c r="I48" s="657">
        <f>'CFR Return'!I50+'CFR Return'!O50</f>
        <v>0</v>
      </c>
      <c r="J48" s="657"/>
      <c r="K48" s="660" t="str">
        <f t="shared" si="2"/>
        <v>E20A Select School</v>
      </c>
      <c r="L48" s="656" t="s">
        <v>340</v>
      </c>
      <c r="M48" s="656" t="s">
        <v>149</v>
      </c>
      <c r="N48" s="661" t="s">
        <v>150</v>
      </c>
      <c r="O48" s="656" t="s">
        <v>410</v>
      </c>
      <c r="P48" s="661" t="s">
        <v>411</v>
      </c>
      <c r="Q48" s="656" t="s">
        <v>392</v>
      </c>
    </row>
    <row r="49" spans="1:17">
      <c r="A49" s="655" t="s">
        <v>334</v>
      </c>
      <c r="B49" s="658" t="str">
        <f t="shared" si="0"/>
        <v>0000</v>
      </c>
      <c r="C49" s="656" t="str">
        <f t="shared" si="4"/>
        <v>4G05</v>
      </c>
      <c r="D49" s="656" t="s">
        <v>335</v>
      </c>
      <c r="E49" s="656" t="s">
        <v>336</v>
      </c>
      <c r="F49" s="656" t="s">
        <v>337</v>
      </c>
      <c r="G49" s="656" t="s">
        <v>338</v>
      </c>
      <c r="H49" s="656" t="s">
        <v>339</v>
      </c>
      <c r="I49" s="657">
        <f>'CFR Return'!I51+'CFR Return'!O51</f>
        <v>0</v>
      </c>
      <c r="J49" s="657"/>
      <c r="K49" s="660" t="str">
        <f t="shared" si="2"/>
        <v>E20B Select School</v>
      </c>
      <c r="L49" s="656" t="s">
        <v>340</v>
      </c>
      <c r="M49" s="656" t="s">
        <v>151</v>
      </c>
      <c r="N49" s="661" t="s">
        <v>152</v>
      </c>
      <c r="O49" s="656" t="s">
        <v>410</v>
      </c>
      <c r="P49" s="661" t="s">
        <v>411</v>
      </c>
      <c r="Q49" s="656" t="s">
        <v>392</v>
      </c>
    </row>
    <row r="50" spans="1:17">
      <c r="A50" s="655" t="s">
        <v>334</v>
      </c>
      <c r="B50" s="658" t="str">
        <f t="shared" si="0"/>
        <v>0000</v>
      </c>
      <c r="C50" s="656" t="str">
        <f t="shared" si="4"/>
        <v>4G05</v>
      </c>
      <c r="D50" s="656" t="s">
        <v>335</v>
      </c>
      <c r="E50" s="656" t="s">
        <v>336</v>
      </c>
      <c r="F50" s="656" t="s">
        <v>337</v>
      </c>
      <c r="G50" s="656" t="s">
        <v>338</v>
      </c>
      <c r="H50" s="656" t="s">
        <v>339</v>
      </c>
      <c r="I50" s="657">
        <f>'CFR Return'!I52+'CFR Return'!O52</f>
        <v>0</v>
      </c>
      <c r="J50" s="657"/>
      <c r="K50" s="660" t="str">
        <f t="shared" si="2"/>
        <v>E20C Select School</v>
      </c>
      <c r="L50" s="656" t="s">
        <v>340</v>
      </c>
      <c r="M50" s="656" t="s">
        <v>153</v>
      </c>
      <c r="N50" s="661" t="s">
        <v>154</v>
      </c>
      <c r="O50" s="656" t="s">
        <v>410</v>
      </c>
      <c r="P50" s="661" t="s">
        <v>411</v>
      </c>
      <c r="Q50" s="656" t="s">
        <v>392</v>
      </c>
    </row>
    <row r="51" spans="1:17">
      <c r="A51" s="655" t="s">
        <v>334</v>
      </c>
      <c r="B51" s="658" t="str">
        <f t="shared" si="0"/>
        <v>0000</v>
      </c>
      <c r="C51" s="656" t="str">
        <f t="shared" si="4"/>
        <v>4G05</v>
      </c>
      <c r="D51" s="656" t="s">
        <v>335</v>
      </c>
      <c r="E51" s="656" t="s">
        <v>336</v>
      </c>
      <c r="F51" s="656" t="s">
        <v>337</v>
      </c>
      <c r="G51" s="656" t="s">
        <v>338</v>
      </c>
      <c r="H51" s="656" t="s">
        <v>339</v>
      </c>
      <c r="I51" s="657">
        <f>'CFR Return'!I53+'CFR Return'!O53</f>
        <v>0</v>
      </c>
      <c r="J51" s="657"/>
      <c r="K51" s="660" t="str">
        <f t="shared" si="2"/>
        <v>E20D Select School</v>
      </c>
      <c r="L51" s="656" t="s">
        <v>340</v>
      </c>
      <c r="M51" s="656" t="s">
        <v>155</v>
      </c>
      <c r="N51" s="661" t="s">
        <v>156</v>
      </c>
      <c r="O51" s="656" t="s">
        <v>410</v>
      </c>
      <c r="P51" s="661" t="s">
        <v>411</v>
      </c>
      <c r="Q51" s="656" t="s">
        <v>392</v>
      </c>
    </row>
    <row r="52" spans="1:17">
      <c r="A52" s="655" t="s">
        <v>334</v>
      </c>
      <c r="B52" s="658" t="str">
        <f t="shared" si="0"/>
        <v>0000</v>
      </c>
      <c r="C52" s="656" t="str">
        <f t="shared" si="4"/>
        <v>4G05</v>
      </c>
      <c r="D52" s="656" t="s">
        <v>335</v>
      </c>
      <c r="E52" s="656" t="s">
        <v>336</v>
      </c>
      <c r="F52" s="656" t="s">
        <v>337</v>
      </c>
      <c r="G52" s="656" t="s">
        <v>338</v>
      </c>
      <c r="H52" s="656" t="s">
        <v>339</v>
      </c>
      <c r="I52" s="657">
        <f>'CFR Return'!I54+'CFR Return'!O54</f>
        <v>0</v>
      </c>
      <c r="J52" s="657"/>
      <c r="K52" s="660" t="str">
        <f t="shared" si="2"/>
        <v>E20E Select School</v>
      </c>
      <c r="L52" s="656" t="s">
        <v>340</v>
      </c>
      <c r="M52" s="656" t="s">
        <v>157</v>
      </c>
      <c r="N52" s="661" t="s">
        <v>158</v>
      </c>
      <c r="O52" s="656" t="s">
        <v>410</v>
      </c>
      <c r="P52" s="661" t="s">
        <v>411</v>
      </c>
      <c r="Q52" s="656" t="s">
        <v>392</v>
      </c>
    </row>
    <row r="53" spans="1:17">
      <c r="A53" s="655" t="s">
        <v>334</v>
      </c>
      <c r="B53" s="658" t="str">
        <f t="shared" si="0"/>
        <v>0000</v>
      </c>
      <c r="C53" s="656" t="str">
        <f t="shared" si="4"/>
        <v>4G05</v>
      </c>
      <c r="D53" s="656" t="s">
        <v>335</v>
      </c>
      <c r="E53" s="656" t="s">
        <v>336</v>
      </c>
      <c r="F53" s="656" t="s">
        <v>337</v>
      </c>
      <c r="G53" s="656" t="s">
        <v>338</v>
      </c>
      <c r="H53" s="656" t="s">
        <v>339</v>
      </c>
      <c r="I53" s="657">
        <f>'CFR Return'!I55+'CFR Return'!O55</f>
        <v>0</v>
      </c>
      <c r="J53" s="657"/>
      <c r="K53" s="660" t="str">
        <f t="shared" si="2"/>
        <v>E20F Select School</v>
      </c>
      <c r="L53" s="656" t="s">
        <v>340</v>
      </c>
      <c r="M53" s="656" t="s">
        <v>159</v>
      </c>
      <c r="N53" s="661" t="s">
        <v>160</v>
      </c>
      <c r="O53" s="656" t="s">
        <v>410</v>
      </c>
      <c r="P53" s="661" t="s">
        <v>411</v>
      </c>
      <c r="Q53" s="656" t="s">
        <v>392</v>
      </c>
    </row>
    <row r="54" spans="1:17">
      <c r="A54" s="655" t="s">
        <v>334</v>
      </c>
      <c r="B54" s="658" t="str">
        <f t="shared" si="0"/>
        <v>0000</v>
      </c>
      <c r="C54" s="656" t="str">
        <f t="shared" si="4"/>
        <v>4G05</v>
      </c>
      <c r="D54" s="656" t="s">
        <v>335</v>
      </c>
      <c r="E54" s="656" t="s">
        <v>336</v>
      </c>
      <c r="F54" s="656" t="s">
        <v>337</v>
      </c>
      <c r="G54" s="656" t="s">
        <v>338</v>
      </c>
      <c r="H54" s="656" t="s">
        <v>339</v>
      </c>
      <c r="I54" s="657">
        <f>'CFR Return'!I56+'CFR Return'!O56</f>
        <v>0</v>
      </c>
      <c r="J54" s="657"/>
      <c r="K54" s="660" t="str">
        <f t="shared" si="2"/>
        <v>E20G Select School</v>
      </c>
      <c r="L54" s="656" t="s">
        <v>340</v>
      </c>
      <c r="M54" s="656" t="s">
        <v>161</v>
      </c>
      <c r="N54" s="661" t="s">
        <v>162</v>
      </c>
      <c r="O54" s="656" t="s">
        <v>410</v>
      </c>
      <c r="P54" s="661" t="s">
        <v>411</v>
      </c>
      <c r="Q54" s="656" t="s">
        <v>392</v>
      </c>
    </row>
    <row r="55" spans="1:17">
      <c r="A55" s="655" t="s">
        <v>334</v>
      </c>
      <c r="B55" s="658" t="str">
        <f t="shared" si="0"/>
        <v>0000</v>
      </c>
      <c r="C55" s="656" t="str">
        <f t="shared" si="4"/>
        <v>4P00</v>
      </c>
      <c r="D55" s="656" t="s">
        <v>335</v>
      </c>
      <c r="E55" s="656" t="s">
        <v>336</v>
      </c>
      <c r="F55" s="656" t="s">
        <v>337</v>
      </c>
      <c r="G55" s="656" t="s">
        <v>338</v>
      </c>
      <c r="H55" s="656" t="s">
        <v>339</v>
      </c>
      <c r="I55" s="657">
        <f>'CFR Return'!I57+'CFR Return'!O57</f>
        <v>0</v>
      </c>
      <c r="J55" s="657"/>
      <c r="K55" s="660" t="str">
        <f t="shared" si="2"/>
        <v>E21 Select School</v>
      </c>
      <c r="L55" s="656" t="s">
        <v>340</v>
      </c>
      <c r="M55" s="656" t="s">
        <v>163</v>
      </c>
      <c r="N55" s="661" t="s">
        <v>164</v>
      </c>
      <c r="O55" s="656" t="s">
        <v>412</v>
      </c>
      <c r="P55" s="661" t="s">
        <v>413</v>
      </c>
      <c r="Q55" s="656" t="s">
        <v>392</v>
      </c>
    </row>
    <row r="56" spans="1:17">
      <c r="A56" s="655" t="s">
        <v>334</v>
      </c>
      <c r="B56" s="658" t="str">
        <f t="shared" si="0"/>
        <v>0000</v>
      </c>
      <c r="C56" s="656" t="str">
        <f t="shared" si="4"/>
        <v>4P00</v>
      </c>
      <c r="D56" s="656" t="s">
        <v>335</v>
      </c>
      <c r="E56" s="656" t="s">
        <v>336</v>
      </c>
      <c r="F56" s="656" t="s">
        <v>337</v>
      </c>
      <c r="G56" s="656" t="s">
        <v>338</v>
      </c>
      <c r="H56" s="656" t="s">
        <v>339</v>
      </c>
      <c r="I56" s="657">
        <f>'CFR Return'!I58+'CFR Return'!O58</f>
        <v>0</v>
      </c>
      <c r="J56" s="657"/>
      <c r="K56" s="660" t="str">
        <f t="shared" si="2"/>
        <v>E22 Select School</v>
      </c>
      <c r="L56" s="656" t="s">
        <v>340</v>
      </c>
      <c r="M56" s="656" t="s">
        <v>165</v>
      </c>
      <c r="N56" s="661" t="s">
        <v>166</v>
      </c>
      <c r="O56" s="656" t="s">
        <v>412</v>
      </c>
      <c r="P56" s="661" t="s">
        <v>413</v>
      </c>
      <c r="Q56" s="656" t="s">
        <v>392</v>
      </c>
    </row>
    <row r="57" spans="1:17">
      <c r="A57" s="655" t="s">
        <v>334</v>
      </c>
      <c r="B57" s="658" t="str">
        <f t="shared" si="0"/>
        <v>0000</v>
      </c>
      <c r="C57" s="656" t="str">
        <f t="shared" si="4"/>
        <v>2J00</v>
      </c>
      <c r="D57" s="656" t="s">
        <v>335</v>
      </c>
      <c r="E57" s="656" t="s">
        <v>336</v>
      </c>
      <c r="F57" s="656" t="s">
        <v>337</v>
      </c>
      <c r="G57" s="656" t="s">
        <v>338</v>
      </c>
      <c r="H57" s="656" t="s">
        <v>339</v>
      </c>
      <c r="I57" s="657">
        <f>'CFR Return'!I59+'CFR Return'!O59</f>
        <v>0</v>
      </c>
      <c r="J57" s="657"/>
      <c r="K57" s="660" t="str">
        <f t="shared" si="2"/>
        <v>E23 Select School</v>
      </c>
      <c r="L57" s="656" t="s">
        <v>340</v>
      </c>
      <c r="M57" s="656" t="s">
        <v>167</v>
      </c>
      <c r="N57" s="661" t="s">
        <v>168</v>
      </c>
      <c r="O57" s="656" t="s">
        <v>414</v>
      </c>
      <c r="P57" s="661" t="s">
        <v>415</v>
      </c>
      <c r="Q57" s="656" t="s">
        <v>392</v>
      </c>
    </row>
    <row r="58" spans="1:17">
      <c r="A58" s="655" t="s">
        <v>334</v>
      </c>
      <c r="B58" s="658" t="str">
        <f t="shared" si="0"/>
        <v>0000</v>
      </c>
      <c r="C58" s="656" t="str">
        <f t="shared" si="4"/>
        <v>4P00</v>
      </c>
      <c r="D58" s="656" t="s">
        <v>335</v>
      </c>
      <c r="E58" s="656" t="s">
        <v>336</v>
      </c>
      <c r="F58" s="656" t="s">
        <v>337</v>
      </c>
      <c r="G58" s="656" t="s">
        <v>338</v>
      </c>
      <c r="H58" s="656" t="s">
        <v>339</v>
      </c>
      <c r="I58" s="657">
        <f>'CFR Return'!I60+'CFR Return'!O60</f>
        <v>0</v>
      </c>
      <c r="J58" s="657"/>
      <c r="K58" s="660" t="str">
        <f t="shared" si="2"/>
        <v>E24 Select School</v>
      </c>
      <c r="L58" s="656" t="s">
        <v>340</v>
      </c>
      <c r="M58" s="656" t="s">
        <v>169</v>
      </c>
      <c r="N58" s="661" t="s">
        <v>170</v>
      </c>
      <c r="O58" s="656" t="s">
        <v>412</v>
      </c>
      <c r="P58" s="661" t="s">
        <v>413</v>
      </c>
      <c r="Q58" s="656" t="s">
        <v>392</v>
      </c>
    </row>
    <row r="59" spans="1:17" ht="15" thickBot="1">
      <c r="A59" s="655" t="s">
        <v>334</v>
      </c>
      <c r="B59" s="658" t="str">
        <f t="shared" si="0"/>
        <v>0000</v>
      </c>
      <c r="C59" s="656" t="str">
        <f t="shared" si="4"/>
        <v>4B0C</v>
      </c>
      <c r="D59" s="656" t="s">
        <v>335</v>
      </c>
      <c r="E59" s="656" t="s">
        <v>336</v>
      </c>
      <c r="F59" s="656" t="s">
        <v>337</v>
      </c>
      <c r="G59" s="656" t="s">
        <v>338</v>
      </c>
      <c r="H59" s="656" t="s">
        <v>339</v>
      </c>
      <c r="I59" s="657">
        <f>'CFR Return'!I61+'CFR Return'!O61</f>
        <v>0</v>
      </c>
      <c r="J59" s="657"/>
      <c r="K59" s="660" t="str">
        <f t="shared" si="2"/>
        <v>E25 Select School</v>
      </c>
      <c r="L59" s="656" t="s">
        <v>340</v>
      </c>
      <c r="M59" s="662" t="s">
        <v>171</v>
      </c>
      <c r="N59" s="669" t="s">
        <v>172</v>
      </c>
      <c r="O59" s="662" t="s">
        <v>416</v>
      </c>
      <c r="P59" s="669" t="s">
        <v>417</v>
      </c>
      <c r="Q59" s="656" t="s">
        <v>392</v>
      </c>
    </row>
    <row r="60" spans="1:17" ht="15" thickBot="1">
      <c r="A60" s="655" t="s">
        <v>334</v>
      </c>
      <c r="B60" s="658" t="str">
        <f t="shared" si="0"/>
        <v>0000</v>
      </c>
      <c r="C60" s="656" t="str">
        <f t="shared" si="4"/>
        <v>1F00</v>
      </c>
      <c r="D60" s="656" t="s">
        <v>335</v>
      </c>
      <c r="E60" s="656" t="s">
        <v>336</v>
      </c>
      <c r="F60" s="656" t="s">
        <v>337</v>
      </c>
      <c r="G60" s="656" t="s">
        <v>338</v>
      </c>
      <c r="H60" s="656" t="s">
        <v>339</v>
      </c>
      <c r="I60" s="657">
        <f>'CFR Return'!I62+'CFR Return'!O62</f>
        <v>0</v>
      </c>
      <c r="J60" s="657"/>
      <c r="K60" s="660" t="str">
        <f t="shared" si="2"/>
        <v>E26 Select School</v>
      </c>
      <c r="L60" s="656" t="s">
        <v>340</v>
      </c>
      <c r="M60" s="670" t="s">
        <v>173</v>
      </c>
      <c r="N60" s="680" t="s">
        <v>174</v>
      </c>
      <c r="O60" s="681" t="s">
        <v>418</v>
      </c>
      <c r="P60" s="671" t="s">
        <v>419</v>
      </c>
      <c r="Q60" s="664" t="s">
        <v>420</v>
      </c>
    </row>
    <row r="61" spans="1:17">
      <c r="A61" s="655" t="s">
        <v>334</v>
      </c>
      <c r="B61" s="658" t="str">
        <f t="shared" si="0"/>
        <v>0000</v>
      </c>
      <c r="C61" s="656" t="str">
        <f t="shared" si="4"/>
        <v>4F11</v>
      </c>
      <c r="D61" s="656" t="s">
        <v>335</v>
      </c>
      <c r="E61" s="656" t="s">
        <v>336</v>
      </c>
      <c r="F61" s="656" t="s">
        <v>337</v>
      </c>
      <c r="G61" s="656" t="s">
        <v>338</v>
      </c>
      <c r="H61" s="656" t="s">
        <v>339</v>
      </c>
      <c r="I61" s="657">
        <f>'CFR Return'!I63+'CFR Return'!O63</f>
        <v>0</v>
      </c>
      <c r="J61" s="657"/>
      <c r="K61" s="660" t="str">
        <f t="shared" si="2"/>
        <v>E27 Select School</v>
      </c>
      <c r="L61" s="656" t="s">
        <v>340</v>
      </c>
      <c r="M61" s="678" t="s">
        <v>175</v>
      </c>
      <c r="N61" s="679" t="s">
        <v>176</v>
      </c>
      <c r="O61" s="678" t="s">
        <v>421</v>
      </c>
      <c r="P61" s="679" t="s">
        <v>422</v>
      </c>
      <c r="Q61" s="656" t="s">
        <v>392</v>
      </c>
    </row>
    <row r="62" spans="1:17">
      <c r="A62" s="655" t="s">
        <v>334</v>
      </c>
      <c r="B62" s="658" t="str">
        <f t="shared" si="0"/>
        <v>0000</v>
      </c>
      <c r="C62" s="656" t="str">
        <f t="shared" si="4"/>
        <v>4F11</v>
      </c>
      <c r="D62" s="656" t="s">
        <v>335</v>
      </c>
      <c r="E62" s="656" t="s">
        <v>336</v>
      </c>
      <c r="F62" s="656" t="s">
        <v>337</v>
      </c>
      <c r="G62" s="656" t="s">
        <v>338</v>
      </c>
      <c r="H62" s="656" t="s">
        <v>339</v>
      </c>
      <c r="I62" s="657">
        <f>'CFR Return'!I64+'CFR Return'!O64</f>
        <v>0</v>
      </c>
      <c r="J62" s="657"/>
      <c r="K62" s="660" t="str">
        <f t="shared" si="2"/>
        <v>E28a Select School</v>
      </c>
      <c r="L62" s="656" t="s">
        <v>340</v>
      </c>
      <c r="M62" s="656" t="s">
        <v>178</v>
      </c>
      <c r="N62" s="661" t="s">
        <v>179</v>
      </c>
      <c r="O62" s="656" t="s">
        <v>421</v>
      </c>
      <c r="P62" s="661" t="s">
        <v>422</v>
      </c>
      <c r="Q62" s="656" t="s">
        <v>392</v>
      </c>
    </row>
    <row r="63" spans="1:17">
      <c r="A63" s="655" t="s">
        <v>334</v>
      </c>
      <c r="B63" s="658" t="str">
        <f t="shared" si="0"/>
        <v>0000</v>
      </c>
      <c r="C63" s="656" t="str">
        <f t="shared" si="4"/>
        <v>4F11</v>
      </c>
      <c r="D63" s="656" t="s">
        <v>335</v>
      </c>
      <c r="E63" s="656" t="s">
        <v>336</v>
      </c>
      <c r="F63" s="656" t="s">
        <v>337</v>
      </c>
      <c r="G63" s="656" t="s">
        <v>338</v>
      </c>
      <c r="H63" s="656" t="s">
        <v>339</v>
      </c>
      <c r="I63" s="657">
        <f>'CFR Return'!I65+'CFR Return'!O65</f>
        <v>0</v>
      </c>
      <c r="J63" s="657"/>
      <c r="K63" s="660" t="str">
        <f t="shared" si="2"/>
        <v>E28b Select School</v>
      </c>
      <c r="L63" s="656" t="s">
        <v>340</v>
      </c>
      <c r="M63" s="656" t="s">
        <v>180</v>
      </c>
      <c r="N63" s="661" t="s">
        <v>181</v>
      </c>
      <c r="O63" s="656" t="s">
        <v>421</v>
      </c>
      <c r="P63" s="661" t="s">
        <v>422</v>
      </c>
      <c r="Q63" s="656" t="s">
        <v>392</v>
      </c>
    </row>
    <row r="64" spans="1:17">
      <c r="A64" s="655" t="s">
        <v>334</v>
      </c>
      <c r="B64" s="658" t="str">
        <f t="shared" si="0"/>
        <v>0000</v>
      </c>
      <c r="C64" s="656" t="str">
        <f t="shared" si="4"/>
        <v>4P00</v>
      </c>
      <c r="D64" s="656" t="s">
        <v>335</v>
      </c>
      <c r="E64" s="656" t="s">
        <v>336</v>
      </c>
      <c r="F64" s="656" t="s">
        <v>337</v>
      </c>
      <c r="G64" s="656" t="s">
        <v>338</v>
      </c>
      <c r="H64" s="656" t="s">
        <v>339</v>
      </c>
      <c r="I64" s="657">
        <f>'CFR Return'!I66+'CFR Return'!O66</f>
        <v>0</v>
      </c>
      <c r="J64" s="657"/>
      <c r="K64" s="660" t="str">
        <f t="shared" si="2"/>
        <v>E29 Select School</v>
      </c>
      <c r="L64" s="656" t="s">
        <v>340</v>
      </c>
      <c r="M64" s="656" t="s">
        <v>182</v>
      </c>
      <c r="N64" s="661" t="s">
        <v>183</v>
      </c>
      <c r="O64" s="656" t="s">
        <v>412</v>
      </c>
      <c r="P64" s="661" t="s">
        <v>413</v>
      </c>
      <c r="Q64" s="656" t="s">
        <v>392</v>
      </c>
    </row>
    <row r="65" spans="1:17">
      <c r="A65" s="655" t="s">
        <v>334</v>
      </c>
      <c r="B65" s="746" t="str">
        <f t="shared" si="0"/>
        <v>0000</v>
      </c>
      <c r="C65" s="737" t="str">
        <f t="shared" si="4"/>
        <v>9D55</v>
      </c>
      <c r="D65" s="737" t="s">
        <v>335</v>
      </c>
      <c r="E65" s="737" t="s">
        <v>336</v>
      </c>
      <c r="F65" s="737" t="s">
        <v>337</v>
      </c>
      <c r="G65" s="737" t="s">
        <v>338</v>
      </c>
      <c r="H65" s="737" t="s">
        <v>339</v>
      </c>
      <c r="I65" s="747">
        <f>'CFR Return'!I67+'CFR Return'!O67</f>
        <v>0</v>
      </c>
      <c r="J65" s="747"/>
      <c r="K65" s="739" t="str">
        <f t="shared" si="2"/>
        <v>E30 Select School</v>
      </c>
      <c r="L65" s="656" t="s">
        <v>340</v>
      </c>
      <c r="M65" s="737" t="s">
        <v>184</v>
      </c>
      <c r="N65" s="748" t="s">
        <v>185</v>
      </c>
      <c r="O65" s="656" t="s">
        <v>423</v>
      </c>
      <c r="P65" s="661" t="s">
        <v>424</v>
      </c>
      <c r="Q65" s="656" t="s">
        <v>392</v>
      </c>
    </row>
    <row r="66" spans="1:17">
      <c r="A66" s="655" t="s">
        <v>334</v>
      </c>
      <c r="B66" s="658" t="str">
        <f t="shared" si="0"/>
        <v>0000</v>
      </c>
      <c r="C66" s="656" t="s">
        <v>313</v>
      </c>
      <c r="D66" s="656" t="s">
        <v>335</v>
      </c>
      <c r="E66" s="656" t="s">
        <v>336</v>
      </c>
      <c r="F66" s="656" t="s">
        <v>337</v>
      </c>
      <c r="G66" s="656" t="s">
        <v>338</v>
      </c>
      <c r="H66" s="656" t="s">
        <v>339</v>
      </c>
      <c r="I66" s="657"/>
      <c r="J66" s="657">
        <f>'CFR Return'!I69+'CFR Return'!O69</f>
        <v>0</v>
      </c>
      <c r="K66" s="660" t="str">
        <f t="shared" ref="K66" si="5">M66&amp;" "&amp;$B$4</f>
        <v>E01-E30 Non Cash Sheet Expenditure Select School</v>
      </c>
      <c r="L66" s="656" t="s">
        <v>340</v>
      </c>
      <c r="M66" s="656" t="s">
        <v>425</v>
      </c>
      <c r="N66" s="656"/>
      <c r="O66" s="656" t="s">
        <v>313</v>
      </c>
      <c r="P66" s="661" t="s">
        <v>354</v>
      </c>
      <c r="Q66" s="656"/>
    </row>
    <row r="67" spans="1:17">
      <c r="A67" s="655" t="s">
        <v>334</v>
      </c>
      <c r="B67" s="658" t="str">
        <f t="shared" si="0"/>
        <v>0000</v>
      </c>
      <c r="C67" s="656" t="s">
        <v>426</v>
      </c>
      <c r="D67" s="656" t="s">
        <v>335</v>
      </c>
      <c r="E67" s="656" t="s">
        <v>336</v>
      </c>
      <c r="F67" s="656" t="s">
        <v>337</v>
      </c>
      <c r="G67" s="656" t="s">
        <v>338</v>
      </c>
      <c r="H67" s="656" t="s">
        <v>339</v>
      </c>
      <c r="I67" s="657">
        <f>'CFR Return'!H69</f>
        <v>0</v>
      </c>
      <c r="J67" s="657"/>
      <c r="K67" s="660" t="str">
        <f t="shared" ref="K67:K78" si="6">M67&amp;" "&amp;$B$4</f>
        <v>E01-E30 Cash Sheet Expenditure Select School</v>
      </c>
      <c r="L67" s="656" t="s">
        <v>340</v>
      </c>
      <c r="M67" s="656" t="s">
        <v>427</v>
      </c>
      <c r="N67" s="656"/>
      <c r="O67" s="656" t="s">
        <v>426</v>
      </c>
      <c r="P67" s="661" t="s">
        <v>428</v>
      </c>
      <c r="Q67" s="656"/>
    </row>
    <row r="68" spans="1:17">
      <c r="A68" s="655" t="s">
        <v>334</v>
      </c>
      <c r="B68" s="658" t="str">
        <f t="shared" si="0"/>
        <v>0000</v>
      </c>
      <c r="C68" s="656" t="s">
        <v>313</v>
      </c>
      <c r="D68" s="656" t="s">
        <v>335</v>
      </c>
      <c r="E68" s="656" t="s">
        <v>336</v>
      </c>
      <c r="F68" s="656" t="s">
        <v>337</v>
      </c>
      <c r="G68" s="656" t="s">
        <v>338</v>
      </c>
      <c r="H68" s="656" t="s">
        <v>339</v>
      </c>
      <c r="I68" s="657"/>
      <c r="J68" s="657">
        <f>'CFR Return'!H69</f>
        <v>0</v>
      </c>
      <c r="K68" s="660" t="str">
        <f t="shared" si="6"/>
        <v>E01-E30 Cash Sheet Expenditure Select School</v>
      </c>
      <c r="L68" s="656" t="s">
        <v>340</v>
      </c>
      <c r="M68" s="656" t="s">
        <v>427</v>
      </c>
      <c r="N68" s="656"/>
      <c r="O68" s="656" t="s">
        <v>313</v>
      </c>
      <c r="P68" s="661" t="s">
        <v>354</v>
      </c>
      <c r="Q68" s="656"/>
    </row>
    <row r="69" spans="1:17">
      <c r="A69" s="655" t="s">
        <v>334</v>
      </c>
      <c r="B69" s="746" t="s">
        <v>429</v>
      </c>
      <c r="C69" s="737" t="s">
        <v>355</v>
      </c>
      <c r="D69" s="737" t="s">
        <v>335</v>
      </c>
      <c r="E69" s="737" t="s">
        <v>336</v>
      </c>
      <c r="F69" s="737" t="s">
        <v>430</v>
      </c>
      <c r="G69" s="737" t="s">
        <v>338</v>
      </c>
      <c r="H69" s="737" t="s">
        <v>339</v>
      </c>
      <c r="I69" s="747"/>
      <c r="J69" s="747">
        <f>'CFR Return'!H80</f>
        <v>0</v>
      </c>
      <c r="K69" s="739" t="str">
        <f t="shared" si="6"/>
        <v>CI01 Select School</v>
      </c>
      <c r="L69" s="737" t="s">
        <v>309</v>
      </c>
      <c r="M69" s="737" t="s">
        <v>192</v>
      </c>
      <c r="N69" s="748" t="s">
        <v>431</v>
      </c>
      <c r="O69" s="656" t="s">
        <v>355</v>
      </c>
      <c r="P69" s="661" t="s">
        <v>357</v>
      </c>
      <c r="Q69" s="656"/>
    </row>
    <row r="70" spans="1:17">
      <c r="A70" s="655" t="s">
        <v>334</v>
      </c>
      <c r="B70" s="746" t="s">
        <v>432</v>
      </c>
      <c r="C70" s="737" t="s">
        <v>433</v>
      </c>
      <c r="D70" s="737" t="s">
        <v>434</v>
      </c>
      <c r="E70" s="737" t="s">
        <v>435</v>
      </c>
      <c r="F70" s="737" t="s">
        <v>436</v>
      </c>
      <c r="G70" s="737" t="s">
        <v>338</v>
      </c>
      <c r="H70" s="737" t="s">
        <v>339</v>
      </c>
      <c r="I70" s="747"/>
      <c r="J70" s="747">
        <f>'CFR Return'!I80+'CFR Return'!O80+'CFR Return'!I81+'CFR Return'!O81</f>
        <v>0</v>
      </c>
      <c r="K70" s="739" t="str">
        <f t="shared" si="6"/>
        <v>CI01-CI02 Select School</v>
      </c>
      <c r="L70" s="737" t="s">
        <v>309</v>
      </c>
      <c r="M70" s="737" t="s">
        <v>437</v>
      </c>
      <c r="N70" s="748" t="s">
        <v>438</v>
      </c>
      <c r="O70" s="656" t="s">
        <v>433</v>
      </c>
      <c r="P70" s="661" t="s">
        <v>439</v>
      </c>
      <c r="Q70" s="656"/>
    </row>
    <row r="71" spans="1:17">
      <c r="A71" s="655" t="s">
        <v>334</v>
      </c>
      <c r="B71" s="746" t="s">
        <v>432</v>
      </c>
      <c r="C71" s="737" t="s">
        <v>440</v>
      </c>
      <c r="D71" s="737" t="s">
        <v>434</v>
      </c>
      <c r="E71" s="737" t="s">
        <v>435</v>
      </c>
      <c r="F71" s="737" t="s">
        <v>436</v>
      </c>
      <c r="G71" s="737" t="s">
        <v>338</v>
      </c>
      <c r="H71" s="737" t="s">
        <v>339</v>
      </c>
      <c r="I71" s="747"/>
      <c r="J71" s="747">
        <f>'CFR Return'!I82</f>
        <v>0</v>
      </c>
      <c r="K71" s="739" t="str">
        <f t="shared" si="6"/>
        <v>CI04 Select School</v>
      </c>
      <c r="L71" s="737" t="s">
        <v>309</v>
      </c>
      <c r="M71" s="737" t="s">
        <v>196</v>
      </c>
      <c r="N71" s="748" t="s">
        <v>197</v>
      </c>
      <c r="O71" s="656"/>
      <c r="P71" s="661"/>
      <c r="Q71" s="656"/>
    </row>
    <row r="72" spans="1:17">
      <c r="A72" s="655" t="s">
        <v>334</v>
      </c>
      <c r="B72" s="746" t="str">
        <f t="shared" si="0"/>
        <v>0000</v>
      </c>
      <c r="C72" s="737" t="s">
        <v>313</v>
      </c>
      <c r="D72" s="737" t="s">
        <v>335</v>
      </c>
      <c r="E72" s="737" t="s">
        <v>336</v>
      </c>
      <c r="F72" s="737" t="s">
        <v>337</v>
      </c>
      <c r="G72" s="737" t="s">
        <v>338</v>
      </c>
      <c r="H72" s="737" t="s">
        <v>339</v>
      </c>
      <c r="I72" s="747">
        <f>J69</f>
        <v>0</v>
      </c>
      <c r="J72" s="747"/>
      <c r="K72" s="739" t="str">
        <f t="shared" si="6"/>
        <v>CI01 Cash Sheet Income Select School</v>
      </c>
      <c r="L72" s="737" t="s">
        <v>309</v>
      </c>
      <c r="M72" s="737" t="s">
        <v>441</v>
      </c>
      <c r="N72" s="748"/>
      <c r="O72" s="656" t="s">
        <v>313</v>
      </c>
      <c r="P72" s="661" t="s">
        <v>354</v>
      </c>
      <c r="Q72" s="656"/>
    </row>
    <row r="73" spans="1:17">
      <c r="A73" s="655" t="s">
        <v>334</v>
      </c>
      <c r="B73" s="746" t="str">
        <f t="shared" si="0"/>
        <v>0000</v>
      </c>
      <c r="C73" s="737" t="s">
        <v>313</v>
      </c>
      <c r="D73" s="737" t="s">
        <v>335</v>
      </c>
      <c r="E73" s="737" t="s">
        <v>336</v>
      </c>
      <c r="F73" s="737" t="s">
        <v>337</v>
      </c>
      <c r="G73" s="737" t="s">
        <v>338</v>
      </c>
      <c r="H73" s="737" t="s">
        <v>339</v>
      </c>
      <c r="I73" s="747">
        <f>SUM(J70:J71)</f>
        <v>0</v>
      </c>
      <c r="J73" s="747"/>
      <c r="K73" s="739" t="str">
        <f t="shared" si="6"/>
        <v>CI01-CI04 Non Cash Sheet Income Select School</v>
      </c>
      <c r="L73" s="737" t="s">
        <v>309</v>
      </c>
      <c r="M73" s="737" t="s">
        <v>442</v>
      </c>
      <c r="N73" s="737"/>
      <c r="O73" s="656" t="s">
        <v>313</v>
      </c>
      <c r="P73" s="661" t="s">
        <v>354</v>
      </c>
      <c r="Q73" s="656"/>
    </row>
    <row r="74" spans="1:17">
      <c r="A74" s="655" t="s">
        <v>334</v>
      </c>
      <c r="B74" s="746" t="s">
        <v>432</v>
      </c>
      <c r="C74" s="737" t="s">
        <v>443</v>
      </c>
      <c r="D74" s="737" t="s">
        <v>434</v>
      </c>
      <c r="E74" s="737" t="s">
        <v>435</v>
      </c>
      <c r="F74" s="737" t="s">
        <v>436</v>
      </c>
      <c r="G74" s="737" t="s">
        <v>338</v>
      </c>
      <c r="H74" s="737" t="s">
        <v>339</v>
      </c>
      <c r="I74" s="747">
        <f>'CFR Return'!I87+'CFR Return'!O87</f>
        <v>0</v>
      </c>
      <c r="J74" s="747"/>
      <c r="K74" s="739" t="str">
        <f t="shared" si="6"/>
        <v>CE01 Select School</v>
      </c>
      <c r="L74" s="737" t="s">
        <v>309</v>
      </c>
      <c r="M74" s="737" t="s">
        <v>200</v>
      </c>
      <c r="N74" s="737" t="s">
        <v>201</v>
      </c>
      <c r="O74" s="656" t="s">
        <v>443</v>
      </c>
      <c r="P74" s="661" t="s">
        <v>444</v>
      </c>
      <c r="Q74" s="656"/>
    </row>
    <row r="75" spans="1:17">
      <c r="A75" s="655" t="s">
        <v>334</v>
      </c>
      <c r="B75" s="746" t="s">
        <v>432</v>
      </c>
      <c r="C75" s="737" t="s">
        <v>445</v>
      </c>
      <c r="D75" s="737" t="s">
        <v>434</v>
      </c>
      <c r="E75" s="737" t="s">
        <v>435</v>
      </c>
      <c r="F75" s="737" t="s">
        <v>436</v>
      </c>
      <c r="G75" s="737" t="s">
        <v>338</v>
      </c>
      <c r="H75" s="737" t="s">
        <v>339</v>
      </c>
      <c r="I75" s="747">
        <f>'CFR Return'!I88+'CFR Return'!O88</f>
        <v>0</v>
      </c>
      <c r="J75" s="747"/>
      <c r="K75" s="739" t="str">
        <f t="shared" si="6"/>
        <v>CE02 Select School</v>
      </c>
      <c r="L75" s="737" t="s">
        <v>309</v>
      </c>
      <c r="M75" s="737" t="s">
        <v>202</v>
      </c>
      <c r="N75" s="737" t="s">
        <v>203</v>
      </c>
      <c r="O75" s="656" t="s">
        <v>445</v>
      </c>
      <c r="P75" s="661" t="s">
        <v>446</v>
      </c>
      <c r="Q75" s="656"/>
    </row>
    <row r="76" spans="1:17">
      <c r="A76" s="655" t="s">
        <v>334</v>
      </c>
      <c r="B76" s="746" t="s">
        <v>432</v>
      </c>
      <c r="C76" s="737" t="s">
        <v>447</v>
      </c>
      <c r="D76" s="737" t="s">
        <v>434</v>
      </c>
      <c r="E76" s="737" t="s">
        <v>435</v>
      </c>
      <c r="F76" s="737" t="s">
        <v>436</v>
      </c>
      <c r="G76" s="737" t="s">
        <v>338</v>
      </c>
      <c r="H76" s="737" t="s">
        <v>339</v>
      </c>
      <c r="I76" s="747">
        <f>'CFR Return'!I89+'CFR Return'!O89</f>
        <v>0</v>
      </c>
      <c r="J76" s="747"/>
      <c r="K76" s="739" t="str">
        <f t="shared" si="6"/>
        <v>CE03 Select School</v>
      </c>
      <c r="L76" s="737" t="s">
        <v>309</v>
      </c>
      <c r="M76" s="737" t="s">
        <v>204</v>
      </c>
      <c r="N76" s="737" t="s">
        <v>205</v>
      </c>
      <c r="O76" s="656" t="s">
        <v>447</v>
      </c>
      <c r="P76" s="661" t="s">
        <v>448</v>
      </c>
      <c r="Q76" s="656"/>
    </row>
    <row r="77" spans="1:17">
      <c r="A77" s="655" t="s">
        <v>334</v>
      </c>
      <c r="B77" s="746" t="s">
        <v>432</v>
      </c>
      <c r="C77" s="737" t="s">
        <v>449</v>
      </c>
      <c r="D77" s="737" t="s">
        <v>434</v>
      </c>
      <c r="E77" s="737" t="s">
        <v>435</v>
      </c>
      <c r="F77" s="737" t="s">
        <v>436</v>
      </c>
      <c r="G77" s="737" t="s">
        <v>338</v>
      </c>
      <c r="H77" s="737" t="s">
        <v>339</v>
      </c>
      <c r="I77" s="747">
        <f>SUM('CFR Return'!I90:I94)+SUM('CFR Return'!O90:O94)</f>
        <v>0</v>
      </c>
      <c r="J77" s="747"/>
      <c r="K77" s="739" t="str">
        <f t="shared" si="6"/>
        <v>CE04 Select School</v>
      </c>
      <c r="L77" s="737" t="s">
        <v>309</v>
      </c>
      <c r="M77" s="737" t="s">
        <v>211</v>
      </c>
      <c r="N77" s="737" t="s">
        <v>450</v>
      </c>
      <c r="O77" s="656" t="s">
        <v>449</v>
      </c>
      <c r="P77" s="661" t="s">
        <v>451</v>
      </c>
      <c r="Q77" s="656"/>
    </row>
    <row r="78" spans="1:17">
      <c r="A78" s="655" t="s">
        <v>334</v>
      </c>
      <c r="B78" s="658" t="str">
        <f t="shared" ref="B78" si="7">$B$5</f>
        <v>0000</v>
      </c>
      <c r="C78" s="656" t="s">
        <v>313</v>
      </c>
      <c r="D78" s="656" t="s">
        <v>335</v>
      </c>
      <c r="E78" s="656" t="s">
        <v>336</v>
      </c>
      <c r="F78" s="656" t="s">
        <v>337</v>
      </c>
      <c r="G78" s="656" t="s">
        <v>338</v>
      </c>
      <c r="H78" s="656" t="s">
        <v>339</v>
      </c>
      <c r="I78" s="657"/>
      <c r="J78" s="657">
        <f>SUM(I74:I77)</f>
        <v>0</v>
      </c>
      <c r="K78" s="739" t="str">
        <f t="shared" si="6"/>
        <v>CE01-CE04 Non Cash Sheet Expenditure Select School</v>
      </c>
      <c r="L78" s="656" t="s">
        <v>309</v>
      </c>
      <c r="M78" s="656" t="s">
        <v>452</v>
      </c>
      <c r="N78" s="656"/>
      <c r="O78" s="656" t="s">
        <v>313</v>
      </c>
      <c r="P78" s="661" t="s">
        <v>354</v>
      </c>
      <c r="Q78" s="656"/>
    </row>
    <row r="79" spans="1:17">
      <c r="A79" s="655" t="s">
        <v>334</v>
      </c>
      <c r="B79" s="658" t="str">
        <f>$B$5</f>
        <v>0000</v>
      </c>
      <c r="C79" s="656" t="str">
        <f>O79</f>
        <v>8G00</v>
      </c>
      <c r="D79" s="656" t="s">
        <v>335</v>
      </c>
      <c r="E79" s="656" t="s">
        <v>336</v>
      </c>
      <c r="F79" s="656" t="s">
        <v>337</v>
      </c>
      <c r="G79" s="656" t="s">
        <v>338</v>
      </c>
      <c r="H79" s="656" t="s">
        <v>339</v>
      </c>
      <c r="I79" s="657"/>
      <c r="J79" s="657">
        <f>'CFR Return'!I107+'CFR Return'!I108+'CFR Return'!O107+'CFR Return'!O108</f>
        <v>0</v>
      </c>
      <c r="K79" s="660" t="str">
        <f>M79&amp;" "&amp;$B$4</f>
        <v>I16-I17 Select School</v>
      </c>
      <c r="L79" s="656" t="s">
        <v>453</v>
      </c>
      <c r="M79" s="656" t="s">
        <v>454</v>
      </c>
      <c r="N79" s="656"/>
      <c r="O79" s="656" t="s">
        <v>341</v>
      </c>
      <c r="P79" s="661" t="s">
        <v>342</v>
      </c>
      <c r="Q79" s="656" t="s">
        <v>343</v>
      </c>
    </row>
    <row r="80" spans="1:17">
      <c r="A80" s="655" t="s">
        <v>334</v>
      </c>
      <c r="B80" s="658" t="str">
        <f>$B$5</f>
        <v>0000</v>
      </c>
      <c r="C80" s="656" t="s">
        <v>313</v>
      </c>
      <c r="D80" s="656" t="s">
        <v>335</v>
      </c>
      <c r="E80" s="656" t="s">
        <v>336</v>
      </c>
      <c r="F80" s="656" t="s">
        <v>337</v>
      </c>
      <c r="G80" s="656" t="s">
        <v>338</v>
      </c>
      <c r="H80" s="656" t="s">
        <v>339</v>
      </c>
      <c r="I80" s="657">
        <f>J79</f>
        <v>0</v>
      </c>
      <c r="J80" s="657"/>
      <c r="K80" s="660" t="str">
        <f>M80&amp;" "&amp;$B$4</f>
        <v>I16-I17 Non Cash Sheet Income Select School</v>
      </c>
      <c r="L80" s="656" t="s">
        <v>453</v>
      </c>
      <c r="M80" s="656" t="s">
        <v>455</v>
      </c>
      <c r="N80" s="656"/>
      <c r="O80" s="656" t="s">
        <v>313</v>
      </c>
      <c r="P80" s="661" t="s">
        <v>354</v>
      </c>
      <c r="Q80" s="656"/>
    </row>
    <row r="81" spans="1:17">
      <c r="A81" s="655" t="s">
        <v>334</v>
      </c>
      <c r="B81" s="658" t="str">
        <f>$B$5</f>
        <v>0000</v>
      </c>
      <c r="C81" s="656" t="str">
        <f>O81</f>
        <v>4P00</v>
      </c>
      <c r="D81" s="656" t="s">
        <v>335</v>
      </c>
      <c r="E81" s="656" t="s">
        <v>336</v>
      </c>
      <c r="F81" s="656" t="s">
        <v>337</v>
      </c>
      <c r="G81" s="656" t="s">
        <v>338</v>
      </c>
      <c r="H81" s="656" t="s">
        <v>339</v>
      </c>
      <c r="I81" s="657">
        <f>'CFR Return'!I113+'CFR Return'!I114+'CFR Return'!O113+'CFR Return'!O114</f>
        <v>0</v>
      </c>
      <c r="J81" s="657"/>
      <c r="K81" s="660" t="str">
        <f>M81&amp;" "&amp;$B$4</f>
        <v>E31-E32 Select School</v>
      </c>
      <c r="L81" s="656" t="s">
        <v>453</v>
      </c>
      <c r="M81" s="656" t="s">
        <v>456</v>
      </c>
      <c r="N81" s="656"/>
      <c r="O81" s="656" t="s">
        <v>412</v>
      </c>
      <c r="P81" s="661" t="s">
        <v>413</v>
      </c>
      <c r="Q81" s="656" t="s">
        <v>392</v>
      </c>
    </row>
    <row r="82" spans="1:17">
      <c r="A82" s="655" t="s">
        <v>334</v>
      </c>
      <c r="B82" s="658" t="str">
        <f>$B$5</f>
        <v>0000</v>
      </c>
      <c r="C82" s="656" t="s">
        <v>313</v>
      </c>
      <c r="D82" s="656" t="s">
        <v>335</v>
      </c>
      <c r="E82" s="656" t="s">
        <v>336</v>
      </c>
      <c r="F82" s="656" t="s">
        <v>337</v>
      </c>
      <c r="G82" s="656" t="s">
        <v>338</v>
      </c>
      <c r="H82" s="656" t="s">
        <v>339</v>
      </c>
      <c r="I82" s="657"/>
      <c r="J82" s="657">
        <f>I81</f>
        <v>0</v>
      </c>
      <c r="K82" s="660" t="str">
        <f>M82&amp;" "&amp;$B$4</f>
        <v>E31-E32 Non Cash Sheet Expenditure Select School</v>
      </c>
      <c r="L82" s="656" t="s">
        <v>453</v>
      </c>
      <c r="M82" s="656" t="s">
        <v>457</v>
      </c>
      <c r="N82" s="656"/>
      <c r="O82" s="656" t="s">
        <v>313</v>
      </c>
      <c r="P82" s="661" t="s">
        <v>354</v>
      </c>
      <c r="Q82" s="656"/>
    </row>
    <row r="84" spans="1:17">
      <c r="I84" s="94"/>
      <c r="J84" s="94"/>
    </row>
    <row r="85" spans="1:17">
      <c r="I85" s="94">
        <f>SUMIFS(I8:I82,C8:C82,"eta4")</f>
        <v>0</v>
      </c>
      <c r="J85" s="94">
        <f>SUMIFS(J8:J82,C8:C82,"eta4")</f>
        <v>0</v>
      </c>
    </row>
  </sheetData>
  <autoFilter ref="A7:Q82" xr:uid="{C7E48720-CB08-42F5-8381-25349BABC30A}"/>
  <mergeCells count="1">
    <mergeCell ref="A1:E1"/>
  </mergeCells>
  <phoneticPr fontId="46" type="noConversion"/>
  <pageMargins left="0.7" right="0.7" top="0.75" bottom="0.75" header="0.3" footer="0.3"/>
  <headerFooter>
    <oddFooter>&amp;C_x000D_&amp;1#&amp;"Calibri"&amp;10&amp;K000000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DZ7"/>
  <sheetViews>
    <sheetView workbookViewId="0">
      <selection activeCell="BI7" sqref="BI7"/>
    </sheetView>
  </sheetViews>
  <sheetFormatPr defaultRowHeight="14.4"/>
  <cols>
    <col min="2" max="2" width="35" customWidth="1"/>
    <col min="3" max="3" width="12.88671875" customWidth="1"/>
    <col min="4" max="4" width="11.88671875" bestFit="1" customWidth="1"/>
    <col min="7" max="7" width="10.6640625" bestFit="1" customWidth="1"/>
    <col min="22" max="22" width="10.6640625" bestFit="1" customWidth="1"/>
    <col min="61" max="61" width="9.6640625" bestFit="1" customWidth="1"/>
    <col min="62" max="63" width="10.6640625" bestFit="1" customWidth="1"/>
    <col min="89" max="89" width="10.6640625" bestFit="1" customWidth="1"/>
    <col min="94" max="95" width="10.6640625" bestFit="1" customWidth="1"/>
    <col min="98" max="98" width="10.6640625" bestFit="1" customWidth="1"/>
    <col min="104" max="104" width="10.6640625" bestFit="1" customWidth="1"/>
    <col min="112" max="113" width="9.6640625" bestFit="1" customWidth="1"/>
    <col min="129" max="129" width="10.6640625" bestFit="1" customWidth="1"/>
    <col min="130" max="130" width="13.6640625" bestFit="1" customWidth="1"/>
  </cols>
  <sheetData>
    <row r="1" spans="1:130" s="97" customFormat="1" ht="15.6">
      <c r="A1" s="95" t="s">
        <v>458</v>
      </c>
      <c r="B1" s="96"/>
    </row>
    <row r="2" spans="1:130" s="97" customFormat="1" ht="15.6">
      <c r="A2" s="95" t="s">
        <v>459</v>
      </c>
      <c r="B2" s="96"/>
    </row>
    <row r="3" spans="1:130" s="97" customFormat="1" ht="15.6">
      <c r="A3" s="118"/>
      <c r="B3" s="118"/>
    </row>
    <row r="4" spans="1:130" s="103" customFormat="1" ht="12.75" customHeight="1">
      <c r="A4" s="842" t="s">
        <v>460</v>
      </c>
      <c r="B4" s="843"/>
      <c r="C4" s="843"/>
      <c r="D4" s="843"/>
      <c r="E4" s="843"/>
      <c r="F4" s="844"/>
      <c r="G4" s="845" t="s">
        <v>461</v>
      </c>
      <c r="H4" s="846"/>
      <c r="I4" s="846"/>
      <c r="J4" s="846"/>
      <c r="K4" s="846"/>
      <c r="L4" s="846"/>
      <c r="M4" s="846"/>
      <c r="N4" s="846"/>
      <c r="O4" s="846"/>
      <c r="P4" s="846"/>
      <c r="Q4" s="846"/>
      <c r="R4" s="846"/>
      <c r="S4" s="846"/>
      <c r="T4" s="846"/>
      <c r="U4" s="846"/>
      <c r="V4" s="846"/>
      <c r="W4" s="846"/>
      <c r="X4" s="846"/>
      <c r="Y4" s="846"/>
      <c r="Z4" s="846"/>
      <c r="AA4" s="846"/>
      <c r="AB4" s="846"/>
      <c r="AC4" s="846"/>
      <c r="AD4" s="846"/>
      <c r="AE4" s="846"/>
      <c r="AF4" s="846"/>
      <c r="AG4" s="846"/>
      <c r="AH4" s="846"/>
      <c r="AI4" s="846"/>
      <c r="AJ4" s="846"/>
      <c r="AK4" s="846"/>
      <c r="AL4" s="846"/>
      <c r="AM4" s="846"/>
      <c r="AN4" s="846"/>
      <c r="AO4" s="846"/>
      <c r="AP4" s="846"/>
      <c r="AQ4" s="846"/>
      <c r="AR4" s="846"/>
      <c r="AS4" s="846"/>
      <c r="AT4" s="846"/>
      <c r="AU4" s="846"/>
      <c r="AV4" s="846"/>
      <c r="AW4" s="846"/>
      <c r="AX4" s="846"/>
      <c r="AY4" s="846"/>
      <c r="AZ4" s="846"/>
      <c r="BA4" s="846"/>
      <c r="BB4" s="846"/>
      <c r="BC4" s="846"/>
      <c r="BD4" s="846"/>
      <c r="BE4" s="846"/>
      <c r="BF4" s="846"/>
      <c r="BG4" s="846"/>
      <c r="BH4" s="846"/>
      <c r="BI4" s="846"/>
      <c r="BJ4" s="846"/>
      <c r="BK4" s="847"/>
      <c r="BL4" s="848" t="s">
        <v>462</v>
      </c>
      <c r="BM4" s="849"/>
      <c r="BN4" s="849"/>
      <c r="BO4" s="849"/>
      <c r="BP4" s="849"/>
      <c r="BQ4" s="849"/>
      <c r="BR4" s="849"/>
      <c r="BS4" s="849"/>
      <c r="BT4" s="849"/>
      <c r="BU4" s="849"/>
      <c r="BV4" s="849"/>
      <c r="BW4" s="849"/>
      <c r="BX4" s="849"/>
      <c r="BY4" s="849"/>
      <c r="BZ4" s="849"/>
      <c r="CA4" s="850"/>
      <c r="CB4" s="851" t="s">
        <v>463</v>
      </c>
      <c r="CC4" s="852"/>
      <c r="CD4" s="852"/>
      <c r="CE4" s="852"/>
      <c r="CF4" s="852"/>
      <c r="CG4" s="852"/>
      <c r="CH4" s="852"/>
      <c r="CI4" s="852"/>
      <c r="CJ4" s="853"/>
      <c r="CK4" s="854" t="s">
        <v>464</v>
      </c>
      <c r="CL4" s="854"/>
      <c r="CM4" s="854"/>
      <c r="CN4" s="854"/>
      <c r="CO4" s="854"/>
      <c r="CP4" s="854"/>
      <c r="CQ4" s="855" t="s">
        <v>465</v>
      </c>
      <c r="CR4" s="856"/>
      <c r="CS4" s="856"/>
      <c r="CT4" s="856"/>
      <c r="CU4" s="856"/>
      <c r="CV4" s="856"/>
      <c r="CW4" s="856"/>
      <c r="CX4" s="856"/>
      <c r="CY4" s="856"/>
      <c r="CZ4" s="857"/>
      <c r="DA4" s="836" t="s">
        <v>466</v>
      </c>
      <c r="DB4" s="837"/>
      <c r="DC4" s="837"/>
      <c r="DD4" s="837"/>
      <c r="DE4" s="837"/>
      <c r="DF4" s="837"/>
      <c r="DG4" s="837"/>
      <c r="DH4" s="837"/>
      <c r="DI4" s="838"/>
      <c r="DJ4" s="839" t="s">
        <v>467</v>
      </c>
      <c r="DK4" s="839"/>
      <c r="DL4" s="839"/>
      <c r="DM4" s="839"/>
      <c r="DN4" s="839"/>
      <c r="DO4" s="839"/>
      <c r="DP4" s="839"/>
      <c r="DQ4" s="839"/>
      <c r="DR4" s="839"/>
      <c r="DS4" s="840" t="s">
        <v>468</v>
      </c>
      <c r="DT4" s="840"/>
      <c r="DU4" s="841" t="s">
        <v>469</v>
      </c>
      <c r="DV4" s="841"/>
      <c r="DW4" s="102"/>
      <c r="DX4" s="102"/>
    </row>
    <row r="5" spans="1:130" s="114" customFormat="1" ht="140.4">
      <c r="A5" s="104" t="s">
        <v>470</v>
      </c>
      <c r="B5" s="104" t="s">
        <v>4</v>
      </c>
      <c r="C5" s="104" t="s">
        <v>471</v>
      </c>
      <c r="D5" s="104" t="s">
        <v>472</v>
      </c>
      <c r="E5" s="104" t="s">
        <v>473</v>
      </c>
      <c r="F5" s="104" t="s">
        <v>474</v>
      </c>
      <c r="G5" s="105" t="s">
        <v>475</v>
      </c>
      <c r="H5" s="105" t="s">
        <v>80</v>
      </c>
      <c r="I5" s="105" t="s">
        <v>476</v>
      </c>
      <c r="J5" s="105" t="s">
        <v>84</v>
      </c>
      <c r="K5" s="105" t="s">
        <v>86</v>
      </c>
      <c r="L5" s="105" t="s">
        <v>88</v>
      </c>
      <c r="M5" s="105" t="s">
        <v>477</v>
      </c>
      <c r="N5" s="105" t="s">
        <v>93</v>
      </c>
      <c r="O5" s="105" t="s">
        <v>95</v>
      </c>
      <c r="P5" s="105" t="s">
        <v>97</v>
      </c>
      <c r="Q5" s="105" t="s">
        <v>99</v>
      </c>
      <c r="R5" s="105" t="s">
        <v>101</v>
      </c>
      <c r="S5" s="105" t="s">
        <v>478</v>
      </c>
      <c r="T5" s="105" t="s">
        <v>105</v>
      </c>
      <c r="U5" s="105" t="s">
        <v>479</v>
      </c>
      <c r="V5" s="105" t="s">
        <v>480</v>
      </c>
      <c r="W5" s="105" t="s">
        <v>111</v>
      </c>
      <c r="X5" s="105" t="s">
        <v>481</v>
      </c>
      <c r="Y5" s="105" t="s">
        <v>115</v>
      </c>
      <c r="Z5" s="105" t="s">
        <v>117</v>
      </c>
      <c r="AA5" s="105" t="s">
        <v>119</v>
      </c>
      <c r="AB5" s="105" t="s">
        <v>121</v>
      </c>
      <c r="AC5" s="105" t="s">
        <v>123</v>
      </c>
      <c r="AD5" s="105" t="s">
        <v>125</v>
      </c>
      <c r="AE5" s="105" t="s">
        <v>482</v>
      </c>
      <c r="AF5" s="105" t="s">
        <v>129</v>
      </c>
      <c r="AG5" s="105" t="s">
        <v>131</v>
      </c>
      <c r="AH5" s="105" t="s">
        <v>133</v>
      </c>
      <c r="AI5" s="105" t="s">
        <v>135</v>
      </c>
      <c r="AJ5" s="105" t="s">
        <v>137</v>
      </c>
      <c r="AK5" s="105" t="s">
        <v>139</v>
      </c>
      <c r="AL5" s="105" t="s">
        <v>141</v>
      </c>
      <c r="AM5" s="105" t="s">
        <v>143</v>
      </c>
      <c r="AN5" s="105" t="s">
        <v>145</v>
      </c>
      <c r="AO5" s="105" t="s">
        <v>483</v>
      </c>
      <c r="AP5" s="105" t="s">
        <v>150</v>
      </c>
      <c r="AQ5" s="105" t="s">
        <v>152</v>
      </c>
      <c r="AR5" s="105" t="s">
        <v>154</v>
      </c>
      <c r="AS5" s="105" t="s">
        <v>156</v>
      </c>
      <c r="AT5" s="105" t="s">
        <v>158</v>
      </c>
      <c r="AU5" s="105" t="s">
        <v>160</v>
      </c>
      <c r="AV5" s="105" t="s">
        <v>162</v>
      </c>
      <c r="AW5" s="105" t="s">
        <v>484</v>
      </c>
      <c r="AX5" s="105" t="s">
        <v>166</v>
      </c>
      <c r="AY5" s="105" t="s">
        <v>168</v>
      </c>
      <c r="AZ5" s="105" t="s">
        <v>170</v>
      </c>
      <c r="BA5" s="105" t="s">
        <v>172</v>
      </c>
      <c r="BB5" s="105" t="s">
        <v>174</v>
      </c>
      <c r="BC5" s="105" t="s">
        <v>176</v>
      </c>
      <c r="BD5" s="105" t="s">
        <v>179</v>
      </c>
      <c r="BE5" s="105" t="s">
        <v>181</v>
      </c>
      <c r="BF5" s="105" t="s">
        <v>183</v>
      </c>
      <c r="BG5" s="105" t="s">
        <v>185</v>
      </c>
      <c r="BH5" s="105" t="s">
        <v>485</v>
      </c>
      <c r="BI5" s="105" t="s">
        <v>486</v>
      </c>
      <c r="BJ5" s="105" t="s">
        <v>487</v>
      </c>
      <c r="BK5" s="105" t="s">
        <v>488</v>
      </c>
      <c r="BL5" s="106" t="s">
        <v>489</v>
      </c>
      <c r="BM5" s="106" t="s">
        <v>195</v>
      </c>
      <c r="BN5" s="106" t="s">
        <v>197</v>
      </c>
      <c r="BO5" s="106" t="s">
        <v>490</v>
      </c>
      <c r="BP5" s="106" t="s">
        <v>201</v>
      </c>
      <c r="BQ5" s="106" t="s">
        <v>491</v>
      </c>
      <c r="BR5" s="106" t="s">
        <v>205</v>
      </c>
      <c r="BS5" s="106" t="s">
        <v>150</v>
      </c>
      <c r="BT5" s="106" t="s">
        <v>152</v>
      </c>
      <c r="BU5" s="106" t="s">
        <v>156</v>
      </c>
      <c r="BV5" s="106" t="s">
        <v>210</v>
      </c>
      <c r="BW5" s="106" t="s">
        <v>160</v>
      </c>
      <c r="BX5" s="106" t="s">
        <v>492</v>
      </c>
      <c r="BY5" s="106" t="s">
        <v>493</v>
      </c>
      <c r="BZ5" s="106" t="s">
        <v>494</v>
      </c>
      <c r="CA5" s="106" t="s">
        <v>495</v>
      </c>
      <c r="CB5" s="107" t="s">
        <v>496</v>
      </c>
      <c r="CC5" s="107" t="s">
        <v>222</v>
      </c>
      <c r="CD5" s="107" t="s">
        <v>497</v>
      </c>
      <c r="CE5" s="107" t="s">
        <v>226</v>
      </c>
      <c r="CF5" s="107" t="s">
        <v>228</v>
      </c>
      <c r="CG5" s="107" t="s">
        <v>498</v>
      </c>
      <c r="CH5" s="107" t="s">
        <v>499</v>
      </c>
      <c r="CI5" s="107" t="s">
        <v>500</v>
      </c>
      <c r="CJ5" s="107" t="s">
        <v>501</v>
      </c>
      <c r="CK5" s="98" t="s">
        <v>235</v>
      </c>
      <c r="CL5" s="98" t="s">
        <v>237</v>
      </c>
      <c r="CM5" s="98" t="s">
        <v>502</v>
      </c>
      <c r="CN5" s="98" t="s">
        <v>241</v>
      </c>
      <c r="CO5" s="98" t="s">
        <v>243</v>
      </c>
      <c r="CP5" s="98" t="s">
        <v>503</v>
      </c>
      <c r="CQ5" s="108" t="s">
        <v>504</v>
      </c>
      <c r="CR5" s="108" t="s">
        <v>505</v>
      </c>
      <c r="CS5" s="108" t="s">
        <v>506</v>
      </c>
      <c r="CT5" s="108" t="s">
        <v>257</v>
      </c>
      <c r="CU5" s="108" t="s">
        <v>258</v>
      </c>
      <c r="CV5" s="108" t="s">
        <v>507</v>
      </c>
      <c r="CW5" s="108" t="s">
        <v>508</v>
      </c>
      <c r="CX5" s="108" t="s">
        <v>509</v>
      </c>
      <c r="CY5" s="108" t="s">
        <v>510</v>
      </c>
      <c r="CZ5" s="108" t="s">
        <v>511</v>
      </c>
      <c r="DA5" s="109" t="s">
        <v>504</v>
      </c>
      <c r="DB5" s="109" t="s">
        <v>505</v>
      </c>
      <c r="DC5" s="109" t="s">
        <v>506</v>
      </c>
      <c r="DD5" s="109" t="s">
        <v>257</v>
      </c>
      <c r="DE5" s="109" t="s">
        <v>258</v>
      </c>
      <c r="DF5" s="109" t="s">
        <v>512</v>
      </c>
      <c r="DG5" s="109" t="s">
        <v>509</v>
      </c>
      <c r="DH5" s="109" t="s">
        <v>510</v>
      </c>
      <c r="DI5" s="109" t="s">
        <v>511</v>
      </c>
      <c r="DJ5" s="99" t="s">
        <v>265</v>
      </c>
      <c r="DK5" s="99" t="s">
        <v>267</v>
      </c>
      <c r="DL5" s="99" t="s">
        <v>513</v>
      </c>
      <c r="DM5" s="99" t="s">
        <v>514</v>
      </c>
      <c r="DN5" s="99" t="s">
        <v>270</v>
      </c>
      <c r="DO5" s="99" t="s">
        <v>272</v>
      </c>
      <c r="DP5" s="99" t="s">
        <v>515</v>
      </c>
      <c r="DQ5" s="99" t="s">
        <v>516</v>
      </c>
      <c r="DR5" s="99" t="s">
        <v>517</v>
      </c>
      <c r="DS5" s="110" t="s">
        <v>265</v>
      </c>
      <c r="DT5" s="110" t="s">
        <v>267</v>
      </c>
      <c r="DU5" s="111" t="s">
        <v>270</v>
      </c>
      <c r="DV5" s="111" t="s">
        <v>272</v>
      </c>
      <c r="DW5" s="112" t="s">
        <v>518</v>
      </c>
      <c r="DX5" s="112" t="s">
        <v>519</v>
      </c>
      <c r="DY5" s="113" t="s">
        <v>520</v>
      </c>
    </row>
    <row r="6" spans="1:130" s="103" customFormat="1" ht="15.6">
      <c r="A6" s="119"/>
      <c r="B6" s="119"/>
      <c r="C6" s="119"/>
      <c r="D6" s="119"/>
      <c r="E6" s="119"/>
      <c r="F6" s="119"/>
      <c r="G6" s="120" t="s">
        <v>77</v>
      </c>
      <c r="H6" s="120" t="s">
        <v>79</v>
      </c>
      <c r="I6" s="120" t="s">
        <v>81</v>
      </c>
      <c r="J6" s="120" t="s">
        <v>83</v>
      </c>
      <c r="K6" s="120" t="s">
        <v>85</v>
      </c>
      <c r="L6" s="120" t="s">
        <v>87</v>
      </c>
      <c r="M6" s="120" t="s">
        <v>89</v>
      </c>
      <c r="N6" s="120" t="s">
        <v>92</v>
      </c>
      <c r="O6" s="120" t="s">
        <v>94</v>
      </c>
      <c r="P6" s="120" t="s">
        <v>96</v>
      </c>
      <c r="Q6" s="120" t="s">
        <v>98</v>
      </c>
      <c r="R6" s="120" t="s">
        <v>100</v>
      </c>
      <c r="S6" s="120" t="s">
        <v>102</v>
      </c>
      <c r="T6" s="120" t="s">
        <v>104</v>
      </c>
      <c r="U6" s="120" t="s">
        <v>106</v>
      </c>
      <c r="V6" s="121"/>
      <c r="W6" s="120" t="s">
        <v>110</v>
      </c>
      <c r="X6" s="120" t="s">
        <v>112</v>
      </c>
      <c r="Y6" s="120" t="s">
        <v>114</v>
      </c>
      <c r="Z6" s="120" t="s">
        <v>116</v>
      </c>
      <c r="AA6" s="120" t="s">
        <v>118</v>
      </c>
      <c r="AB6" s="120" t="s">
        <v>120</v>
      </c>
      <c r="AC6" s="120" t="s">
        <v>122</v>
      </c>
      <c r="AD6" s="120" t="s">
        <v>124</v>
      </c>
      <c r="AE6" s="120" t="s">
        <v>126</v>
      </c>
      <c r="AF6" s="120" t="s">
        <v>128</v>
      </c>
      <c r="AG6" s="120" t="s">
        <v>130</v>
      </c>
      <c r="AH6" s="120" t="s">
        <v>132</v>
      </c>
      <c r="AI6" s="120" t="s">
        <v>134</v>
      </c>
      <c r="AJ6" s="120" t="s">
        <v>136</v>
      </c>
      <c r="AK6" s="120" t="s">
        <v>138</v>
      </c>
      <c r="AL6" s="120" t="s">
        <v>140</v>
      </c>
      <c r="AM6" s="120" t="s">
        <v>142</v>
      </c>
      <c r="AN6" s="120" t="s">
        <v>144</v>
      </c>
      <c r="AO6" s="120" t="s">
        <v>146</v>
      </c>
      <c r="AP6" s="120" t="s">
        <v>149</v>
      </c>
      <c r="AQ6" s="120" t="s">
        <v>151</v>
      </c>
      <c r="AR6" s="120" t="s">
        <v>153</v>
      </c>
      <c r="AS6" s="120" t="s">
        <v>155</v>
      </c>
      <c r="AT6" s="120" t="s">
        <v>157</v>
      </c>
      <c r="AU6" s="120" t="s">
        <v>159</v>
      </c>
      <c r="AV6" s="120" t="s">
        <v>161</v>
      </c>
      <c r="AW6" s="120" t="s">
        <v>163</v>
      </c>
      <c r="AX6" s="120" t="s">
        <v>165</v>
      </c>
      <c r="AY6" s="120" t="s">
        <v>167</v>
      </c>
      <c r="AZ6" s="120" t="s">
        <v>169</v>
      </c>
      <c r="BA6" s="120" t="s">
        <v>171</v>
      </c>
      <c r="BB6" s="120" t="s">
        <v>173</v>
      </c>
      <c r="BC6" s="120" t="s">
        <v>175</v>
      </c>
      <c r="BD6" s="120" t="s">
        <v>178</v>
      </c>
      <c r="BE6" s="120" t="s">
        <v>180</v>
      </c>
      <c r="BF6" s="120" t="s">
        <v>182</v>
      </c>
      <c r="BG6" s="120" t="s">
        <v>184</v>
      </c>
      <c r="BH6" s="120"/>
      <c r="BI6" s="120"/>
      <c r="BJ6" s="120"/>
      <c r="BK6" s="120"/>
      <c r="BL6" s="122" t="s">
        <v>192</v>
      </c>
      <c r="BM6" s="122" t="s">
        <v>194</v>
      </c>
      <c r="BN6" s="122" t="s">
        <v>196</v>
      </c>
      <c r="BO6" s="122"/>
      <c r="BP6" s="122" t="s">
        <v>200</v>
      </c>
      <c r="BQ6" s="122" t="s">
        <v>202</v>
      </c>
      <c r="BR6" s="122" t="s">
        <v>204</v>
      </c>
      <c r="BS6" s="122" t="s">
        <v>206</v>
      </c>
      <c r="BT6" s="122" t="s">
        <v>207</v>
      </c>
      <c r="BU6" s="122" t="s">
        <v>208</v>
      </c>
      <c r="BV6" s="122" t="s">
        <v>209</v>
      </c>
      <c r="BW6" s="122" t="s">
        <v>212</v>
      </c>
      <c r="BX6" s="122"/>
      <c r="BY6" s="122"/>
      <c r="BZ6" s="122"/>
      <c r="CA6" s="122"/>
      <c r="CB6" s="123" t="s">
        <v>219</v>
      </c>
      <c r="CC6" s="123" t="s">
        <v>221</v>
      </c>
      <c r="CD6" s="123"/>
      <c r="CE6" s="123" t="s">
        <v>225</v>
      </c>
      <c r="CF6" s="123" t="s">
        <v>227</v>
      </c>
      <c r="CG6" s="123"/>
      <c r="CH6" s="123"/>
      <c r="CI6" s="123"/>
      <c r="CJ6" s="123"/>
      <c r="CK6" s="124" t="s">
        <v>234</v>
      </c>
      <c r="CL6" s="124" t="s">
        <v>236</v>
      </c>
      <c r="CM6" s="124" t="s">
        <v>238</v>
      </c>
      <c r="CN6" s="124" t="s">
        <v>240</v>
      </c>
      <c r="CO6" s="124" t="s">
        <v>242</v>
      </c>
      <c r="CP6" s="124"/>
      <c r="CQ6" s="125"/>
      <c r="CR6" s="125"/>
      <c r="CS6" s="125"/>
      <c r="CT6" s="125"/>
      <c r="CU6" s="125"/>
      <c r="CV6" s="125"/>
      <c r="CW6" s="125"/>
      <c r="CX6" s="125"/>
      <c r="CY6" s="125"/>
      <c r="CZ6" s="125"/>
      <c r="DA6" s="126"/>
      <c r="DB6" s="126"/>
      <c r="DC6" s="126"/>
      <c r="DD6" s="126"/>
      <c r="DE6" s="126"/>
      <c r="DF6" s="126"/>
      <c r="DG6" s="126"/>
      <c r="DH6" s="126"/>
      <c r="DI6" s="126"/>
      <c r="DJ6" s="127"/>
      <c r="DK6" s="127"/>
      <c r="DL6" s="127"/>
      <c r="DM6" s="127"/>
      <c r="DN6" s="127"/>
      <c r="DO6" s="127"/>
      <c r="DP6" s="127"/>
      <c r="DQ6" s="127"/>
      <c r="DR6" s="127"/>
      <c r="DS6" s="100"/>
      <c r="DT6" s="100"/>
      <c r="DU6" s="101"/>
      <c r="DV6" s="101"/>
      <c r="DW6" s="128"/>
      <c r="DX6" s="128"/>
      <c r="DY6" s="129"/>
    </row>
    <row r="7" spans="1:130" s="103" customFormat="1" ht="39.9" customHeight="1">
      <c r="A7" s="116" t="str">
        <f>'CFR Return'!C3</f>
        <v>0000</v>
      </c>
      <c r="B7" s="116" t="str">
        <f>'CFR Return'!C2</f>
        <v>Select School</v>
      </c>
      <c r="C7" s="116" t="s">
        <v>521</v>
      </c>
      <c r="D7" s="634">
        <f>Checklist!C10</f>
        <v>0</v>
      </c>
      <c r="E7" s="116" t="str">
        <f>'CFR Return'!C4</f>
        <v>Final Accounts</v>
      </c>
      <c r="F7" s="116" t="str">
        <f>Journal1!B5</f>
        <v>0000</v>
      </c>
      <c r="G7" s="117">
        <f>IFERROR(INDEX('CFR Return'!$AB:$AB,MATCH('Revised Outturn - to copy'!G6,'CFR Return'!$B:$B,0)),0)</f>
        <v>0</v>
      </c>
      <c r="H7" s="117">
        <f>IFERROR(INDEX('CFR Return'!$AB:$AB,MATCH('Revised Outturn - to copy'!H6,'CFR Return'!$B:$B,0)),0)</f>
        <v>0</v>
      </c>
      <c r="I7" s="117">
        <f>IFERROR(INDEX('CFR Return'!$AB:$AB,MATCH('Revised Outturn - to copy'!I6,'CFR Return'!$B:$B,0)),0)</f>
        <v>0</v>
      </c>
      <c r="J7" s="117">
        <f>IFERROR(INDEX('CFR Return'!$AB:$AB,MATCH('Revised Outturn - to copy'!J6,'CFR Return'!$B:$B,0)),0)</f>
        <v>0</v>
      </c>
      <c r="K7" s="117">
        <f>IFERROR(INDEX('CFR Return'!$AB:$AB,MATCH('Revised Outturn - to copy'!K6,'CFR Return'!$B:$B,0)),0)</f>
        <v>0</v>
      </c>
      <c r="L7" s="117">
        <f>IFERROR(INDEX('CFR Return'!$AB:$AB,MATCH('Revised Outturn - to copy'!L6,'CFR Return'!$B:$B,0)),0)</f>
        <v>0</v>
      </c>
      <c r="M7" s="117">
        <f>IFERROR(INDEX('CFR Return'!$AB:$AB,MATCH('Revised Outturn - to copy'!M6,'CFR Return'!$B:$B,0)),0)</f>
        <v>0</v>
      </c>
      <c r="N7" s="117">
        <f>IFERROR(INDEX('CFR Return'!$AB:$AB,MATCH('Revised Outturn - to copy'!N6,'CFR Return'!$B:$B,0)),0)</f>
        <v>0</v>
      </c>
      <c r="O7" s="117">
        <f>IFERROR(INDEX('CFR Return'!$AB:$AB,MATCH('Revised Outturn - to copy'!O6,'CFR Return'!$B:$B,0)),0)</f>
        <v>0</v>
      </c>
      <c r="P7" s="117">
        <f>IFERROR(INDEX('CFR Return'!$AB:$AB,MATCH('Revised Outturn - to copy'!P6,'CFR Return'!$B:$B,0)),0)</f>
        <v>0</v>
      </c>
      <c r="Q7" s="117">
        <f>IFERROR(INDEX('CFR Return'!$AB:$AB,MATCH('Revised Outturn - to copy'!Q6,'CFR Return'!$B:$B,0)),0)</f>
        <v>0</v>
      </c>
      <c r="R7" s="117">
        <f>IFERROR(INDEX('CFR Return'!$AB:$AB,MATCH('Revised Outturn - to copy'!R6,'CFR Return'!$B:$B,0)),0)</f>
        <v>0</v>
      </c>
      <c r="S7" s="117">
        <f>IFERROR(INDEX('CFR Return'!$AB:$AB,MATCH('Revised Outturn - to copy'!S6,'CFR Return'!$B:$B,0)),0)</f>
        <v>0</v>
      </c>
      <c r="T7" s="117">
        <f>IFERROR(INDEX('CFR Return'!$AB:$AB,MATCH('Revised Outturn - to copy'!T6,'CFR Return'!$B:$B,0)),0)</f>
        <v>0</v>
      </c>
      <c r="U7" s="117">
        <f>IFERROR(INDEX('CFR Return'!$AB:$AB,MATCH('Revised Outturn - to copy'!U6,'CFR Return'!$B:$B,0)),0)</f>
        <v>0</v>
      </c>
      <c r="V7" s="117">
        <f>SUM(G7:U7)</f>
        <v>0</v>
      </c>
      <c r="W7" s="117">
        <f>IFERROR(INDEX('CFR Return'!$AB:$AB,MATCH('Revised Outturn - to copy'!W6,'CFR Return'!$B:$B,0)),0)</f>
        <v>0</v>
      </c>
      <c r="X7" s="117">
        <f>IFERROR(INDEX('CFR Return'!$AB:$AB,MATCH('Revised Outturn - to copy'!X6,'CFR Return'!$B:$B,0)),0)</f>
        <v>0</v>
      </c>
      <c r="Y7" s="117">
        <f>IFERROR(INDEX('CFR Return'!$AB:$AB,MATCH('Revised Outturn - to copy'!Y6,'CFR Return'!$B:$B,0)),0)</f>
        <v>0</v>
      </c>
      <c r="Z7" s="117">
        <f>IFERROR(INDEX('CFR Return'!$AB:$AB,MATCH('Revised Outturn - to copy'!Z6,'CFR Return'!$B:$B,0)),0)</f>
        <v>0</v>
      </c>
      <c r="AA7" s="117">
        <f>IFERROR(INDEX('CFR Return'!$AB:$AB,MATCH('Revised Outturn - to copy'!AA6,'CFR Return'!$B:$B,0)),0)</f>
        <v>0</v>
      </c>
      <c r="AB7" s="117">
        <f>IFERROR(INDEX('CFR Return'!$AB:$AB,MATCH('Revised Outturn - to copy'!AB6,'CFR Return'!$B:$B,0)),0)</f>
        <v>0</v>
      </c>
      <c r="AC7" s="117">
        <f>IFERROR(INDEX('CFR Return'!$AB:$AB,MATCH('Revised Outturn - to copy'!AC6,'CFR Return'!$B:$B,0)),0)</f>
        <v>0</v>
      </c>
      <c r="AD7" s="117">
        <f>IFERROR(INDEX('CFR Return'!$AB:$AB,MATCH('Revised Outturn - to copy'!AD6,'CFR Return'!$B:$B,0)),0)</f>
        <v>0</v>
      </c>
      <c r="AE7" s="117">
        <f>IFERROR(INDEX('CFR Return'!$AB:$AB,MATCH('Revised Outturn - to copy'!AE6,'CFR Return'!$B:$B,0)),0)</f>
        <v>0</v>
      </c>
      <c r="AF7" s="117">
        <f>IFERROR(INDEX('CFR Return'!$AB:$AB,MATCH('Revised Outturn - to copy'!AF6,'CFR Return'!$B:$B,0)),0)</f>
        <v>0</v>
      </c>
      <c r="AG7" s="117">
        <f>IFERROR(INDEX('CFR Return'!$AB:$AB,MATCH('Revised Outturn - to copy'!AG6,'CFR Return'!$B:$B,0)),0)</f>
        <v>0</v>
      </c>
      <c r="AH7" s="117">
        <f>IFERROR(INDEX('CFR Return'!$AB:$AB,MATCH('Revised Outturn - to copy'!AH6,'CFR Return'!$B:$B,0)),0)</f>
        <v>0</v>
      </c>
      <c r="AI7" s="117">
        <f>IFERROR(INDEX('CFR Return'!$AB:$AB,MATCH('Revised Outturn - to copy'!AI6,'CFR Return'!$B:$B,0)),0)</f>
        <v>0</v>
      </c>
      <c r="AJ7" s="117">
        <f>IFERROR(INDEX('CFR Return'!$AB:$AB,MATCH('Revised Outturn - to copy'!AJ6,'CFR Return'!$B:$B,0)),0)</f>
        <v>0</v>
      </c>
      <c r="AK7" s="117">
        <f>IFERROR(INDEX('CFR Return'!$AB:$AB,MATCH('Revised Outturn - to copy'!AK6,'CFR Return'!$B:$B,0)),0)</f>
        <v>0</v>
      </c>
      <c r="AL7" s="117">
        <f>IFERROR(INDEX('CFR Return'!$AB:$AB,MATCH('Revised Outturn - to copy'!AL6,'CFR Return'!$B:$B,0)),0)</f>
        <v>0</v>
      </c>
      <c r="AM7" s="117">
        <f>IFERROR(INDEX('CFR Return'!$AB:$AB,MATCH('Revised Outturn - to copy'!AM6,'CFR Return'!$B:$B,0)),0)</f>
        <v>0</v>
      </c>
      <c r="AN7" s="117">
        <f>IFERROR(INDEX('CFR Return'!$AB:$AB,MATCH('Revised Outturn - to copy'!AN6,'CFR Return'!$B:$B,0)),0)</f>
        <v>0</v>
      </c>
      <c r="AO7" s="117">
        <f>IFERROR(INDEX('CFR Return'!$AB:$AB,MATCH('Revised Outturn - to copy'!AO6,'CFR Return'!$B:$B,0)),0)</f>
        <v>0</v>
      </c>
      <c r="AP7" s="117">
        <f>IFERROR(INDEX('CFR Return'!$AB:$AB,MATCH('Revised Outturn - to copy'!AP6,'CFR Return'!$B:$B,0)),0)</f>
        <v>0</v>
      </c>
      <c r="AQ7" s="117">
        <f>IFERROR(INDEX('CFR Return'!$AB:$AB,MATCH('Revised Outturn - to copy'!AQ6,'CFR Return'!$B:$B,0)),0)</f>
        <v>0</v>
      </c>
      <c r="AR7" s="117">
        <f>IFERROR(INDEX('CFR Return'!$AB:$AB,MATCH('Revised Outturn - to copy'!AR6,'CFR Return'!$B:$B,0)),0)</f>
        <v>0</v>
      </c>
      <c r="AS7" s="117">
        <f>IFERROR(INDEX('CFR Return'!$AB:$AB,MATCH('Revised Outturn - to copy'!AS6,'CFR Return'!$B:$B,0)),0)</f>
        <v>0</v>
      </c>
      <c r="AT7" s="117">
        <f>IFERROR(INDEX('CFR Return'!$AB:$AB,MATCH('Revised Outturn - to copy'!AT6,'CFR Return'!$B:$B,0)),0)</f>
        <v>0</v>
      </c>
      <c r="AU7" s="117">
        <f>IFERROR(INDEX('CFR Return'!$AB:$AB,MATCH('Revised Outturn - to copy'!AU6,'CFR Return'!$B:$B,0)),0)</f>
        <v>0</v>
      </c>
      <c r="AV7" s="117">
        <f>IFERROR(INDEX('CFR Return'!$AB:$AB,MATCH('Revised Outturn - to copy'!AV6,'CFR Return'!$B:$B,0)),0)</f>
        <v>0</v>
      </c>
      <c r="AW7" s="117">
        <f>IFERROR(INDEX('CFR Return'!$AB:$AB,MATCH('Revised Outturn - to copy'!AW6,'CFR Return'!$B:$B,0)),0)</f>
        <v>0</v>
      </c>
      <c r="AX7" s="117">
        <f>IFERROR(INDEX('CFR Return'!$AB:$AB,MATCH('Revised Outturn - to copy'!AX6,'CFR Return'!$B:$B,0)),0)</f>
        <v>0</v>
      </c>
      <c r="AY7" s="117">
        <f>IFERROR(INDEX('CFR Return'!$AB:$AB,MATCH('Revised Outturn - to copy'!AY6,'CFR Return'!$B:$B,0)),0)</f>
        <v>0</v>
      </c>
      <c r="AZ7" s="117">
        <f>IFERROR(INDEX('CFR Return'!$AB:$AB,MATCH('Revised Outturn - to copy'!AZ6,'CFR Return'!$B:$B,0)),0)</f>
        <v>0</v>
      </c>
      <c r="BA7" s="117">
        <f>IFERROR(INDEX('CFR Return'!$AB:$AB,MATCH('Revised Outturn - to copy'!BA6,'CFR Return'!$B:$B,0)),0)</f>
        <v>0</v>
      </c>
      <c r="BB7" s="117">
        <f>IFERROR(INDEX('CFR Return'!$AB:$AB,MATCH('Revised Outturn - to copy'!BB6,'CFR Return'!$B:$B,0)),0)</f>
        <v>0</v>
      </c>
      <c r="BC7" s="117">
        <f>IFERROR(INDEX('CFR Return'!$AB:$AB,MATCH('Revised Outturn - to copy'!BC6,'CFR Return'!$B:$B,0)),0)</f>
        <v>0</v>
      </c>
      <c r="BD7" s="117">
        <f>IFERROR(INDEX('CFR Return'!$AB:$AB,MATCH('Revised Outturn - to copy'!BD6,'CFR Return'!$B:$B,0)),0)</f>
        <v>0</v>
      </c>
      <c r="BE7" s="117">
        <f>IFERROR(INDEX('CFR Return'!$AB:$AB,MATCH('Revised Outturn - to copy'!BE6,'CFR Return'!$B:$B,0)),0)</f>
        <v>0</v>
      </c>
      <c r="BF7" s="117">
        <f>IFERROR(INDEX('CFR Return'!$AB:$AB,MATCH('Revised Outturn - to copy'!BF6,'CFR Return'!$B:$B,0)),0)</f>
        <v>0</v>
      </c>
      <c r="BG7" s="117">
        <f>IFERROR(INDEX('CFR Return'!$AB:$AB,MATCH('Revised Outturn - to copy'!BG6,'CFR Return'!$B:$B,0)),0)</f>
        <v>0</v>
      </c>
      <c r="BH7" s="117">
        <f>SUM(W7:BG7)</f>
        <v>0</v>
      </c>
      <c r="BI7" s="117">
        <f>'CFR Return'!$AB10</f>
        <v>0</v>
      </c>
      <c r="BJ7" s="117">
        <f>V7-BH7</f>
        <v>0</v>
      </c>
      <c r="BK7" s="117">
        <f>BI7+BJ7</f>
        <v>0</v>
      </c>
      <c r="BL7" s="117">
        <f>IFERROR(INDEX('CFR Return'!$AB:$AB,MATCH('Revised Outturn - to copy'!BL6,'CFR Return'!$B:$B,0)),0)</f>
        <v>0</v>
      </c>
      <c r="BM7" s="117">
        <f>IFERROR(INDEX('CFR Return'!$AB:$AB,MATCH('Revised Outturn - to copy'!BM6,'CFR Return'!$B:$B,0)),0)</f>
        <v>0</v>
      </c>
      <c r="BN7" s="117">
        <f>IFERROR(INDEX('CFR Return'!$AB:$AB,MATCH('Revised Outturn - to copy'!BN6,'CFR Return'!$B:$B,0)),0)</f>
        <v>0</v>
      </c>
      <c r="BO7" s="117">
        <f>SUM(BL7:BN7)</f>
        <v>0</v>
      </c>
      <c r="BP7" s="117">
        <f>IFERROR(INDEX('CFR Return'!$AB:$AB,MATCH('Revised Outturn - to copy'!BP6,'CFR Return'!$B:$B,0)),0)</f>
        <v>0</v>
      </c>
      <c r="BQ7" s="117">
        <f>IFERROR(INDEX('CFR Return'!$AB:$AB,MATCH('Revised Outturn - to copy'!BQ6,'CFR Return'!$B:$B,0)),0)</f>
        <v>0</v>
      </c>
      <c r="BR7" s="117">
        <f>IFERROR(INDEX('CFR Return'!$AB:$AB,MATCH('Revised Outturn - to copy'!BR6,'CFR Return'!$B:$B,0)),0)</f>
        <v>0</v>
      </c>
      <c r="BS7" s="117">
        <f>IFERROR(INDEX('CFR Return'!$AB:$AB,MATCH('Revised Outturn - to copy'!BS6,'CFR Return'!$B:$B,0)),0)</f>
        <v>0</v>
      </c>
      <c r="BT7" s="117">
        <f>IFERROR(INDEX('CFR Return'!$AB:$AB,MATCH('Revised Outturn - to copy'!BT6,'CFR Return'!$B:$B,0)),0)</f>
        <v>0</v>
      </c>
      <c r="BU7" s="117">
        <f>IFERROR(INDEX('CFR Return'!$AB:$AB,MATCH('Revised Outturn - to copy'!BU6,'CFR Return'!$B:$B,0)),0)</f>
        <v>0</v>
      </c>
      <c r="BV7" s="117">
        <f>IFERROR(INDEX('CFR Return'!$AB:$AB,MATCH('Revised Outturn - to copy'!BV6,'CFR Return'!$B:$B,0)),0)</f>
        <v>0</v>
      </c>
      <c r="BW7" s="117">
        <f>IFERROR(INDEX('CFR Return'!$AB:$AB,MATCH('Revised Outturn - to copy'!BW6,'CFR Return'!$B:$B,0)),0)</f>
        <v>0</v>
      </c>
      <c r="BX7" s="117">
        <f>SUM(BP7:BW7)</f>
        <v>0</v>
      </c>
      <c r="BY7" s="117">
        <f>'CFR Return'!$AB77</f>
        <v>0</v>
      </c>
      <c r="BZ7" s="117">
        <f>BO7-BX7</f>
        <v>0</v>
      </c>
      <c r="CA7" s="117">
        <f>BY7+BZ7</f>
        <v>0</v>
      </c>
      <c r="CB7" s="117">
        <f>IFERROR(INDEX('CFR Return'!$AB:$AB,MATCH('Revised Outturn - to copy'!CB6,'CFR Return'!$B:$B,0)),0)</f>
        <v>0</v>
      </c>
      <c r="CC7" s="117">
        <f>IFERROR(INDEX('CFR Return'!$AB:$AB,MATCH('Revised Outturn - to copy'!CC6,'CFR Return'!$B:$B,0)),0)</f>
        <v>0</v>
      </c>
      <c r="CD7" s="117">
        <f>CB7+CC7</f>
        <v>0</v>
      </c>
      <c r="CE7" s="117">
        <f>IFERROR(INDEX('CFR Return'!$AB:$AB,MATCH('Revised Outturn - to copy'!CE6,'CFR Return'!$B:$B,0)),0)</f>
        <v>0</v>
      </c>
      <c r="CF7" s="117">
        <f>IFERROR(INDEX('CFR Return'!$AB:$AB,MATCH('Revised Outturn - to copy'!CF6,'CFR Return'!$B:$B,0)),0)</f>
        <v>0</v>
      </c>
      <c r="CG7" s="117">
        <f>CE7+CF7</f>
        <v>0</v>
      </c>
      <c r="CH7" s="117">
        <f>'CFR Return'!$AB104</f>
        <v>0</v>
      </c>
      <c r="CI7" s="117">
        <f>CD7-CG7</f>
        <v>0</v>
      </c>
      <c r="CJ7" s="117">
        <f>CH7+CI7</f>
        <v>0</v>
      </c>
      <c r="CK7" s="117">
        <f>IFERROR(INDEX('CFR Return'!$AB:$AB,MATCH('Revised Outturn - to copy'!CK6,'CFR Return'!$B:$B,0)),0)</f>
        <v>0</v>
      </c>
      <c r="CL7" s="117">
        <f>IFERROR(INDEX('CFR Return'!$AB:$AB,MATCH('Revised Outturn - to copy'!CL6,'CFR Return'!$B:$B,0)),0)</f>
        <v>0</v>
      </c>
      <c r="CM7" s="117">
        <f>IFERROR(INDEX('CFR Return'!$AB:$AB,MATCH('Revised Outturn - to copy'!CM6,'CFR Return'!$B:$B,0)),0)</f>
        <v>0</v>
      </c>
      <c r="CN7" s="117">
        <f>IFERROR(INDEX('CFR Return'!$AB:$AB,MATCH('Revised Outturn - to copy'!CN6,'CFR Return'!$B:$B,0)),0)</f>
        <v>0</v>
      </c>
      <c r="CO7" s="117">
        <f>IFERROR(INDEX('CFR Return'!$AB:$AB,MATCH('Revised Outturn - to copy'!CO6,'CFR Return'!$B:$B,0)),0)</f>
        <v>0</v>
      </c>
      <c r="CP7" s="117">
        <f>SUM(CK7:CO7)</f>
        <v>0</v>
      </c>
      <c r="CQ7" s="117">
        <f>+'CFR Return'!AB139</f>
        <v>0</v>
      </c>
      <c r="CR7" s="117">
        <f>+'CFR Return'!AB142</f>
        <v>0</v>
      </c>
      <c r="CS7" s="117">
        <f>+'CFR Return'!AB143</f>
        <v>0</v>
      </c>
      <c r="CT7" s="117">
        <f>CQ7-CR7+CS7</f>
        <v>0</v>
      </c>
      <c r="CU7" s="117">
        <f>+'CFR Return'!AB147</f>
        <v>0</v>
      </c>
      <c r="CV7" s="117">
        <f>'CFR Return'!AB148</f>
        <v>0</v>
      </c>
      <c r="CW7" s="117">
        <f>'CFR Return'!AB149</f>
        <v>0</v>
      </c>
      <c r="CX7" s="117">
        <f>+'CFR Return'!AB150</f>
        <v>0</v>
      </c>
      <c r="CY7" s="117">
        <f>+'CFR Return'!AB151</f>
        <v>0</v>
      </c>
      <c r="CZ7" s="117">
        <f>SUM(CT7:CY7)</f>
        <v>0</v>
      </c>
      <c r="DA7" s="117">
        <f>+'CFR Return'!AD139</f>
        <v>0</v>
      </c>
      <c r="DB7" s="117">
        <f>+'CFR Return'!AD142</f>
        <v>0</v>
      </c>
      <c r="DC7" s="117">
        <f>+'CFR Return'!AD143</f>
        <v>0</v>
      </c>
      <c r="DD7" s="117">
        <f>DA7-DB7+DC7</f>
        <v>0</v>
      </c>
      <c r="DE7" s="117"/>
      <c r="DF7" s="117"/>
      <c r="DG7" s="117"/>
      <c r="DH7" s="117">
        <f>+'CFR Return'!AD151</f>
        <v>0</v>
      </c>
      <c r="DI7" s="117">
        <f>SUM(DD7:DH7)</f>
        <v>0</v>
      </c>
      <c r="DJ7" s="117">
        <f>+'CFR Return'!$AB157</f>
        <v>0</v>
      </c>
      <c r="DK7" s="117">
        <f>+'CFR Return'!$AB158</f>
        <v>0</v>
      </c>
      <c r="DL7" s="117">
        <f>+'CFR Return'!$AB159</f>
        <v>0</v>
      </c>
      <c r="DM7" s="117">
        <f>+'CFR Return'!$AB160</f>
        <v>0</v>
      </c>
      <c r="DN7" s="117">
        <f>+'CFR Return'!$AB161</f>
        <v>0</v>
      </c>
      <c r="DO7" s="117">
        <f>+'CFR Return'!$AB162</f>
        <v>0</v>
      </c>
      <c r="DP7" s="117">
        <f>+'CFR Return'!$AB163</f>
        <v>0</v>
      </c>
      <c r="DQ7" s="117">
        <f>+'CFR Return'!$AB164</f>
        <v>0</v>
      </c>
      <c r="DR7" s="117">
        <f>SUM(DJ7:DQ7)</f>
        <v>0</v>
      </c>
      <c r="DS7" s="117">
        <f>+'CFR Return'!AB170</f>
        <v>0</v>
      </c>
      <c r="DT7" s="117">
        <f>+'CFR Return'!AB171</f>
        <v>0</v>
      </c>
      <c r="DU7" s="117">
        <f>+'CFR Return'!AB174</f>
        <v>0</v>
      </c>
      <c r="DV7" s="117">
        <f>+'CFR Return'!AB175</f>
        <v>0</v>
      </c>
      <c r="DW7" s="117">
        <f>+'CFR Return'!AB177</f>
        <v>0</v>
      </c>
      <c r="DX7" s="117">
        <f>+'CFR Return'!AB178</f>
        <v>0</v>
      </c>
      <c r="DY7" s="117">
        <f>+'CFR Return'!AB182</f>
        <v>0</v>
      </c>
      <c r="DZ7" s="130">
        <f>+CP7-CZ7-DI7-DR7-DS7-DT7-DU7-DV7-DW7-DX7</f>
        <v>0</v>
      </c>
    </row>
  </sheetData>
  <mergeCells count="10">
    <mergeCell ref="DA4:DI4"/>
    <mergeCell ref="DJ4:DR4"/>
    <mergeCell ref="DS4:DT4"/>
    <mergeCell ref="DU4:DV4"/>
    <mergeCell ref="A4:F4"/>
    <mergeCell ref="G4:BK4"/>
    <mergeCell ref="BL4:CA4"/>
    <mergeCell ref="CB4:CJ4"/>
    <mergeCell ref="CK4:CP4"/>
    <mergeCell ref="CQ4:CZ4"/>
  </mergeCells>
  <phoneticPr fontId="46" type="noConversion"/>
  <pageMargins left="0.7" right="0.7" top="0.75" bottom="0.75" header="0.3" footer="0.3"/>
  <headerFooter>
    <oddFooter>&amp;C_x000D_&amp;1#&amp;"Calibri"&amp;10&amp;K000000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C8EB8-B1F0-4DBA-A5F0-FDF65574C3DA}">
  <sheetPr>
    <tabColor rgb="FFFFCCFF"/>
  </sheetPr>
  <dimension ref="A1:T219"/>
  <sheetViews>
    <sheetView zoomScale="80" zoomScaleNormal="80" workbookViewId="0">
      <pane ySplit="1" topLeftCell="A172" activePane="bottomLeft" state="frozen"/>
      <selection activeCell="CB1" sqref="CB1"/>
      <selection pane="bottomLeft" activeCell="A6" sqref="A6:T208"/>
    </sheetView>
  </sheetViews>
  <sheetFormatPr defaultRowHeight="14.4"/>
  <cols>
    <col min="1" max="1" width="9.5546875" customWidth="1"/>
    <col min="2" max="2" width="7.6640625" bestFit="1" customWidth="1"/>
    <col min="3" max="3" width="12" bestFit="1" customWidth="1"/>
    <col min="4" max="4" width="75" bestFit="1" customWidth="1"/>
    <col min="5" max="5" width="22" customWidth="1"/>
    <col min="6" max="6" width="14.33203125" bestFit="1" customWidth="1"/>
    <col min="7" max="7" width="2.33203125" bestFit="1" customWidth="1"/>
    <col min="8" max="8" width="14.33203125" bestFit="1" customWidth="1"/>
    <col min="9" max="10" width="13" bestFit="1" customWidth="1"/>
    <col min="11" max="12" width="11.44140625" bestFit="1" customWidth="1"/>
    <col min="13" max="13" width="5.5546875" bestFit="1" customWidth="1"/>
    <col min="14" max="14" width="10.33203125" bestFit="1" customWidth="1"/>
    <col min="15" max="15" width="12.88671875" bestFit="1" customWidth="1"/>
    <col min="16" max="16" width="9.109375" bestFit="1" customWidth="1"/>
    <col min="17" max="18" width="11.6640625" bestFit="1" customWidth="1"/>
    <col min="19" max="19" width="10.33203125" bestFit="1" customWidth="1"/>
    <col min="20" max="20" width="14.33203125" bestFit="1" customWidth="1"/>
  </cols>
  <sheetData>
    <row r="1" spans="1:20">
      <c r="A1" s="76" t="s">
        <v>522</v>
      </c>
      <c r="B1" s="76"/>
    </row>
    <row r="2" spans="1:20">
      <c r="A2">
        <v>1</v>
      </c>
      <c r="B2">
        <v>2</v>
      </c>
      <c r="C2">
        <v>3</v>
      </c>
      <c r="D2">
        <v>4</v>
      </c>
      <c r="E2">
        <v>5</v>
      </c>
      <c r="F2">
        <v>6</v>
      </c>
      <c r="G2">
        <v>7</v>
      </c>
      <c r="H2">
        <v>8</v>
      </c>
      <c r="I2">
        <v>9</v>
      </c>
      <c r="J2">
        <v>10</v>
      </c>
      <c r="K2">
        <v>11</v>
      </c>
      <c r="L2">
        <v>12</v>
      </c>
      <c r="M2">
        <v>13</v>
      </c>
      <c r="N2">
        <v>14</v>
      </c>
      <c r="O2">
        <v>15</v>
      </c>
      <c r="P2">
        <v>16</v>
      </c>
      <c r="Q2">
        <v>17</v>
      </c>
      <c r="R2">
        <v>18</v>
      </c>
      <c r="S2">
        <v>19</v>
      </c>
      <c r="T2">
        <v>20</v>
      </c>
    </row>
    <row r="3" spans="1:20">
      <c r="D3" s="168"/>
    </row>
    <row r="4" spans="1:20">
      <c r="A4" t="s">
        <v>523</v>
      </c>
      <c r="D4" s="168"/>
    </row>
    <row r="5" spans="1:20" ht="15" thickBot="1"/>
    <row r="6" spans="1:20" s="281" customFormat="1" ht="80.25" customHeight="1" thickBot="1">
      <c r="A6" s="277"/>
      <c r="B6" s="278"/>
      <c r="C6" s="279"/>
      <c r="D6" s="280"/>
      <c r="E6" s="279"/>
      <c r="F6" s="280"/>
    </row>
    <row r="7" spans="1:20">
      <c r="A7" s="169" t="s">
        <v>524</v>
      </c>
      <c r="B7" s="133" t="s">
        <v>525</v>
      </c>
      <c r="C7" s="133" t="s">
        <v>474</v>
      </c>
      <c r="D7" s="133" t="s">
        <v>526</v>
      </c>
      <c r="E7" s="159" t="s">
        <v>527</v>
      </c>
      <c r="F7" s="161" t="s">
        <v>528</v>
      </c>
      <c r="H7" t="s">
        <v>77</v>
      </c>
      <c r="I7" t="s">
        <v>79</v>
      </c>
      <c r="J7" t="s">
        <v>81</v>
      </c>
      <c r="K7" t="s">
        <v>85</v>
      </c>
      <c r="L7" t="s">
        <v>87</v>
      </c>
      <c r="M7" t="s">
        <v>89</v>
      </c>
      <c r="N7" t="s">
        <v>94</v>
      </c>
      <c r="O7" t="s">
        <v>142</v>
      </c>
      <c r="P7" t="s">
        <v>165</v>
      </c>
      <c r="Q7" t="s">
        <v>167</v>
      </c>
      <c r="R7" t="s">
        <v>175</v>
      </c>
      <c r="S7" t="s">
        <v>529</v>
      </c>
      <c r="T7" t="s">
        <v>530</v>
      </c>
    </row>
    <row r="8" spans="1:20">
      <c r="A8" s="309" t="s">
        <v>531</v>
      </c>
      <c r="B8" s="165"/>
      <c r="C8" s="165"/>
      <c r="D8" s="165" t="s">
        <v>48</v>
      </c>
      <c r="E8" s="159"/>
      <c r="F8" s="167"/>
      <c r="H8">
        <v>0</v>
      </c>
      <c r="I8">
        <v>0</v>
      </c>
      <c r="J8">
        <v>0</v>
      </c>
      <c r="K8">
        <v>0</v>
      </c>
      <c r="L8">
        <v>0</v>
      </c>
      <c r="M8">
        <v>0</v>
      </c>
      <c r="N8">
        <v>0</v>
      </c>
      <c r="O8">
        <v>0</v>
      </c>
      <c r="P8">
        <v>0</v>
      </c>
      <c r="Q8">
        <v>0</v>
      </c>
      <c r="R8">
        <v>0</v>
      </c>
      <c r="S8">
        <v>0</v>
      </c>
      <c r="T8">
        <v>0</v>
      </c>
    </row>
    <row r="9" spans="1:20">
      <c r="A9" s="163">
        <v>1027</v>
      </c>
      <c r="B9" s="165">
        <v>103140</v>
      </c>
      <c r="C9" s="165" t="s">
        <v>532</v>
      </c>
      <c r="D9" s="165" t="s">
        <v>533</v>
      </c>
      <c r="E9" s="159" t="s">
        <v>534</v>
      </c>
      <c r="F9" s="167" t="s">
        <v>535</v>
      </c>
      <c r="H9" s="750">
        <v>671352.63125012931</v>
      </c>
      <c r="I9" s="750">
        <v>0</v>
      </c>
      <c r="J9" s="750">
        <v>73130.844063342593</v>
      </c>
      <c r="K9" s="750">
        <v>0</v>
      </c>
      <c r="L9" s="750">
        <v>0</v>
      </c>
      <c r="M9" s="750">
        <v>0</v>
      </c>
      <c r="N9" s="750">
        <v>0</v>
      </c>
      <c r="O9" s="750">
        <v>0</v>
      </c>
      <c r="P9" s="750">
        <v>0</v>
      </c>
      <c r="Q9" s="750">
        <v>-3291.75</v>
      </c>
      <c r="R9" s="750">
        <v>0</v>
      </c>
      <c r="S9" s="750">
        <v>4897.75</v>
      </c>
      <c r="T9" s="750">
        <v>746089.47531347186</v>
      </c>
    </row>
    <row r="10" spans="1:20">
      <c r="A10" s="160">
        <v>2010</v>
      </c>
      <c r="B10" s="133">
        <v>103159</v>
      </c>
      <c r="C10" s="133" t="s">
        <v>536</v>
      </c>
      <c r="D10" s="133" t="s">
        <v>537</v>
      </c>
      <c r="E10" s="159" t="s">
        <v>538</v>
      </c>
      <c r="F10" s="161" t="s">
        <v>535</v>
      </c>
      <c r="H10" s="750">
        <v>2714185.2728075944</v>
      </c>
      <c r="I10" s="750">
        <v>0</v>
      </c>
      <c r="J10" s="750">
        <v>18596.333333333332</v>
      </c>
      <c r="K10" s="750">
        <v>371175</v>
      </c>
      <c r="L10" s="750">
        <v>59494.86</v>
      </c>
      <c r="M10" s="750">
        <v>0</v>
      </c>
      <c r="N10" s="750">
        <v>0</v>
      </c>
      <c r="O10" s="750">
        <v>-47169.719999999994</v>
      </c>
      <c r="P10" s="750">
        <v>0</v>
      </c>
      <c r="Q10" s="750">
        <v>-11313</v>
      </c>
      <c r="R10" s="750">
        <v>-10927.520000000002</v>
      </c>
      <c r="S10" s="750">
        <v>8736.25</v>
      </c>
      <c r="T10" s="750">
        <v>3102777.4761409275</v>
      </c>
    </row>
    <row r="11" spans="1:20">
      <c r="A11" s="160">
        <v>5949</v>
      </c>
      <c r="B11" s="133">
        <v>131465</v>
      </c>
      <c r="C11" s="133" t="s">
        <v>539</v>
      </c>
      <c r="D11" s="133" t="s">
        <v>540</v>
      </c>
      <c r="E11" s="159" t="s">
        <v>538</v>
      </c>
      <c r="F11" s="161" t="s">
        <v>535</v>
      </c>
      <c r="H11" s="750">
        <v>3745275.2292505442</v>
      </c>
      <c r="I11" s="750">
        <v>0</v>
      </c>
      <c r="J11" s="750">
        <v>94084.33666666667</v>
      </c>
      <c r="K11" s="750">
        <v>446525</v>
      </c>
      <c r="L11" s="750">
        <v>105796.64</v>
      </c>
      <c r="M11" s="750">
        <v>0</v>
      </c>
      <c r="N11" s="750">
        <v>45092.075990000129</v>
      </c>
      <c r="O11" s="750">
        <v>-73840.41</v>
      </c>
      <c r="P11" s="750">
        <v>-22.740000000000002</v>
      </c>
      <c r="Q11" s="750">
        <v>-18745.650000000001</v>
      </c>
      <c r="R11" s="750">
        <v>-16456.48</v>
      </c>
      <c r="S11" s="750">
        <v>11065</v>
      </c>
      <c r="T11" s="750">
        <v>4338773.0019072089</v>
      </c>
    </row>
    <row r="12" spans="1:20">
      <c r="A12" s="162">
        <v>1017</v>
      </c>
      <c r="B12" s="164">
        <v>103130</v>
      </c>
      <c r="C12" s="164" t="s">
        <v>541</v>
      </c>
      <c r="D12" s="164" t="s">
        <v>542</v>
      </c>
      <c r="E12" s="159" t="s">
        <v>534</v>
      </c>
      <c r="F12" s="166" t="s">
        <v>535</v>
      </c>
      <c r="H12" s="750">
        <v>1038359.061152229</v>
      </c>
      <c r="I12" s="750">
        <v>0</v>
      </c>
      <c r="J12" s="750">
        <v>82733.382459279776</v>
      </c>
      <c r="K12" s="750">
        <v>0</v>
      </c>
      <c r="L12" s="750">
        <v>0</v>
      </c>
      <c r="M12" s="750">
        <v>0</v>
      </c>
      <c r="N12" s="750">
        <v>0</v>
      </c>
      <c r="O12" s="750">
        <v>0</v>
      </c>
      <c r="P12" s="750">
        <v>0</v>
      </c>
      <c r="Q12" s="750">
        <v>-3291.75</v>
      </c>
      <c r="R12" s="750">
        <v>0</v>
      </c>
      <c r="S12" s="750">
        <v>5174.5</v>
      </c>
      <c r="T12" s="750">
        <v>1122975.1936115087</v>
      </c>
    </row>
    <row r="13" spans="1:20">
      <c r="A13" s="160">
        <v>2153</v>
      </c>
      <c r="B13" s="133">
        <v>103243</v>
      </c>
      <c r="C13" s="133" t="s">
        <v>543</v>
      </c>
      <c r="D13" s="133" t="s">
        <v>544</v>
      </c>
      <c r="E13" s="159" t="s">
        <v>538</v>
      </c>
      <c r="F13" s="161" t="s">
        <v>535</v>
      </c>
      <c r="H13" s="750">
        <v>2833309.7609724859</v>
      </c>
      <c r="I13" s="750">
        <v>0</v>
      </c>
      <c r="J13" s="750">
        <v>597518.82133333338</v>
      </c>
      <c r="K13" s="750">
        <v>373320</v>
      </c>
      <c r="L13" s="750">
        <v>48289</v>
      </c>
      <c r="M13" s="750">
        <v>0</v>
      </c>
      <c r="N13" s="750">
        <v>26979.793029999968</v>
      </c>
      <c r="O13" s="750">
        <v>-24708.449999999993</v>
      </c>
      <c r="P13" s="750">
        <v>-64.490000000000009</v>
      </c>
      <c r="Q13" s="750">
        <v>-9471</v>
      </c>
      <c r="R13" s="750">
        <v>-10405.92</v>
      </c>
      <c r="S13" s="750">
        <v>8668.75</v>
      </c>
      <c r="T13" s="750">
        <v>3843436.2653358188</v>
      </c>
    </row>
    <row r="14" spans="1:20">
      <c r="A14" s="160">
        <v>2062</v>
      </c>
      <c r="B14" s="133">
        <v>103192</v>
      </c>
      <c r="C14" s="133" t="s">
        <v>545</v>
      </c>
      <c r="D14" s="133" t="s">
        <v>546</v>
      </c>
      <c r="E14" s="159" t="s">
        <v>538</v>
      </c>
      <c r="F14" s="161" t="s">
        <v>535</v>
      </c>
      <c r="H14" s="750">
        <v>2727379.1206994471</v>
      </c>
      <c r="I14" s="750">
        <v>0</v>
      </c>
      <c r="J14" s="750">
        <v>266163.52</v>
      </c>
      <c r="K14" s="750">
        <v>319980</v>
      </c>
      <c r="L14" s="750">
        <v>65329.86</v>
      </c>
      <c r="M14" s="750">
        <v>0</v>
      </c>
      <c r="N14" s="750">
        <v>24736.613090000024</v>
      </c>
      <c r="O14" s="750">
        <v>-48655.930000000015</v>
      </c>
      <c r="P14" s="750">
        <v>-99.51</v>
      </c>
      <c r="Q14" s="750">
        <v>-9471</v>
      </c>
      <c r="R14" s="750">
        <v>-10249.439999999999</v>
      </c>
      <c r="S14" s="750">
        <v>8835.25</v>
      </c>
      <c r="T14" s="750">
        <v>3343948.4837894472</v>
      </c>
    </row>
    <row r="15" spans="1:20">
      <c r="A15" s="160">
        <v>2479</v>
      </c>
      <c r="B15" s="133">
        <v>132074</v>
      </c>
      <c r="C15" s="133" t="s">
        <v>547</v>
      </c>
      <c r="D15" s="133" t="s">
        <v>548</v>
      </c>
      <c r="E15" s="159" t="s">
        <v>538</v>
      </c>
      <c r="F15" s="161" t="s">
        <v>535</v>
      </c>
      <c r="H15" s="750">
        <v>4277352.2448207978</v>
      </c>
      <c r="I15" s="750">
        <v>0</v>
      </c>
      <c r="J15" s="750">
        <v>327062.47000000003</v>
      </c>
      <c r="K15" s="750">
        <v>545400</v>
      </c>
      <c r="L15" s="750">
        <v>100029.21999999999</v>
      </c>
      <c r="M15" s="750">
        <v>0</v>
      </c>
      <c r="N15" s="750">
        <v>17185.875474999844</v>
      </c>
      <c r="O15" s="750">
        <v>-31269.810000000009</v>
      </c>
      <c r="P15" s="750">
        <v>-91.38</v>
      </c>
      <c r="Q15" s="750">
        <v>-18745.650000000001</v>
      </c>
      <c r="R15" s="750">
        <v>-16326.079999999996</v>
      </c>
      <c r="S15" s="750">
        <v>11998.75</v>
      </c>
      <c r="T15" s="750">
        <v>5212595.640295797</v>
      </c>
    </row>
    <row r="16" spans="1:20">
      <c r="A16" s="160">
        <v>2300</v>
      </c>
      <c r="B16" s="133">
        <v>103324</v>
      </c>
      <c r="C16" s="133" t="s">
        <v>549</v>
      </c>
      <c r="D16" s="133" t="s">
        <v>550</v>
      </c>
      <c r="E16" s="159" t="s">
        <v>538</v>
      </c>
      <c r="F16" s="161" t="s">
        <v>535</v>
      </c>
      <c r="H16" s="750">
        <v>4171934.7496375525</v>
      </c>
      <c r="I16" s="750">
        <v>0</v>
      </c>
      <c r="J16" s="750">
        <v>303010.18000000005</v>
      </c>
      <c r="K16" s="750">
        <v>527220</v>
      </c>
      <c r="L16" s="750">
        <v>95288.29</v>
      </c>
      <c r="M16" s="750">
        <v>0</v>
      </c>
      <c r="N16" s="750">
        <v>0</v>
      </c>
      <c r="O16" s="750">
        <v>-80893.090000000011</v>
      </c>
      <c r="P16" s="750">
        <v>0</v>
      </c>
      <c r="Q16" s="750">
        <v>-18745.650000000001</v>
      </c>
      <c r="R16" s="750">
        <v>-16665.12</v>
      </c>
      <c r="S16" s="750">
        <v>11686</v>
      </c>
      <c r="T16" s="750">
        <v>4992835.3596375519</v>
      </c>
    </row>
    <row r="17" spans="1:20">
      <c r="A17" s="160">
        <v>7016</v>
      </c>
      <c r="B17" s="133">
        <v>103606</v>
      </c>
      <c r="C17" s="133" t="s">
        <v>551</v>
      </c>
      <c r="D17" s="133" t="s">
        <v>552</v>
      </c>
      <c r="E17" s="159" t="s">
        <v>553</v>
      </c>
      <c r="F17" s="161" t="s">
        <v>535</v>
      </c>
      <c r="H17" s="750">
        <v>2070454.9573913044</v>
      </c>
      <c r="I17" s="750">
        <v>60048.577419554851</v>
      </c>
      <c r="J17" s="750">
        <v>4205874.2440381898</v>
      </c>
      <c r="K17" s="750">
        <v>73450</v>
      </c>
      <c r="L17" s="750">
        <v>0</v>
      </c>
      <c r="M17" s="750">
        <v>0</v>
      </c>
      <c r="N17" s="750">
        <v>0</v>
      </c>
      <c r="O17" s="750">
        <v>0</v>
      </c>
      <c r="P17" s="750">
        <v>0</v>
      </c>
      <c r="Q17" s="750">
        <v>-5076</v>
      </c>
      <c r="R17" s="750">
        <v>0</v>
      </c>
      <c r="S17" s="750">
        <v>13365.63</v>
      </c>
      <c r="T17" s="750">
        <v>6418117.4088490484</v>
      </c>
    </row>
    <row r="18" spans="1:20">
      <c r="A18" s="160">
        <v>2017</v>
      </c>
      <c r="B18" s="133">
        <v>103164</v>
      </c>
      <c r="C18" s="133" t="s">
        <v>554</v>
      </c>
      <c r="D18" s="133" t="s">
        <v>555</v>
      </c>
      <c r="E18" s="159" t="s">
        <v>538</v>
      </c>
      <c r="F18" s="161" t="s">
        <v>535</v>
      </c>
      <c r="H18" s="750">
        <v>1829264.3645051515</v>
      </c>
      <c r="I18" s="750">
        <v>0</v>
      </c>
      <c r="J18" s="750">
        <v>219412.995</v>
      </c>
      <c r="K18" s="750">
        <v>142410</v>
      </c>
      <c r="L18" s="750">
        <v>76573.600000000006</v>
      </c>
      <c r="M18" s="750">
        <v>0</v>
      </c>
      <c r="N18" s="750">
        <v>2715.6799999999994</v>
      </c>
      <c r="O18" s="750">
        <v>-28407.830000000005</v>
      </c>
      <c r="P18" s="750">
        <v>-35.700000000000003</v>
      </c>
      <c r="Q18" s="750">
        <v>-5139.75</v>
      </c>
      <c r="R18" s="750">
        <v>-6911.2</v>
      </c>
      <c r="S18" s="750">
        <v>7026.25</v>
      </c>
      <c r="T18" s="750">
        <v>2236908.4095051512</v>
      </c>
    </row>
    <row r="19" spans="1:20">
      <c r="A19" s="160">
        <v>2016</v>
      </c>
      <c r="B19" s="133">
        <v>103163</v>
      </c>
      <c r="C19" s="133" t="s">
        <v>556</v>
      </c>
      <c r="D19" s="133" t="s">
        <v>557</v>
      </c>
      <c r="E19" s="159" t="s">
        <v>538</v>
      </c>
      <c r="F19" s="161" t="s">
        <v>535</v>
      </c>
      <c r="H19" s="750">
        <v>2349642.6641679588</v>
      </c>
      <c r="I19" s="750">
        <v>0</v>
      </c>
      <c r="J19" s="750">
        <v>144585.34</v>
      </c>
      <c r="K19" s="750">
        <v>247660</v>
      </c>
      <c r="L19" s="750">
        <v>26232.86</v>
      </c>
      <c r="M19" s="750">
        <v>0</v>
      </c>
      <c r="N19" s="750">
        <v>9906.8040000000001</v>
      </c>
      <c r="O19" s="750">
        <v>-42611.74</v>
      </c>
      <c r="P19" s="750">
        <v>-14.01</v>
      </c>
      <c r="Q19" s="750">
        <v>-9471</v>
      </c>
      <c r="R19" s="750">
        <v>-9362.7199999999993</v>
      </c>
      <c r="S19" s="750">
        <v>8044.38</v>
      </c>
      <c r="T19" s="750">
        <v>2724612.5781679582</v>
      </c>
    </row>
    <row r="20" spans="1:20">
      <c r="A20" s="160">
        <v>2239</v>
      </c>
      <c r="B20" s="133">
        <v>103289</v>
      </c>
      <c r="C20" s="133" t="s">
        <v>558</v>
      </c>
      <c r="D20" s="133" t="s">
        <v>559</v>
      </c>
      <c r="E20" s="159" t="s">
        <v>538</v>
      </c>
      <c r="F20" s="161" t="s">
        <v>535</v>
      </c>
      <c r="H20" s="750">
        <v>1215961.9894904436</v>
      </c>
      <c r="I20" s="750">
        <v>0</v>
      </c>
      <c r="J20" s="750">
        <v>123705.01973222529</v>
      </c>
      <c r="K20" s="750">
        <v>110945</v>
      </c>
      <c r="L20" s="750">
        <v>44967.57</v>
      </c>
      <c r="M20" s="750">
        <v>0</v>
      </c>
      <c r="N20" s="750">
        <v>1771.0242600000015</v>
      </c>
      <c r="O20" s="750">
        <v>-11105.600000000004</v>
      </c>
      <c r="P20" s="750">
        <v>-54.83</v>
      </c>
      <c r="Q20" s="750">
        <v>-3291.75</v>
      </c>
      <c r="R20" s="750">
        <v>-3833.7599999999998</v>
      </c>
      <c r="S20" s="750">
        <v>6191.5</v>
      </c>
      <c r="T20" s="750">
        <v>1485256.1634826688</v>
      </c>
    </row>
    <row r="21" spans="1:20">
      <c r="A21" s="160">
        <v>2241</v>
      </c>
      <c r="B21" s="133">
        <v>103291</v>
      </c>
      <c r="C21" s="133" t="s">
        <v>560</v>
      </c>
      <c r="D21" s="133" t="s">
        <v>561</v>
      </c>
      <c r="E21" s="159" t="s">
        <v>538</v>
      </c>
      <c r="F21" s="161" t="s">
        <v>535</v>
      </c>
      <c r="H21" s="750">
        <v>1602553.6578248756</v>
      </c>
      <c r="I21" s="750">
        <v>0</v>
      </c>
      <c r="J21" s="750">
        <v>109328.55666666667</v>
      </c>
      <c r="K21" s="750">
        <v>220675</v>
      </c>
      <c r="L21" s="750">
        <v>33446.259999999995</v>
      </c>
      <c r="M21" s="750">
        <v>0</v>
      </c>
      <c r="N21" s="750">
        <v>0</v>
      </c>
      <c r="O21" s="750">
        <v>-14721.389999999998</v>
      </c>
      <c r="P21" s="750">
        <v>0</v>
      </c>
      <c r="Q21" s="750">
        <v>-5139.75</v>
      </c>
      <c r="R21" s="750">
        <v>-6363.5199999999977</v>
      </c>
      <c r="S21" s="750">
        <v>6756.25</v>
      </c>
      <c r="T21" s="750">
        <v>1946535.0644915423</v>
      </c>
    </row>
    <row r="22" spans="1:20">
      <c r="A22" s="160">
        <v>5413</v>
      </c>
      <c r="B22" s="133">
        <v>103560</v>
      </c>
      <c r="C22" s="133" t="s">
        <v>562</v>
      </c>
      <c r="D22" s="133" t="s">
        <v>563</v>
      </c>
      <c r="E22" s="159" t="s">
        <v>564</v>
      </c>
      <c r="F22" s="161" t="s">
        <v>535</v>
      </c>
      <c r="H22" s="750">
        <v>7581383.8208234208</v>
      </c>
      <c r="I22" s="750">
        <v>1640937.4366666661</v>
      </c>
      <c r="J22" s="750">
        <v>130252.50333333331</v>
      </c>
      <c r="K22" s="750">
        <v>420215</v>
      </c>
      <c r="L22" s="750">
        <v>25785.48</v>
      </c>
      <c r="M22" s="750">
        <v>0</v>
      </c>
      <c r="N22" s="750">
        <v>0</v>
      </c>
      <c r="O22" s="750">
        <v>-87604.229999999981</v>
      </c>
      <c r="P22" s="750">
        <v>0</v>
      </c>
      <c r="Q22" s="750">
        <v>0</v>
      </c>
      <c r="R22" s="750">
        <v>-19989.09</v>
      </c>
      <c r="S22" s="750">
        <v>0</v>
      </c>
      <c r="T22" s="750">
        <v>9690980.9208234213</v>
      </c>
    </row>
    <row r="23" spans="1:20">
      <c r="A23" s="160">
        <v>1025</v>
      </c>
      <c r="B23" s="133">
        <v>103138</v>
      </c>
      <c r="C23" s="133" t="s">
        <v>565</v>
      </c>
      <c r="D23" s="133" t="s">
        <v>566</v>
      </c>
      <c r="E23" s="159" t="s">
        <v>534</v>
      </c>
      <c r="F23" s="161" t="s">
        <v>535</v>
      </c>
      <c r="H23" s="750">
        <v>873006.20387678547</v>
      </c>
      <c r="I23" s="750">
        <v>0</v>
      </c>
      <c r="J23" s="750">
        <v>52628.741129639886</v>
      </c>
      <c r="K23" s="750">
        <v>0</v>
      </c>
      <c r="L23" s="750">
        <v>0</v>
      </c>
      <c r="M23" s="750">
        <v>0</v>
      </c>
      <c r="N23" s="750">
        <v>27582.810720000009</v>
      </c>
      <c r="O23" s="750">
        <v>0</v>
      </c>
      <c r="P23" s="750">
        <v>-92.97</v>
      </c>
      <c r="Q23" s="750">
        <v>-3291.75</v>
      </c>
      <c r="R23" s="750">
        <v>0</v>
      </c>
      <c r="S23" s="750">
        <v>4924.75</v>
      </c>
      <c r="T23" s="750">
        <v>954757.78572642547</v>
      </c>
    </row>
    <row r="24" spans="1:20">
      <c r="A24" s="160">
        <v>2402</v>
      </c>
      <c r="B24" s="133">
        <v>103342</v>
      </c>
      <c r="C24" s="133" t="s">
        <v>567</v>
      </c>
      <c r="D24" s="133" t="s">
        <v>568</v>
      </c>
      <c r="E24" s="159" t="s">
        <v>538</v>
      </c>
      <c r="F24" s="161" t="s">
        <v>535</v>
      </c>
      <c r="H24" s="750">
        <v>1728849.3323371056</v>
      </c>
      <c r="I24" s="750">
        <v>0</v>
      </c>
      <c r="J24" s="750">
        <v>365512.45333333337</v>
      </c>
      <c r="K24" s="750">
        <v>81555</v>
      </c>
      <c r="L24" s="750">
        <v>124879</v>
      </c>
      <c r="M24" s="750">
        <v>0</v>
      </c>
      <c r="N24" s="750">
        <v>0</v>
      </c>
      <c r="O24" s="750">
        <v>-18078.900000000005</v>
      </c>
      <c r="P24" s="750">
        <v>0</v>
      </c>
      <c r="Q24" s="750">
        <v>-5139.75</v>
      </c>
      <c r="R24" s="750">
        <v>-7119.8399999999974</v>
      </c>
      <c r="S24" s="750">
        <v>7497.63</v>
      </c>
      <c r="T24" s="750">
        <v>2277954.9256704389</v>
      </c>
    </row>
    <row r="25" spans="1:20">
      <c r="A25" s="160">
        <v>2401</v>
      </c>
      <c r="B25" s="133">
        <v>103341</v>
      </c>
      <c r="C25" s="133" t="s">
        <v>569</v>
      </c>
      <c r="D25" s="133" t="s">
        <v>570</v>
      </c>
      <c r="E25" s="159" t="s">
        <v>538</v>
      </c>
      <c r="F25" s="161" t="s">
        <v>535</v>
      </c>
      <c r="H25" s="750">
        <v>1963417.9999999998</v>
      </c>
      <c r="I25" s="750">
        <v>0</v>
      </c>
      <c r="J25" s="750">
        <v>126227.20000000001</v>
      </c>
      <c r="K25" s="750">
        <v>113355</v>
      </c>
      <c r="L25" s="750">
        <v>19015.93</v>
      </c>
      <c r="M25" s="750">
        <v>0</v>
      </c>
      <c r="N25" s="750">
        <v>0</v>
      </c>
      <c r="O25" s="750">
        <v>-21049</v>
      </c>
      <c r="P25" s="750">
        <v>0</v>
      </c>
      <c r="Q25" s="750">
        <v>-9471</v>
      </c>
      <c r="R25" s="750">
        <v>-9936.48</v>
      </c>
      <c r="S25" s="750">
        <v>8286.25</v>
      </c>
      <c r="T25" s="750">
        <v>2189845.9</v>
      </c>
    </row>
    <row r="26" spans="1:20">
      <c r="A26" s="160">
        <v>4115</v>
      </c>
      <c r="B26" s="133">
        <v>103493</v>
      </c>
      <c r="C26" s="133" t="s">
        <v>571</v>
      </c>
      <c r="D26" s="133" t="s">
        <v>572</v>
      </c>
      <c r="E26" s="159" t="s">
        <v>564</v>
      </c>
      <c r="F26" s="161" t="s">
        <v>535</v>
      </c>
      <c r="H26" s="750">
        <v>5474577.9739160948</v>
      </c>
      <c r="I26" s="750">
        <v>2471040.1566666663</v>
      </c>
      <c r="J26" s="750">
        <v>334860.17666666664</v>
      </c>
      <c r="K26" s="750">
        <v>384850</v>
      </c>
      <c r="L26" s="750">
        <v>16352.75</v>
      </c>
      <c r="M26" s="750">
        <v>0</v>
      </c>
      <c r="N26" s="750">
        <v>0</v>
      </c>
      <c r="O26" s="750">
        <v>-85617.910000000018</v>
      </c>
      <c r="P26" s="750">
        <v>0</v>
      </c>
      <c r="Q26" s="750">
        <v>-18745.650000000001</v>
      </c>
      <c r="R26" s="750">
        <v>-12702.03</v>
      </c>
      <c r="S26" s="750">
        <v>22126.560000000001</v>
      </c>
      <c r="T26" s="750">
        <v>8586742.0272494275</v>
      </c>
    </row>
    <row r="27" spans="1:20">
      <c r="A27" s="160">
        <v>2030</v>
      </c>
      <c r="B27" s="133">
        <v>103172</v>
      </c>
      <c r="C27" s="133" t="s">
        <v>573</v>
      </c>
      <c r="D27" s="133" t="s">
        <v>574</v>
      </c>
      <c r="E27" s="159" t="s">
        <v>538</v>
      </c>
      <c r="F27" s="161" t="s">
        <v>535</v>
      </c>
      <c r="H27" s="750">
        <v>3954785.4308746085</v>
      </c>
      <c r="I27" s="750">
        <v>0</v>
      </c>
      <c r="J27" s="750">
        <v>102229.49333333333</v>
      </c>
      <c r="K27" s="750">
        <v>449955</v>
      </c>
      <c r="L27" s="750">
        <v>77997</v>
      </c>
      <c r="M27" s="750">
        <v>0</v>
      </c>
      <c r="N27" s="750">
        <v>0</v>
      </c>
      <c r="O27" s="750">
        <v>-33389.800000000003</v>
      </c>
      <c r="P27" s="750">
        <v>0</v>
      </c>
      <c r="Q27" s="750">
        <v>-17415</v>
      </c>
      <c r="R27" s="750">
        <v>-16143.519999999999</v>
      </c>
      <c r="S27" s="750">
        <v>11416</v>
      </c>
      <c r="T27" s="750">
        <v>4529434.6042079423</v>
      </c>
    </row>
    <row r="28" spans="1:20">
      <c r="A28" s="160">
        <v>3353</v>
      </c>
      <c r="B28" s="133">
        <v>103445</v>
      </c>
      <c r="C28" s="133" t="s">
        <v>575</v>
      </c>
      <c r="D28" s="133" t="s">
        <v>576</v>
      </c>
      <c r="E28" s="159" t="s">
        <v>538</v>
      </c>
      <c r="F28" s="161" t="s">
        <v>535</v>
      </c>
      <c r="H28" s="750">
        <v>3316626.6386000002</v>
      </c>
      <c r="I28" s="750">
        <v>0</v>
      </c>
      <c r="J28" s="750">
        <v>130469.10666666666</v>
      </c>
      <c r="K28" s="750">
        <v>183990</v>
      </c>
      <c r="L28" s="750">
        <v>147629.93</v>
      </c>
      <c r="M28" s="750">
        <v>0</v>
      </c>
      <c r="N28" s="750">
        <v>0</v>
      </c>
      <c r="O28" s="750">
        <v>-11218.18</v>
      </c>
      <c r="P28" s="750">
        <v>0</v>
      </c>
      <c r="Q28" s="750">
        <v>-18745.650000000001</v>
      </c>
      <c r="R28" s="750">
        <v>-16951.999999999996</v>
      </c>
      <c r="S28" s="750">
        <v>0</v>
      </c>
      <c r="T28" s="750">
        <v>3731799.8452666667</v>
      </c>
    </row>
    <row r="29" spans="1:20">
      <c r="A29" s="160">
        <v>7030</v>
      </c>
      <c r="B29" s="133">
        <v>103611</v>
      </c>
      <c r="C29" s="133" t="s">
        <v>577</v>
      </c>
      <c r="D29" s="133" t="s">
        <v>578</v>
      </c>
      <c r="E29" s="159" t="s">
        <v>553</v>
      </c>
      <c r="F29" s="161" t="s">
        <v>535</v>
      </c>
      <c r="H29" s="750">
        <v>830707.34503478266</v>
      </c>
      <c r="I29" s="750">
        <v>13358.369663282592</v>
      </c>
      <c r="J29" s="750">
        <v>1040532.8631384897</v>
      </c>
      <c r="K29" s="750">
        <v>52080</v>
      </c>
      <c r="L29" s="750">
        <v>856.93</v>
      </c>
      <c r="M29" s="750">
        <v>0</v>
      </c>
      <c r="N29" s="750">
        <v>27341.189725000055</v>
      </c>
      <c r="O29" s="750">
        <v>0</v>
      </c>
      <c r="P29" s="750">
        <v>-89.029999999999987</v>
      </c>
      <c r="Q29" s="750">
        <v>-3291.75</v>
      </c>
      <c r="R29" s="750">
        <v>0</v>
      </c>
      <c r="S29" s="750">
        <v>8201.8799999999992</v>
      </c>
      <c r="T29" s="750">
        <v>1969697.7975615547</v>
      </c>
    </row>
    <row r="30" spans="1:20">
      <c r="A30" s="160">
        <v>1002</v>
      </c>
      <c r="B30" s="133">
        <v>103121</v>
      </c>
      <c r="C30" s="133" t="s">
        <v>579</v>
      </c>
      <c r="D30" s="133" t="s">
        <v>580</v>
      </c>
      <c r="E30" s="159" t="s">
        <v>534</v>
      </c>
      <c r="F30" s="161" t="s">
        <v>535</v>
      </c>
      <c r="H30" s="750">
        <v>742919.99472093489</v>
      </c>
      <c r="I30" s="750">
        <v>0</v>
      </c>
      <c r="J30" s="750">
        <v>19085.426131117267</v>
      </c>
      <c r="K30" s="750">
        <v>0</v>
      </c>
      <c r="L30" s="750">
        <v>0</v>
      </c>
      <c r="M30" s="750">
        <v>0</v>
      </c>
      <c r="N30" s="750">
        <v>15832.640465000017</v>
      </c>
      <c r="O30" s="750">
        <v>0</v>
      </c>
      <c r="P30" s="750">
        <v>-137.42000000000002</v>
      </c>
      <c r="Q30" s="750">
        <v>-3291.75</v>
      </c>
      <c r="R30" s="750">
        <v>0</v>
      </c>
      <c r="S30" s="750">
        <v>4850.5</v>
      </c>
      <c r="T30" s="750">
        <v>779259.39131705218</v>
      </c>
    </row>
    <row r="31" spans="1:20">
      <c r="A31" s="160">
        <v>2238</v>
      </c>
      <c r="B31" s="133">
        <v>103288</v>
      </c>
      <c r="C31" s="133" t="s">
        <v>581</v>
      </c>
      <c r="D31" s="133" t="s">
        <v>582</v>
      </c>
      <c r="E31" s="159" t="s">
        <v>538</v>
      </c>
      <c r="F31" s="161" t="s">
        <v>583</v>
      </c>
      <c r="H31" s="750">
        <v>348797.69700000016</v>
      </c>
      <c r="I31" s="750">
        <v>0</v>
      </c>
      <c r="J31" s="750">
        <v>0</v>
      </c>
      <c r="K31" s="750">
        <v>38166.67</v>
      </c>
      <c r="L31" s="750">
        <v>38428</v>
      </c>
      <c r="M31" s="750">
        <v>0</v>
      </c>
      <c r="N31" s="750">
        <v>0</v>
      </c>
      <c r="O31" s="750">
        <v>-13652.719999999998</v>
      </c>
      <c r="P31" s="750">
        <v>0</v>
      </c>
      <c r="Q31" s="750">
        <v>-822.94</v>
      </c>
      <c r="R31" s="750">
        <v>-1456.1333333333296</v>
      </c>
      <c r="S31" s="750">
        <v>6099.25</v>
      </c>
      <c r="T31" s="750">
        <v>415559.82366666687</v>
      </c>
    </row>
    <row r="32" spans="1:20">
      <c r="A32" s="160">
        <v>2236</v>
      </c>
      <c r="B32" s="133">
        <v>103286</v>
      </c>
      <c r="C32" s="133" t="s">
        <v>584</v>
      </c>
      <c r="D32" s="133" t="s">
        <v>585</v>
      </c>
      <c r="E32" s="159" t="s">
        <v>538</v>
      </c>
      <c r="F32" s="161" t="s">
        <v>583</v>
      </c>
      <c r="H32" s="750">
        <v>353940.255052489</v>
      </c>
      <c r="I32" s="750">
        <v>0</v>
      </c>
      <c r="J32" s="750">
        <v>0</v>
      </c>
      <c r="K32" s="750">
        <v>76818.75</v>
      </c>
      <c r="L32" s="750">
        <v>7587</v>
      </c>
      <c r="M32" s="750">
        <v>0</v>
      </c>
      <c r="N32" s="750">
        <v>0</v>
      </c>
      <c r="O32" s="750">
        <v>-16027.099999999999</v>
      </c>
      <c r="P32" s="750">
        <v>0</v>
      </c>
      <c r="Q32" s="750">
        <v>-1284.94</v>
      </c>
      <c r="R32" s="750">
        <v>-2390.6666666666697</v>
      </c>
      <c r="S32" s="750">
        <v>6486.25</v>
      </c>
      <c r="T32" s="750">
        <v>425129.54838582233</v>
      </c>
    </row>
    <row r="33" spans="1:20">
      <c r="A33" s="160">
        <v>2465</v>
      </c>
      <c r="B33" s="133">
        <v>103391</v>
      </c>
      <c r="C33" s="133" t="s">
        <v>586</v>
      </c>
      <c r="D33" s="133" t="s">
        <v>587</v>
      </c>
      <c r="E33" s="159" t="s">
        <v>538</v>
      </c>
      <c r="F33" s="161" t="s">
        <v>535</v>
      </c>
      <c r="H33" s="750">
        <v>2883361.4470353196</v>
      </c>
      <c r="I33" s="750">
        <v>0</v>
      </c>
      <c r="J33" s="750">
        <v>140332.23766666665</v>
      </c>
      <c r="K33" s="750">
        <v>216960</v>
      </c>
      <c r="L33" s="750">
        <v>82998</v>
      </c>
      <c r="M33" s="750">
        <v>0</v>
      </c>
      <c r="N33" s="750">
        <v>9828.5495649999921</v>
      </c>
      <c r="O33" s="750">
        <v>-46033.170000000013</v>
      </c>
      <c r="P33" s="750">
        <v>-62.15</v>
      </c>
      <c r="Q33" s="750">
        <v>-9471</v>
      </c>
      <c r="R33" s="750">
        <v>-10901.439999999997</v>
      </c>
      <c r="S33" s="750">
        <v>8977</v>
      </c>
      <c r="T33" s="750">
        <v>3275989.4742669864</v>
      </c>
    </row>
    <row r="34" spans="1:20">
      <c r="A34" s="160">
        <v>4801</v>
      </c>
      <c r="B34" s="133">
        <v>103539</v>
      </c>
      <c r="C34" s="133" t="s">
        <v>588</v>
      </c>
      <c r="D34" s="133" t="s">
        <v>589</v>
      </c>
      <c r="E34" s="159" t="s">
        <v>564</v>
      </c>
      <c r="F34" s="161" t="s">
        <v>535</v>
      </c>
      <c r="H34" s="750">
        <v>6411356.0659079803</v>
      </c>
      <c r="I34" s="750">
        <v>0</v>
      </c>
      <c r="J34" s="750">
        <v>111283.46666666667</v>
      </c>
      <c r="K34" s="750">
        <v>432450</v>
      </c>
      <c r="L34" s="750">
        <v>12768.26</v>
      </c>
      <c r="M34" s="750">
        <v>0</v>
      </c>
      <c r="N34" s="750">
        <v>0</v>
      </c>
      <c r="O34" s="750">
        <v>-24697.859999999997</v>
      </c>
      <c r="P34" s="750">
        <v>0</v>
      </c>
      <c r="Q34" s="750">
        <v>-24312.75</v>
      </c>
      <c r="R34" s="750">
        <v>-15802.049999999997</v>
      </c>
      <c r="S34" s="750">
        <v>0</v>
      </c>
      <c r="T34" s="750">
        <v>6903045.1325746467</v>
      </c>
    </row>
    <row r="35" spans="1:20">
      <c r="A35" s="160">
        <v>1048</v>
      </c>
      <c r="B35" s="133">
        <v>103144</v>
      </c>
      <c r="C35" s="133" t="s">
        <v>590</v>
      </c>
      <c r="D35" s="133" t="s">
        <v>591</v>
      </c>
      <c r="E35" s="159" t="s">
        <v>534</v>
      </c>
      <c r="F35" s="161" t="s">
        <v>535</v>
      </c>
      <c r="H35" s="750">
        <v>1015663.080560061</v>
      </c>
      <c r="I35" s="750">
        <v>0</v>
      </c>
      <c r="J35" s="750">
        <v>79162.899192613113</v>
      </c>
      <c r="K35" s="750">
        <v>0</v>
      </c>
      <c r="L35" s="750">
        <v>0</v>
      </c>
      <c r="M35" s="750">
        <v>0</v>
      </c>
      <c r="N35" s="750">
        <v>14668.340380000014</v>
      </c>
      <c r="O35" s="750">
        <v>0</v>
      </c>
      <c r="P35" s="750">
        <v>-73.73</v>
      </c>
      <c r="Q35" s="750">
        <v>-3291.75</v>
      </c>
      <c r="R35" s="750">
        <v>0</v>
      </c>
      <c r="S35" s="750">
        <v>5228.5</v>
      </c>
      <c r="T35" s="750">
        <v>1111357.3401326742</v>
      </c>
    </row>
    <row r="36" spans="1:20">
      <c r="A36" s="160">
        <v>2312</v>
      </c>
      <c r="B36" s="133">
        <v>103332</v>
      </c>
      <c r="C36" s="133" t="s">
        <v>592</v>
      </c>
      <c r="D36" s="133" t="s">
        <v>593</v>
      </c>
      <c r="E36" s="159" t="s">
        <v>538</v>
      </c>
      <c r="F36" s="161" t="s">
        <v>535</v>
      </c>
      <c r="H36" s="750">
        <v>2231663.7070999998</v>
      </c>
      <c r="I36" s="750">
        <v>0</v>
      </c>
      <c r="J36" s="750">
        <v>278465.00066666666</v>
      </c>
      <c r="K36" s="750">
        <v>127875</v>
      </c>
      <c r="L36" s="750">
        <v>84600</v>
      </c>
      <c r="M36" s="750">
        <v>0</v>
      </c>
      <c r="N36" s="750">
        <v>0</v>
      </c>
      <c r="O36" s="750">
        <v>-30209.820000000003</v>
      </c>
      <c r="P36" s="750">
        <v>0</v>
      </c>
      <c r="Q36" s="750">
        <v>-9471</v>
      </c>
      <c r="R36" s="750">
        <v>-10979.679999999998</v>
      </c>
      <c r="S36" s="750">
        <v>8725</v>
      </c>
      <c r="T36" s="750">
        <v>2680668.2077666665</v>
      </c>
    </row>
    <row r="37" spans="1:20">
      <c r="A37" s="160">
        <v>7051</v>
      </c>
      <c r="B37" s="133">
        <v>103626</v>
      </c>
      <c r="C37" s="133" t="s">
        <v>594</v>
      </c>
      <c r="D37" s="133" t="s">
        <v>595</v>
      </c>
      <c r="E37" s="159" t="s">
        <v>553</v>
      </c>
      <c r="F37" s="161" t="s">
        <v>535</v>
      </c>
      <c r="H37" s="750">
        <v>1222449.4776086956</v>
      </c>
      <c r="I37" s="750">
        <v>0</v>
      </c>
      <c r="J37" s="750">
        <v>1908100.110491578</v>
      </c>
      <c r="K37" s="750">
        <v>109080</v>
      </c>
      <c r="L37" s="750">
        <v>24124.86</v>
      </c>
      <c r="M37" s="750">
        <v>0</v>
      </c>
      <c r="N37" s="750">
        <v>0</v>
      </c>
      <c r="O37" s="750">
        <v>0</v>
      </c>
      <c r="P37" s="750">
        <v>0</v>
      </c>
      <c r="Q37" s="750">
        <v>-2997</v>
      </c>
      <c r="R37" s="750">
        <v>0</v>
      </c>
      <c r="S37" s="750">
        <v>9771.25</v>
      </c>
      <c r="T37" s="750">
        <v>3270528.6981002735</v>
      </c>
    </row>
    <row r="38" spans="1:20">
      <c r="A38" s="160">
        <v>2040</v>
      </c>
      <c r="B38" s="133">
        <v>103178</v>
      </c>
      <c r="C38" s="133" t="s">
        <v>596</v>
      </c>
      <c r="D38" s="133" t="s">
        <v>597</v>
      </c>
      <c r="E38" s="159" t="s">
        <v>538</v>
      </c>
      <c r="F38" s="161" t="s">
        <v>535</v>
      </c>
      <c r="H38" s="750">
        <v>2594152.8628233359</v>
      </c>
      <c r="I38" s="750">
        <v>0</v>
      </c>
      <c r="J38" s="750">
        <v>327502.68333333335</v>
      </c>
      <c r="K38" s="750">
        <v>180915</v>
      </c>
      <c r="L38" s="750">
        <v>79253.289999999994</v>
      </c>
      <c r="M38" s="750">
        <v>0</v>
      </c>
      <c r="N38" s="750">
        <v>16727.141484999996</v>
      </c>
      <c r="O38" s="750">
        <v>-30474.819999999996</v>
      </c>
      <c r="P38" s="750">
        <v>-93.75</v>
      </c>
      <c r="Q38" s="750">
        <v>-9471</v>
      </c>
      <c r="R38" s="750">
        <v>-11083.999999999998</v>
      </c>
      <c r="S38" s="750">
        <v>9024.25</v>
      </c>
      <c r="T38" s="750">
        <v>3156451.6576416693</v>
      </c>
    </row>
    <row r="39" spans="1:20">
      <c r="A39" s="160">
        <v>2251</v>
      </c>
      <c r="B39" s="133">
        <v>103298</v>
      </c>
      <c r="C39" s="133" t="s">
        <v>598</v>
      </c>
      <c r="D39" s="133" t="s">
        <v>599</v>
      </c>
      <c r="E39" s="159" t="s">
        <v>538</v>
      </c>
      <c r="F39" s="161" t="s">
        <v>535</v>
      </c>
      <c r="H39" s="750">
        <v>2301155.2026592796</v>
      </c>
      <c r="I39" s="750">
        <v>0</v>
      </c>
      <c r="J39" s="750">
        <v>134733.49213296399</v>
      </c>
      <c r="K39" s="750">
        <v>126460</v>
      </c>
      <c r="L39" s="750">
        <v>97449</v>
      </c>
      <c r="M39" s="750">
        <v>0</v>
      </c>
      <c r="N39" s="750">
        <v>0</v>
      </c>
      <c r="O39" s="750">
        <v>-17820.63</v>
      </c>
      <c r="P39" s="750">
        <v>0</v>
      </c>
      <c r="Q39" s="750">
        <v>-9471</v>
      </c>
      <c r="R39" s="750">
        <v>-10927.520000000002</v>
      </c>
      <c r="S39" s="750">
        <v>9006.25</v>
      </c>
      <c r="T39" s="750">
        <v>2630584.7947922437</v>
      </c>
    </row>
    <row r="40" spans="1:20">
      <c r="A40" s="160">
        <v>3002</v>
      </c>
      <c r="B40" s="133">
        <v>103397</v>
      </c>
      <c r="C40" s="133" t="s">
        <v>600</v>
      </c>
      <c r="D40" s="133" t="s">
        <v>601</v>
      </c>
      <c r="E40" s="159" t="s">
        <v>538</v>
      </c>
      <c r="F40" s="161" t="s">
        <v>535</v>
      </c>
      <c r="H40" s="750">
        <v>1422881.8240609237</v>
      </c>
      <c r="I40" s="750">
        <v>0</v>
      </c>
      <c r="J40" s="750">
        <v>69373.003333333327</v>
      </c>
      <c r="K40" s="750">
        <v>162105</v>
      </c>
      <c r="L40" s="750">
        <v>34312.639999999999</v>
      </c>
      <c r="M40" s="750">
        <v>0</v>
      </c>
      <c r="N40" s="750">
        <v>0</v>
      </c>
      <c r="O40" s="750">
        <v>-20015.919999999998</v>
      </c>
      <c r="P40" s="750">
        <v>0</v>
      </c>
      <c r="Q40" s="750">
        <v>-5139.75</v>
      </c>
      <c r="R40" s="750">
        <v>-5189.92</v>
      </c>
      <c r="S40" s="750">
        <v>6440.8</v>
      </c>
      <c r="T40" s="750">
        <v>1664767.6773942572</v>
      </c>
    </row>
    <row r="41" spans="1:20">
      <c r="A41" s="160">
        <v>3319</v>
      </c>
      <c r="B41" s="133">
        <v>103423</v>
      </c>
      <c r="C41" s="133" t="s">
        <v>602</v>
      </c>
      <c r="D41" s="133" t="s">
        <v>603</v>
      </c>
      <c r="E41" s="159" t="s">
        <v>538</v>
      </c>
      <c r="F41" s="161" t="s">
        <v>535</v>
      </c>
      <c r="H41" s="750">
        <v>2330917.7009931747</v>
      </c>
      <c r="I41" s="750">
        <v>0</v>
      </c>
      <c r="J41" s="750">
        <v>81165.22</v>
      </c>
      <c r="K41" s="750">
        <v>246945</v>
      </c>
      <c r="L41" s="750">
        <v>59658</v>
      </c>
      <c r="M41" s="750">
        <v>0</v>
      </c>
      <c r="N41" s="750">
        <v>0</v>
      </c>
      <c r="O41" s="750">
        <v>-5273.47</v>
      </c>
      <c r="P41" s="750">
        <v>0</v>
      </c>
      <c r="Q41" s="750">
        <v>-9471</v>
      </c>
      <c r="R41" s="750">
        <v>-9440.9599999999991</v>
      </c>
      <c r="S41" s="750">
        <v>0</v>
      </c>
      <c r="T41" s="750">
        <v>2694500.4909931747</v>
      </c>
    </row>
    <row r="42" spans="1:20">
      <c r="A42" s="160">
        <v>1100</v>
      </c>
      <c r="B42" s="133">
        <v>103146</v>
      </c>
      <c r="C42" s="133" t="s">
        <v>604</v>
      </c>
      <c r="D42" s="133" t="s">
        <v>605</v>
      </c>
      <c r="E42" s="159" t="s">
        <v>606</v>
      </c>
      <c r="F42" s="161" t="s">
        <v>535</v>
      </c>
      <c r="H42" s="750">
        <v>6618287.3700000001</v>
      </c>
      <c r="I42" s="750">
        <v>0</v>
      </c>
      <c r="J42" s="750">
        <v>7668427.9824222354</v>
      </c>
      <c r="K42" s="750">
        <v>453700</v>
      </c>
      <c r="L42" s="750">
        <v>29546.58</v>
      </c>
      <c r="M42" s="750">
        <v>0</v>
      </c>
      <c r="N42" s="750">
        <v>60522.369134998742</v>
      </c>
      <c r="O42" s="750">
        <v>0</v>
      </c>
      <c r="P42" s="750">
        <v>-171.02</v>
      </c>
      <c r="Q42" s="750">
        <v>-18745.650000000001</v>
      </c>
      <c r="R42" s="750">
        <v>0</v>
      </c>
      <c r="S42" s="750">
        <v>22832.5</v>
      </c>
      <c r="T42" s="750">
        <v>14834400.131557234</v>
      </c>
    </row>
    <row r="43" spans="1:20">
      <c r="A43" s="160">
        <v>3432</v>
      </c>
      <c r="B43" s="133">
        <v>134840</v>
      </c>
      <c r="C43" s="133" t="s">
        <v>607</v>
      </c>
      <c r="D43" s="133" t="s">
        <v>608</v>
      </c>
      <c r="E43" s="159" t="s">
        <v>538</v>
      </c>
      <c r="F43" s="161" t="s">
        <v>535</v>
      </c>
      <c r="H43" s="750">
        <v>5982522.3815677557</v>
      </c>
      <c r="I43" s="750">
        <v>0</v>
      </c>
      <c r="J43" s="750">
        <v>372778.87666666665</v>
      </c>
      <c r="K43" s="750">
        <v>674890</v>
      </c>
      <c r="L43" s="750">
        <v>100836.29</v>
      </c>
      <c r="M43" s="750">
        <v>0</v>
      </c>
      <c r="N43" s="750">
        <v>35741.657914999923</v>
      </c>
      <c r="O43" s="750">
        <v>-32329.800000000007</v>
      </c>
      <c r="P43" s="750">
        <v>-174.08</v>
      </c>
      <c r="Q43" s="750">
        <v>-22801.5</v>
      </c>
      <c r="R43" s="750">
        <v>-21150.880000000001</v>
      </c>
      <c r="S43" s="750">
        <v>13688.5</v>
      </c>
      <c r="T43" s="750">
        <v>7104001.4461494228</v>
      </c>
    </row>
    <row r="44" spans="1:20">
      <c r="A44" s="160">
        <v>2289</v>
      </c>
      <c r="B44" s="133">
        <v>103315</v>
      </c>
      <c r="C44" s="133" t="s">
        <v>609</v>
      </c>
      <c r="D44" s="133" t="s">
        <v>610</v>
      </c>
      <c r="E44" s="159" t="s">
        <v>538</v>
      </c>
      <c r="F44" s="161" t="s">
        <v>535</v>
      </c>
      <c r="H44" s="750">
        <v>2319167.4628596106</v>
      </c>
      <c r="I44" s="750">
        <v>0</v>
      </c>
      <c r="J44" s="750">
        <v>131572.33333333331</v>
      </c>
      <c r="K44" s="750">
        <v>200695</v>
      </c>
      <c r="L44" s="750">
        <v>78717</v>
      </c>
      <c r="M44" s="750">
        <v>0</v>
      </c>
      <c r="N44" s="750">
        <v>5870.2214049999729</v>
      </c>
      <c r="O44" s="750">
        <v>-18982.84</v>
      </c>
      <c r="P44" s="750">
        <v>-63.55</v>
      </c>
      <c r="Q44" s="750">
        <v>-9471</v>
      </c>
      <c r="R44" s="750">
        <v>-10771.039999999995</v>
      </c>
      <c r="S44" s="750">
        <v>8623.75</v>
      </c>
      <c r="T44" s="750">
        <v>2705357.3375979443</v>
      </c>
    </row>
    <row r="45" spans="1:20">
      <c r="A45" s="160">
        <v>2185</v>
      </c>
      <c r="B45" s="133">
        <v>103263</v>
      </c>
      <c r="C45" s="133" t="s">
        <v>611</v>
      </c>
      <c r="D45" s="133" t="s">
        <v>612</v>
      </c>
      <c r="E45" s="159" t="s">
        <v>538</v>
      </c>
      <c r="F45" s="161" t="s">
        <v>535</v>
      </c>
      <c r="H45" s="750">
        <v>2563939.8579408773</v>
      </c>
      <c r="I45" s="750">
        <v>0</v>
      </c>
      <c r="J45" s="750">
        <v>149680.42333333331</v>
      </c>
      <c r="K45" s="750">
        <v>227565</v>
      </c>
      <c r="L45" s="750">
        <v>85397</v>
      </c>
      <c r="M45" s="750">
        <v>0</v>
      </c>
      <c r="N45" s="750">
        <v>11531.132719999967</v>
      </c>
      <c r="O45" s="750">
        <v>-23760.830000000005</v>
      </c>
      <c r="P45" s="750">
        <v>-131.78</v>
      </c>
      <c r="Q45" s="750">
        <v>-9471</v>
      </c>
      <c r="R45" s="750">
        <v>-11005.760000000002</v>
      </c>
      <c r="S45" s="750">
        <v>9051.25</v>
      </c>
      <c r="T45" s="750">
        <v>3002795.2939942111</v>
      </c>
    </row>
    <row r="46" spans="1:20">
      <c r="A46" s="160">
        <v>5416</v>
      </c>
      <c r="B46" s="133">
        <v>103563</v>
      </c>
      <c r="C46" s="133" t="s">
        <v>613</v>
      </c>
      <c r="D46" s="133" t="s">
        <v>614</v>
      </c>
      <c r="E46" s="159" t="s">
        <v>564</v>
      </c>
      <c r="F46" s="161" t="s">
        <v>535</v>
      </c>
      <c r="H46" s="750">
        <v>9432087.032450242</v>
      </c>
      <c r="I46" s="750">
        <v>363756.67333333334</v>
      </c>
      <c r="J46" s="750">
        <v>110619.99</v>
      </c>
      <c r="K46" s="750">
        <v>672450</v>
      </c>
      <c r="L46" s="750">
        <v>15547.16</v>
      </c>
      <c r="M46" s="750">
        <v>0</v>
      </c>
      <c r="N46" s="750">
        <v>0</v>
      </c>
      <c r="O46" s="750">
        <v>-8691.9399999999987</v>
      </c>
      <c r="P46" s="750">
        <v>0</v>
      </c>
      <c r="Q46" s="750">
        <v>-32697</v>
      </c>
      <c r="R46" s="750">
        <v>-23209.890000000003</v>
      </c>
      <c r="S46" s="750">
        <v>25150</v>
      </c>
      <c r="T46" s="750">
        <v>10555012.025783576</v>
      </c>
    </row>
    <row r="47" spans="1:20">
      <c r="A47" s="160">
        <v>2054</v>
      </c>
      <c r="B47" s="133">
        <v>103189</v>
      </c>
      <c r="C47" s="133" t="s">
        <v>615</v>
      </c>
      <c r="D47" s="133" t="s">
        <v>616</v>
      </c>
      <c r="E47" s="159" t="s">
        <v>538</v>
      </c>
      <c r="F47" s="161" t="s">
        <v>535</v>
      </c>
      <c r="H47" s="750">
        <v>2105045.2624652507</v>
      </c>
      <c r="I47" s="750">
        <v>0</v>
      </c>
      <c r="J47" s="750">
        <v>257237.40879963065</v>
      </c>
      <c r="K47" s="750">
        <v>118400</v>
      </c>
      <c r="L47" s="750">
        <v>144010</v>
      </c>
      <c r="M47" s="750">
        <v>0</v>
      </c>
      <c r="N47" s="750">
        <v>0</v>
      </c>
      <c r="O47" s="750">
        <v>-14233.07</v>
      </c>
      <c r="P47" s="750">
        <v>0</v>
      </c>
      <c r="Q47" s="750">
        <v>-9471</v>
      </c>
      <c r="R47" s="750">
        <v>-9388.7999999999975</v>
      </c>
      <c r="S47" s="750">
        <v>8369.5</v>
      </c>
      <c r="T47" s="750">
        <v>2599969.3012648816</v>
      </c>
    </row>
    <row r="48" spans="1:20">
      <c r="A48" s="160">
        <v>2053</v>
      </c>
      <c r="B48" s="133">
        <v>103188</v>
      </c>
      <c r="C48" s="133" t="s">
        <v>617</v>
      </c>
      <c r="D48" s="133" t="s">
        <v>618</v>
      </c>
      <c r="E48" s="159" t="s">
        <v>538</v>
      </c>
      <c r="F48" s="161" t="s">
        <v>535</v>
      </c>
      <c r="H48" s="750">
        <v>2533490.841079962</v>
      </c>
      <c r="I48" s="750">
        <v>0</v>
      </c>
      <c r="J48" s="750">
        <v>185175.33666666667</v>
      </c>
      <c r="K48" s="750">
        <v>222800</v>
      </c>
      <c r="L48" s="750">
        <v>21449</v>
      </c>
      <c r="M48" s="750">
        <v>0</v>
      </c>
      <c r="N48" s="750">
        <v>0</v>
      </c>
      <c r="O48" s="750">
        <v>-20481.73</v>
      </c>
      <c r="P48" s="750">
        <v>0</v>
      </c>
      <c r="Q48" s="750">
        <v>-12566.4</v>
      </c>
      <c r="R48" s="750">
        <v>-12518.400000000003</v>
      </c>
      <c r="S48" s="750">
        <v>9366.25</v>
      </c>
      <c r="T48" s="750">
        <v>2926714.8977466286</v>
      </c>
    </row>
    <row r="49" spans="1:20">
      <c r="A49" s="160">
        <v>3320</v>
      </c>
      <c r="B49" s="133">
        <v>103424</v>
      </c>
      <c r="C49" s="133" t="s">
        <v>619</v>
      </c>
      <c r="D49" s="133" t="s">
        <v>620</v>
      </c>
      <c r="E49" s="159" t="s">
        <v>538</v>
      </c>
      <c r="F49" s="161" t="s">
        <v>535</v>
      </c>
      <c r="H49" s="750">
        <v>2495810.6010741638</v>
      </c>
      <c r="I49" s="750">
        <v>0</v>
      </c>
      <c r="J49" s="750">
        <v>139962.58433333333</v>
      </c>
      <c r="K49" s="750">
        <v>337045</v>
      </c>
      <c r="L49" s="750">
        <v>62039</v>
      </c>
      <c r="M49" s="750">
        <v>0</v>
      </c>
      <c r="N49" s="750">
        <v>48454.728494999974</v>
      </c>
      <c r="O49" s="750">
        <v>-3868.98</v>
      </c>
      <c r="P49" s="750">
        <v>-94.469999999999985</v>
      </c>
      <c r="Q49" s="750">
        <v>0</v>
      </c>
      <c r="R49" s="750">
        <v>-10484.160000000002</v>
      </c>
      <c r="S49" s="750">
        <v>0</v>
      </c>
      <c r="T49" s="750">
        <v>3068864.3039024966</v>
      </c>
    </row>
    <row r="50" spans="1:20">
      <c r="A50" s="160">
        <v>2055</v>
      </c>
      <c r="B50" s="133">
        <v>103190</v>
      </c>
      <c r="C50" s="133" t="s">
        <v>621</v>
      </c>
      <c r="D50" s="133" t="s">
        <v>622</v>
      </c>
      <c r="E50" s="159" t="s">
        <v>538</v>
      </c>
      <c r="F50" s="161" t="s">
        <v>535</v>
      </c>
      <c r="H50" s="750">
        <v>2424025.5939831929</v>
      </c>
      <c r="I50" s="750">
        <v>0</v>
      </c>
      <c r="J50" s="750">
        <v>107751.82333333333</v>
      </c>
      <c r="K50" s="750">
        <v>163570</v>
      </c>
      <c r="L50" s="750">
        <v>91392</v>
      </c>
      <c r="M50" s="750">
        <v>0</v>
      </c>
      <c r="N50" s="750">
        <v>0</v>
      </c>
      <c r="O50" s="750">
        <v>-27824.829999999998</v>
      </c>
      <c r="P50" s="750">
        <v>0</v>
      </c>
      <c r="Q50" s="750">
        <v>-11880</v>
      </c>
      <c r="R50" s="750">
        <v>-10797.12</v>
      </c>
      <c r="S50" s="750">
        <v>8977.9</v>
      </c>
      <c r="T50" s="750">
        <v>2745215.3673165259</v>
      </c>
    </row>
    <row r="51" spans="1:20">
      <c r="A51" s="160">
        <v>2454</v>
      </c>
      <c r="B51" s="133">
        <v>103381</v>
      </c>
      <c r="C51" s="133" t="s">
        <v>623</v>
      </c>
      <c r="D51" s="133" t="s">
        <v>624</v>
      </c>
      <c r="E51" s="159" t="s">
        <v>538</v>
      </c>
      <c r="F51" s="161" t="s">
        <v>535</v>
      </c>
      <c r="H51" s="750">
        <v>2605231.813322728</v>
      </c>
      <c r="I51" s="750">
        <v>0</v>
      </c>
      <c r="J51" s="750">
        <v>136253.66666666666</v>
      </c>
      <c r="K51" s="750">
        <v>356655</v>
      </c>
      <c r="L51" s="750">
        <v>53698.93</v>
      </c>
      <c r="M51" s="750">
        <v>0</v>
      </c>
      <c r="N51" s="750">
        <v>22576.021000000008</v>
      </c>
      <c r="O51" s="750">
        <v>-30475.859999999997</v>
      </c>
      <c r="P51" s="750">
        <v>-157.85999999999999</v>
      </c>
      <c r="Q51" s="750">
        <v>-9471</v>
      </c>
      <c r="R51" s="750">
        <v>-9701.7599999999984</v>
      </c>
      <c r="S51" s="750">
        <v>8524.75</v>
      </c>
      <c r="T51" s="750">
        <v>3133133.7009893954</v>
      </c>
    </row>
    <row r="52" spans="1:20">
      <c r="A52" s="160">
        <v>3321</v>
      </c>
      <c r="B52" s="133">
        <v>103425</v>
      </c>
      <c r="C52" s="133" t="s">
        <v>625</v>
      </c>
      <c r="D52" s="133" t="s">
        <v>626</v>
      </c>
      <c r="E52" s="159" t="s">
        <v>538</v>
      </c>
      <c r="F52" s="161" t="s">
        <v>535</v>
      </c>
      <c r="H52" s="750">
        <v>2105802.5958213266</v>
      </c>
      <c r="I52" s="750">
        <v>0</v>
      </c>
      <c r="J52" s="750">
        <v>143445.22222222222</v>
      </c>
      <c r="K52" s="750">
        <v>238970</v>
      </c>
      <c r="L52" s="750">
        <v>54667.93</v>
      </c>
      <c r="M52" s="750">
        <v>0</v>
      </c>
      <c r="N52" s="750">
        <v>18054.381330999986</v>
      </c>
      <c r="O52" s="750">
        <v>-3815.97</v>
      </c>
      <c r="P52" s="750">
        <v>-47.320000000000007</v>
      </c>
      <c r="Q52" s="750">
        <v>-9471</v>
      </c>
      <c r="R52" s="750">
        <v>-9075.8399999999983</v>
      </c>
      <c r="S52" s="750">
        <v>0</v>
      </c>
      <c r="T52" s="750">
        <v>2538529.9993745489</v>
      </c>
    </row>
    <row r="53" spans="1:20">
      <c r="A53" s="160">
        <v>1026</v>
      </c>
      <c r="B53" s="133">
        <v>103139</v>
      </c>
      <c r="C53" s="133" t="s">
        <v>627</v>
      </c>
      <c r="D53" s="133" t="s">
        <v>628</v>
      </c>
      <c r="E53" s="159" t="s">
        <v>534</v>
      </c>
      <c r="F53" s="161" t="s">
        <v>535</v>
      </c>
      <c r="H53" s="750">
        <v>757040.66370620346</v>
      </c>
      <c r="I53" s="750">
        <v>0</v>
      </c>
      <c r="J53" s="750">
        <v>42340.928129639891</v>
      </c>
      <c r="K53" s="750">
        <v>0</v>
      </c>
      <c r="L53" s="750">
        <v>0</v>
      </c>
      <c r="M53" s="750">
        <v>0</v>
      </c>
      <c r="N53" s="750">
        <v>0</v>
      </c>
      <c r="O53" s="750">
        <v>0</v>
      </c>
      <c r="P53" s="750">
        <v>0</v>
      </c>
      <c r="Q53" s="750">
        <v>-3291.75</v>
      </c>
      <c r="R53" s="750">
        <v>0</v>
      </c>
      <c r="S53" s="750">
        <v>4891</v>
      </c>
      <c r="T53" s="750">
        <v>800980.8418358434</v>
      </c>
    </row>
    <row r="54" spans="1:20">
      <c r="A54" s="160">
        <v>2294</v>
      </c>
      <c r="B54" s="133">
        <v>103318</v>
      </c>
      <c r="C54" s="133" t="s">
        <v>629</v>
      </c>
      <c r="D54" s="133" t="s">
        <v>630</v>
      </c>
      <c r="E54" s="159" t="s">
        <v>538</v>
      </c>
      <c r="F54" s="161" t="s">
        <v>535</v>
      </c>
      <c r="H54" s="750">
        <v>2555691.9688000004</v>
      </c>
      <c r="I54" s="750">
        <v>0</v>
      </c>
      <c r="J54" s="750">
        <v>266982.2433333334</v>
      </c>
      <c r="K54" s="750">
        <v>299970</v>
      </c>
      <c r="L54" s="750">
        <v>69745</v>
      </c>
      <c r="M54" s="750">
        <v>0</v>
      </c>
      <c r="N54" s="750">
        <v>0</v>
      </c>
      <c r="O54" s="750">
        <v>-28089.830000000005</v>
      </c>
      <c r="P54" s="750">
        <v>0</v>
      </c>
      <c r="Q54" s="750">
        <v>-9471</v>
      </c>
      <c r="R54" s="750">
        <v>-10953.599999999997</v>
      </c>
      <c r="S54" s="750">
        <v>8680</v>
      </c>
      <c r="T54" s="750">
        <v>3152554.7821333339</v>
      </c>
    </row>
    <row r="55" spans="1:20">
      <c r="A55" s="160">
        <v>2486</v>
      </c>
      <c r="B55" s="133">
        <v>133759</v>
      </c>
      <c r="C55" s="133" t="s">
        <v>631</v>
      </c>
      <c r="D55" s="133" t="s">
        <v>632</v>
      </c>
      <c r="E55" s="159" t="s">
        <v>538</v>
      </c>
      <c r="F55" s="161" t="s">
        <v>535</v>
      </c>
      <c r="H55" s="750">
        <v>1432248.8343405048</v>
      </c>
      <c r="I55" s="750">
        <v>0</v>
      </c>
      <c r="J55" s="750">
        <v>150819.59333333332</v>
      </c>
      <c r="K55" s="750">
        <v>191075</v>
      </c>
      <c r="L55" s="750">
        <v>36116</v>
      </c>
      <c r="M55" s="750">
        <v>0</v>
      </c>
      <c r="N55" s="750">
        <v>0</v>
      </c>
      <c r="O55" s="750">
        <v>-14979.660000000002</v>
      </c>
      <c r="P55" s="750">
        <v>0</v>
      </c>
      <c r="Q55" s="750">
        <v>-5049</v>
      </c>
      <c r="R55" s="750">
        <v>-4876.96</v>
      </c>
      <c r="S55" s="750">
        <v>6337.75</v>
      </c>
      <c r="T55" s="750">
        <v>1791691.5576738382</v>
      </c>
    </row>
    <row r="56" spans="1:20">
      <c r="A56" s="160">
        <v>3435</v>
      </c>
      <c r="B56" s="133">
        <v>131920</v>
      </c>
      <c r="C56" s="133" t="s">
        <v>633</v>
      </c>
      <c r="D56" s="133" t="s">
        <v>634</v>
      </c>
      <c r="E56" s="159" t="s">
        <v>538</v>
      </c>
      <c r="F56" s="161" t="s">
        <v>535</v>
      </c>
      <c r="H56" s="750">
        <v>2141445.9699999997</v>
      </c>
      <c r="I56" s="750">
        <v>0</v>
      </c>
      <c r="J56" s="750">
        <v>258099.84666666668</v>
      </c>
      <c r="K56" s="750">
        <v>49910</v>
      </c>
      <c r="L56" s="750">
        <v>103313.93</v>
      </c>
      <c r="M56" s="750">
        <v>0</v>
      </c>
      <c r="N56" s="750">
        <v>9833.2061600000179</v>
      </c>
      <c r="O56" s="750">
        <v>-5193.97</v>
      </c>
      <c r="P56" s="750">
        <v>-91.14</v>
      </c>
      <c r="Q56" s="750">
        <v>-11340</v>
      </c>
      <c r="R56" s="750">
        <v>-10953.599999999997</v>
      </c>
      <c r="S56" s="750">
        <v>8758.75</v>
      </c>
      <c r="T56" s="750">
        <v>2543782.9928266662</v>
      </c>
    </row>
    <row r="57" spans="1:20">
      <c r="A57" s="160">
        <v>7050</v>
      </c>
      <c r="B57" s="133">
        <v>103625</v>
      </c>
      <c r="C57" s="133" t="s">
        <v>635</v>
      </c>
      <c r="D57" s="133" t="s">
        <v>636</v>
      </c>
      <c r="E57" s="159" t="s">
        <v>553</v>
      </c>
      <c r="F57" s="161" t="s">
        <v>535</v>
      </c>
      <c r="H57" s="750">
        <v>1222491.4182608698</v>
      </c>
      <c r="I57" s="750">
        <v>33256.899632097804</v>
      </c>
      <c r="J57" s="750">
        <v>2096695.9007428228</v>
      </c>
      <c r="K57" s="750">
        <v>54825</v>
      </c>
      <c r="L57" s="750">
        <v>0</v>
      </c>
      <c r="M57" s="750">
        <v>0</v>
      </c>
      <c r="N57" s="750">
        <v>0</v>
      </c>
      <c r="O57" s="750">
        <v>0</v>
      </c>
      <c r="P57" s="750">
        <v>0</v>
      </c>
      <c r="Q57" s="750">
        <v>-3291.75</v>
      </c>
      <c r="R57" s="750">
        <v>0</v>
      </c>
      <c r="S57" s="750">
        <v>9568.75</v>
      </c>
      <c r="T57" s="750">
        <v>3413546.2186357905</v>
      </c>
    </row>
    <row r="58" spans="1:20">
      <c r="A58" s="160">
        <v>1006</v>
      </c>
      <c r="B58" s="133">
        <v>103122</v>
      </c>
      <c r="C58" s="133" t="s">
        <v>637</v>
      </c>
      <c r="D58" s="133" t="s">
        <v>638</v>
      </c>
      <c r="E58" s="159" t="s">
        <v>534</v>
      </c>
      <c r="F58" s="161" t="s">
        <v>535</v>
      </c>
      <c r="H58" s="750">
        <v>593676.96537724161</v>
      </c>
      <c r="I58" s="750">
        <v>0</v>
      </c>
      <c r="J58" s="750">
        <v>117487.27052631578</v>
      </c>
      <c r="K58" s="750">
        <v>0</v>
      </c>
      <c r="L58" s="750">
        <v>0</v>
      </c>
      <c r="M58" s="750">
        <v>0</v>
      </c>
      <c r="N58" s="750">
        <v>8333.5539950000039</v>
      </c>
      <c r="O58" s="750">
        <v>0</v>
      </c>
      <c r="P58" s="750">
        <v>-104.22999999999998</v>
      </c>
      <c r="Q58" s="750">
        <v>-3291.75</v>
      </c>
      <c r="R58" s="750">
        <v>0</v>
      </c>
      <c r="S58" s="750">
        <v>4708.75</v>
      </c>
      <c r="T58" s="750">
        <v>720810.55989855737</v>
      </c>
    </row>
    <row r="59" spans="1:20">
      <c r="A59" s="160">
        <v>2081</v>
      </c>
      <c r="B59" s="133">
        <v>103201</v>
      </c>
      <c r="C59" s="133" t="s">
        <v>639</v>
      </c>
      <c r="D59" s="133" t="s">
        <v>640</v>
      </c>
      <c r="E59" s="159" t="s">
        <v>538</v>
      </c>
      <c r="F59" s="161" t="s">
        <v>535</v>
      </c>
      <c r="H59" s="750">
        <v>2266806.5943344748</v>
      </c>
      <c r="I59" s="750">
        <v>0</v>
      </c>
      <c r="J59" s="750">
        <v>174381.51666666666</v>
      </c>
      <c r="K59" s="750">
        <v>238920</v>
      </c>
      <c r="L59" s="750">
        <v>73063</v>
      </c>
      <c r="M59" s="750">
        <v>0</v>
      </c>
      <c r="N59" s="750">
        <v>8152.9468550000702</v>
      </c>
      <c r="O59" s="750">
        <v>-41339.75</v>
      </c>
      <c r="P59" s="750">
        <v>-118.94</v>
      </c>
      <c r="Q59" s="750">
        <v>-9471</v>
      </c>
      <c r="R59" s="750">
        <v>-10875.36</v>
      </c>
      <c r="S59" s="750">
        <v>8713.75</v>
      </c>
      <c r="T59" s="750">
        <v>2708232.7578561418</v>
      </c>
    </row>
    <row r="60" spans="1:20">
      <c r="A60" s="160">
        <v>2296</v>
      </c>
      <c r="B60" s="133">
        <v>103320</v>
      </c>
      <c r="C60" s="133" t="s">
        <v>641</v>
      </c>
      <c r="D60" s="133" t="s">
        <v>642</v>
      </c>
      <c r="E60" s="159" t="s">
        <v>538</v>
      </c>
      <c r="F60" s="161" t="s">
        <v>643</v>
      </c>
      <c r="H60" s="750">
        <v>1547563.2674120143</v>
      </c>
      <c r="I60" s="750">
        <v>0</v>
      </c>
      <c r="J60" s="750">
        <v>113003.65666666668</v>
      </c>
      <c r="K60" s="750">
        <v>152215</v>
      </c>
      <c r="L60" s="750">
        <v>61419.18</v>
      </c>
      <c r="M60" s="750">
        <v>0</v>
      </c>
      <c r="N60" s="750">
        <v>0</v>
      </c>
      <c r="O60" s="750">
        <v>-31269.810000000009</v>
      </c>
      <c r="P60" s="750">
        <v>0</v>
      </c>
      <c r="Q60" s="750">
        <v>-5139.75</v>
      </c>
      <c r="R60" s="750">
        <v>-6754.72</v>
      </c>
      <c r="S60" s="750">
        <v>7262.5</v>
      </c>
      <c r="T60" s="750">
        <v>1838299.3240786809</v>
      </c>
    </row>
    <row r="61" spans="1:20">
      <c r="A61" s="160">
        <v>1015</v>
      </c>
      <c r="B61" s="133">
        <v>103128</v>
      </c>
      <c r="C61" s="133" t="s">
        <v>644</v>
      </c>
      <c r="D61" s="133" t="s">
        <v>645</v>
      </c>
      <c r="E61" s="159" t="s">
        <v>534</v>
      </c>
      <c r="F61" s="161" t="s">
        <v>535</v>
      </c>
      <c r="H61" s="750">
        <v>755584.78906605917</v>
      </c>
      <c r="I61" s="750">
        <v>0</v>
      </c>
      <c r="J61" s="750">
        <v>56448.539328531857</v>
      </c>
      <c r="K61" s="750">
        <v>0</v>
      </c>
      <c r="L61" s="750">
        <v>0</v>
      </c>
      <c r="M61" s="750">
        <v>0</v>
      </c>
      <c r="N61" s="750">
        <v>11997.49541999999</v>
      </c>
      <c r="O61" s="750">
        <v>0</v>
      </c>
      <c r="P61" s="750">
        <v>-63.539999999999971</v>
      </c>
      <c r="Q61" s="750">
        <v>-3291.75</v>
      </c>
      <c r="R61" s="750">
        <v>0</v>
      </c>
      <c r="S61" s="750">
        <v>4918</v>
      </c>
      <c r="T61" s="750">
        <v>825593.53381459089</v>
      </c>
    </row>
    <row r="62" spans="1:20">
      <c r="A62" s="160">
        <v>1022</v>
      </c>
      <c r="B62" s="133">
        <v>103135</v>
      </c>
      <c r="C62" s="133" t="s">
        <v>646</v>
      </c>
      <c r="D62" s="133" t="s">
        <v>647</v>
      </c>
      <c r="E62" s="159" t="s">
        <v>534</v>
      </c>
      <c r="F62" s="161" t="s">
        <v>535</v>
      </c>
      <c r="H62" s="750">
        <v>651662.36962430645</v>
      </c>
      <c r="I62" s="750">
        <v>0</v>
      </c>
      <c r="J62" s="750">
        <v>42695.173125577101</v>
      </c>
      <c r="K62" s="750">
        <v>0</v>
      </c>
      <c r="L62" s="750">
        <v>856.93</v>
      </c>
      <c r="M62" s="750">
        <v>0</v>
      </c>
      <c r="N62" s="750">
        <v>0</v>
      </c>
      <c r="O62" s="750">
        <v>0</v>
      </c>
      <c r="P62" s="750">
        <v>0</v>
      </c>
      <c r="Q62" s="750">
        <v>-3291.75</v>
      </c>
      <c r="R62" s="750">
        <v>0</v>
      </c>
      <c r="S62" s="750">
        <v>4708.75</v>
      </c>
      <c r="T62" s="750">
        <v>696631.47274988366</v>
      </c>
    </row>
    <row r="63" spans="1:20">
      <c r="A63" s="160">
        <v>2087</v>
      </c>
      <c r="B63" s="133">
        <v>103205</v>
      </c>
      <c r="C63" s="133" t="s">
        <v>648</v>
      </c>
      <c r="D63" s="133" t="s">
        <v>649</v>
      </c>
      <c r="E63" s="159" t="s">
        <v>538</v>
      </c>
      <c r="F63" s="161" t="s">
        <v>535</v>
      </c>
      <c r="H63" s="750">
        <v>2185131.2484113569</v>
      </c>
      <c r="I63" s="750">
        <v>0</v>
      </c>
      <c r="J63" s="750">
        <v>161355.87333333332</v>
      </c>
      <c r="K63" s="750">
        <v>283305</v>
      </c>
      <c r="L63" s="750">
        <v>46082</v>
      </c>
      <c r="M63" s="750">
        <v>0</v>
      </c>
      <c r="N63" s="750">
        <v>16294.458795000057</v>
      </c>
      <c r="O63" s="750">
        <v>-25826.990000000009</v>
      </c>
      <c r="P63" s="750">
        <v>-42.77000000000001</v>
      </c>
      <c r="Q63" s="750">
        <v>-9471</v>
      </c>
      <c r="R63" s="750">
        <v>-8841.1200000000008</v>
      </c>
      <c r="S63" s="750">
        <v>8106.25</v>
      </c>
      <c r="T63" s="750">
        <v>2656092.95053969</v>
      </c>
    </row>
    <row r="64" spans="1:20">
      <c r="A64" s="160">
        <v>2466</v>
      </c>
      <c r="B64" s="133">
        <v>103392</v>
      </c>
      <c r="C64" s="133" t="s">
        <v>650</v>
      </c>
      <c r="D64" s="133" t="s">
        <v>651</v>
      </c>
      <c r="E64" s="159" t="s">
        <v>538</v>
      </c>
      <c r="F64" s="161" t="s">
        <v>535</v>
      </c>
      <c r="H64" s="750">
        <v>3934757.7949291272</v>
      </c>
      <c r="I64" s="750">
        <v>0</v>
      </c>
      <c r="J64" s="750">
        <v>148548.47666666665</v>
      </c>
      <c r="K64" s="750">
        <v>489345</v>
      </c>
      <c r="L64" s="750">
        <v>76644.72</v>
      </c>
      <c r="M64" s="750">
        <v>0</v>
      </c>
      <c r="N64" s="750">
        <v>49716.332849999992</v>
      </c>
      <c r="O64" s="750">
        <v>-30739.81</v>
      </c>
      <c r="P64" s="750">
        <v>-39.149999999999991</v>
      </c>
      <c r="Q64" s="750">
        <v>-18745.650000000001</v>
      </c>
      <c r="R64" s="750">
        <v>-15752.319999999998</v>
      </c>
      <c r="S64" s="750">
        <v>11222.5</v>
      </c>
      <c r="T64" s="750">
        <v>4644957.8944457928</v>
      </c>
    </row>
    <row r="65" spans="1:20">
      <c r="A65" s="160">
        <v>2093</v>
      </c>
      <c r="B65" s="133">
        <v>103210</v>
      </c>
      <c r="C65" s="133" t="s">
        <v>652</v>
      </c>
      <c r="D65" s="133" t="s">
        <v>653</v>
      </c>
      <c r="E65" s="159" t="s">
        <v>538</v>
      </c>
      <c r="F65" s="161" t="s">
        <v>535</v>
      </c>
      <c r="H65" s="750">
        <v>2151992.2934089005</v>
      </c>
      <c r="I65" s="750">
        <v>0</v>
      </c>
      <c r="J65" s="750">
        <v>200265.85666666666</v>
      </c>
      <c r="K65" s="750">
        <v>112110</v>
      </c>
      <c r="L65" s="750">
        <v>170057.40000000002</v>
      </c>
      <c r="M65" s="750">
        <v>0</v>
      </c>
      <c r="N65" s="750">
        <v>25097.728719999985</v>
      </c>
      <c r="O65" s="750">
        <v>-19886.79</v>
      </c>
      <c r="P65" s="750">
        <v>-145.57999999999998</v>
      </c>
      <c r="Q65" s="750">
        <v>0</v>
      </c>
      <c r="R65" s="750">
        <v>-9388.7999999999975</v>
      </c>
      <c r="S65" s="750">
        <v>8344.75</v>
      </c>
      <c r="T65" s="750">
        <v>2638446.8587955669</v>
      </c>
    </row>
    <row r="66" spans="1:20">
      <c r="A66" s="160">
        <v>2092</v>
      </c>
      <c r="B66" s="133">
        <v>103209</v>
      </c>
      <c r="C66" s="133" t="s">
        <v>654</v>
      </c>
      <c r="D66" s="133" t="s">
        <v>655</v>
      </c>
      <c r="E66" s="159" t="s">
        <v>538</v>
      </c>
      <c r="F66" s="161" t="s">
        <v>535</v>
      </c>
      <c r="H66" s="750">
        <v>2556997.3999341601</v>
      </c>
      <c r="I66" s="750">
        <v>0</v>
      </c>
      <c r="J66" s="750">
        <v>97211.6</v>
      </c>
      <c r="K66" s="750">
        <v>261645</v>
      </c>
      <c r="L66" s="750">
        <v>23870</v>
      </c>
      <c r="M66" s="750">
        <v>0</v>
      </c>
      <c r="N66" s="750">
        <v>0</v>
      </c>
      <c r="O66" s="750">
        <v>-27754.63</v>
      </c>
      <c r="P66" s="750">
        <v>0</v>
      </c>
      <c r="Q66" s="750">
        <v>-13068</v>
      </c>
      <c r="R66" s="750">
        <v>-12622.72</v>
      </c>
      <c r="S66" s="750">
        <v>9422.5</v>
      </c>
      <c r="T66" s="750">
        <v>2895701.1499341601</v>
      </c>
    </row>
    <row r="67" spans="1:20">
      <c r="A67" s="160">
        <v>7006</v>
      </c>
      <c r="B67" s="133">
        <v>103600</v>
      </c>
      <c r="C67" s="133" t="s">
        <v>656</v>
      </c>
      <c r="D67" s="133" t="s">
        <v>657</v>
      </c>
      <c r="E67" s="159" t="s">
        <v>553</v>
      </c>
      <c r="F67" s="161" t="s">
        <v>535</v>
      </c>
      <c r="H67" s="750">
        <v>2192605.195869565</v>
      </c>
      <c r="I67" s="750">
        <v>0</v>
      </c>
      <c r="J67" s="750">
        <v>3228347.6767214178</v>
      </c>
      <c r="K67" s="750">
        <v>147235</v>
      </c>
      <c r="L67" s="750">
        <v>27478.22</v>
      </c>
      <c r="M67" s="750">
        <v>0</v>
      </c>
      <c r="N67" s="750">
        <v>0</v>
      </c>
      <c r="O67" s="750">
        <v>0</v>
      </c>
      <c r="P67" s="750">
        <v>0</v>
      </c>
      <c r="Q67" s="750">
        <v>-5139.75</v>
      </c>
      <c r="R67" s="750">
        <v>0</v>
      </c>
      <c r="S67" s="750">
        <v>11796.25</v>
      </c>
      <c r="T67" s="750">
        <v>5602322.592590983</v>
      </c>
    </row>
    <row r="68" spans="1:20">
      <c r="A68" s="160">
        <v>2099</v>
      </c>
      <c r="B68" s="133">
        <v>103214</v>
      </c>
      <c r="C68" s="133" t="s">
        <v>658</v>
      </c>
      <c r="D68" s="133" t="s">
        <v>659</v>
      </c>
      <c r="E68" s="159" t="s">
        <v>538</v>
      </c>
      <c r="F68" s="161" t="s">
        <v>535</v>
      </c>
      <c r="H68" s="750">
        <v>1600818.0419765671</v>
      </c>
      <c r="I68" s="750">
        <v>0</v>
      </c>
      <c r="J68" s="750">
        <v>195516.64333333328</v>
      </c>
      <c r="K68" s="750">
        <v>187860</v>
      </c>
      <c r="L68" s="750">
        <v>39904.75</v>
      </c>
      <c r="M68" s="750">
        <v>0</v>
      </c>
      <c r="N68" s="750">
        <v>9869.4957499999909</v>
      </c>
      <c r="O68" s="750">
        <v>-15883.6</v>
      </c>
      <c r="P68" s="750">
        <v>-68.39</v>
      </c>
      <c r="Q68" s="750">
        <v>-5139.75</v>
      </c>
      <c r="R68" s="750">
        <v>-5450.7199999999984</v>
      </c>
      <c r="S68" s="750">
        <v>6486.25</v>
      </c>
      <c r="T68" s="750">
        <v>2013912.7210599005</v>
      </c>
    </row>
    <row r="69" spans="1:20">
      <c r="A69" s="160">
        <v>1010</v>
      </c>
      <c r="B69" s="133">
        <v>103125</v>
      </c>
      <c r="C69" s="133" t="s">
        <v>660</v>
      </c>
      <c r="D69" s="133" t="s">
        <v>661</v>
      </c>
      <c r="E69" s="159" t="s">
        <v>534</v>
      </c>
      <c r="F69" s="161" t="s">
        <v>535</v>
      </c>
      <c r="H69" s="750">
        <v>970344.64994149597</v>
      </c>
      <c r="I69" s="750">
        <v>0</v>
      </c>
      <c r="J69" s="750">
        <v>62448.54059150508</v>
      </c>
      <c r="K69" s="750">
        <v>0</v>
      </c>
      <c r="L69" s="750">
        <v>0</v>
      </c>
      <c r="M69" s="750">
        <v>0</v>
      </c>
      <c r="N69" s="750">
        <v>0</v>
      </c>
      <c r="O69" s="750">
        <v>0</v>
      </c>
      <c r="P69" s="750">
        <v>0</v>
      </c>
      <c r="Q69" s="750">
        <v>-3291.75</v>
      </c>
      <c r="R69" s="750">
        <v>0</v>
      </c>
      <c r="S69" s="750">
        <v>5120.5</v>
      </c>
      <c r="T69" s="750">
        <v>1034621.9405330011</v>
      </c>
    </row>
    <row r="70" spans="1:20">
      <c r="A70" s="160">
        <v>1021</v>
      </c>
      <c r="B70" s="133">
        <v>103134</v>
      </c>
      <c r="C70" s="133" t="s">
        <v>662</v>
      </c>
      <c r="D70" s="133" t="s">
        <v>663</v>
      </c>
      <c r="E70" s="159" t="s">
        <v>534</v>
      </c>
      <c r="F70" s="161" t="s">
        <v>535</v>
      </c>
      <c r="H70" s="750">
        <v>470255.07778308482</v>
      </c>
      <c r="I70" s="750">
        <v>0</v>
      </c>
      <c r="J70" s="750">
        <v>13938</v>
      </c>
      <c r="K70" s="750">
        <v>0</v>
      </c>
      <c r="L70" s="750">
        <v>0</v>
      </c>
      <c r="M70" s="750">
        <v>0</v>
      </c>
      <c r="N70" s="750">
        <v>6492.4080500000064</v>
      </c>
      <c r="O70" s="750">
        <v>0</v>
      </c>
      <c r="P70" s="750">
        <v>-13.820000000000002</v>
      </c>
      <c r="Q70" s="750">
        <v>-3291.75</v>
      </c>
      <c r="R70" s="750">
        <v>0</v>
      </c>
      <c r="S70" s="750">
        <v>4465.75</v>
      </c>
      <c r="T70" s="750">
        <v>491845.66583308484</v>
      </c>
    </row>
    <row r="71" spans="1:20">
      <c r="A71" s="160">
        <v>4201</v>
      </c>
      <c r="B71" s="133">
        <v>103503</v>
      </c>
      <c r="C71" s="133" t="s">
        <v>664</v>
      </c>
      <c r="D71" s="133" t="s">
        <v>665</v>
      </c>
      <c r="E71" s="159" t="s">
        <v>564</v>
      </c>
      <c r="F71" s="161" t="s">
        <v>535</v>
      </c>
      <c r="H71" s="750">
        <v>9846675.0036645997</v>
      </c>
      <c r="I71" s="750">
        <v>0</v>
      </c>
      <c r="J71" s="750">
        <v>92186.66333333333</v>
      </c>
      <c r="K71" s="750">
        <v>683700</v>
      </c>
      <c r="L71" s="750">
        <v>18672.060000000001</v>
      </c>
      <c r="M71" s="750">
        <v>0</v>
      </c>
      <c r="N71" s="750">
        <v>0</v>
      </c>
      <c r="O71" s="750">
        <v>-188038.73999999996</v>
      </c>
      <c r="P71" s="750">
        <v>0</v>
      </c>
      <c r="Q71" s="750">
        <v>-32508.000000000004</v>
      </c>
      <c r="R71" s="750">
        <v>-24236.519999999993</v>
      </c>
      <c r="S71" s="750">
        <v>24503.13</v>
      </c>
      <c r="T71" s="750">
        <v>10420953.596997935</v>
      </c>
    </row>
    <row r="72" spans="1:20">
      <c r="A72" s="160">
        <v>4015</v>
      </c>
      <c r="B72" s="133">
        <v>103483</v>
      </c>
      <c r="C72" s="133" t="s">
        <v>666</v>
      </c>
      <c r="D72" s="133" t="s">
        <v>667</v>
      </c>
      <c r="E72" s="159" t="s">
        <v>564</v>
      </c>
      <c r="F72" s="161" t="s">
        <v>535</v>
      </c>
      <c r="H72" s="750">
        <v>6052734.1970598893</v>
      </c>
      <c r="I72" s="750">
        <v>0</v>
      </c>
      <c r="J72" s="750">
        <v>46419.05</v>
      </c>
      <c r="K72" s="750">
        <v>413760</v>
      </c>
      <c r="L72" s="750">
        <v>3256.93</v>
      </c>
      <c r="M72" s="750">
        <v>0</v>
      </c>
      <c r="N72" s="750">
        <v>0</v>
      </c>
      <c r="O72" s="750">
        <v>-78092.089999999982</v>
      </c>
      <c r="P72" s="750">
        <v>0</v>
      </c>
      <c r="Q72" s="750">
        <v>-20331</v>
      </c>
      <c r="R72" s="750">
        <v>-15157.889999999998</v>
      </c>
      <c r="S72" s="750">
        <v>16571.88</v>
      </c>
      <c r="T72" s="750">
        <v>6419161.0770598892</v>
      </c>
    </row>
    <row r="73" spans="1:20">
      <c r="A73" s="160">
        <v>3411</v>
      </c>
      <c r="B73" s="133">
        <v>103479</v>
      </c>
      <c r="C73" s="133" t="s">
        <v>668</v>
      </c>
      <c r="D73" s="133" t="s">
        <v>669</v>
      </c>
      <c r="E73" s="159" t="s">
        <v>538</v>
      </c>
      <c r="F73" s="161" t="s">
        <v>535</v>
      </c>
      <c r="H73" s="750">
        <v>1266749.5692608766</v>
      </c>
      <c r="I73" s="750">
        <v>0</v>
      </c>
      <c r="J73" s="750">
        <v>444870.02333333332</v>
      </c>
      <c r="K73" s="750">
        <v>145740</v>
      </c>
      <c r="L73" s="750">
        <v>37171</v>
      </c>
      <c r="M73" s="750">
        <v>0</v>
      </c>
      <c r="N73" s="750">
        <v>0</v>
      </c>
      <c r="O73" s="750">
        <v>-33654.799999999996</v>
      </c>
      <c r="P73" s="750">
        <v>0</v>
      </c>
      <c r="Q73" s="750">
        <v>-4347</v>
      </c>
      <c r="R73" s="750">
        <v>-3703.3599999999992</v>
      </c>
      <c r="S73" s="750">
        <v>0</v>
      </c>
      <c r="T73" s="750">
        <v>1852825.4325942099</v>
      </c>
    </row>
    <row r="74" spans="1:20">
      <c r="A74" s="160">
        <v>4223</v>
      </c>
      <c r="B74" s="133">
        <v>103509</v>
      </c>
      <c r="C74" s="133" t="s">
        <v>670</v>
      </c>
      <c r="D74" s="133" t="s">
        <v>671</v>
      </c>
      <c r="E74" s="159" t="s">
        <v>564</v>
      </c>
      <c r="F74" s="161" t="s">
        <v>535</v>
      </c>
      <c r="H74" s="750">
        <v>8658203.3026285898</v>
      </c>
      <c r="I74" s="750">
        <v>1244904.2933333335</v>
      </c>
      <c r="J74" s="750">
        <v>101653.00000000001</v>
      </c>
      <c r="K74" s="750">
        <v>648200</v>
      </c>
      <c r="L74" s="750">
        <v>39055.86</v>
      </c>
      <c r="M74" s="750">
        <v>0</v>
      </c>
      <c r="N74" s="750">
        <v>0</v>
      </c>
      <c r="O74" s="750">
        <v>-186512.22999999998</v>
      </c>
      <c r="P74" s="750">
        <v>0</v>
      </c>
      <c r="Q74" s="750">
        <v>0</v>
      </c>
      <c r="R74" s="750">
        <v>-20069.61</v>
      </c>
      <c r="S74" s="750">
        <v>24410.31</v>
      </c>
      <c r="T74" s="750">
        <v>10509844.925961923</v>
      </c>
    </row>
    <row r="75" spans="1:20">
      <c r="A75" s="160">
        <v>3317</v>
      </c>
      <c r="B75" s="133">
        <v>103421</v>
      </c>
      <c r="C75" s="133" t="s">
        <v>672</v>
      </c>
      <c r="D75" s="133" t="s">
        <v>673</v>
      </c>
      <c r="E75" s="159" t="s">
        <v>538</v>
      </c>
      <c r="F75" s="161" t="s">
        <v>535</v>
      </c>
      <c r="H75" s="750">
        <v>1477111.756746287</v>
      </c>
      <c r="I75" s="750">
        <v>0</v>
      </c>
      <c r="J75" s="750">
        <v>71910.346666666665</v>
      </c>
      <c r="K75" s="750">
        <v>165850</v>
      </c>
      <c r="L75" s="750">
        <v>42647.5</v>
      </c>
      <c r="M75" s="750">
        <v>0</v>
      </c>
      <c r="N75" s="750">
        <v>4190.0715200000159</v>
      </c>
      <c r="O75" s="750">
        <v>-5246.9600000000019</v>
      </c>
      <c r="P75" s="750">
        <v>-83.97</v>
      </c>
      <c r="Q75" s="750">
        <v>0</v>
      </c>
      <c r="R75" s="750">
        <v>-5398.56</v>
      </c>
      <c r="S75" s="750">
        <v>0</v>
      </c>
      <c r="T75" s="750">
        <v>1750980.1849329537</v>
      </c>
    </row>
    <row r="76" spans="1:20">
      <c r="A76" s="160">
        <v>1023</v>
      </c>
      <c r="B76" s="133">
        <v>103136</v>
      </c>
      <c r="C76" s="133" t="s">
        <v>674</v>
      </c>
      <c r="D76" s="133" t="s">
        <v>675</v>
      </c>
      <c r="E76" s="159" t="s">
        <v>534</v>
      </c>
      <c r="F76" s="161" t="s">
        <v>535</v>
      </c>
      <c r="H76" s="750">
        <v>592295.18235693534</v>
      </c>
      <c r="I76" s="750">
        <v>0</v>
      </c>
      <c r="J76" s="750">
        <v>46242.095060018473</v>
      </c>
      <c r="K76" s="750">
        <v>0</v>
      </c>
      <c r="L76" s="750">
        <v>0</v>
      </c>
      <c r="M76" s="750">
        <v>0</v>
      </c>
      <c r="N76" s="750">
        <v>0</v>
      </c>
      <c r="O76" s="750">
        <v>0</v>
      </c>
      <c r="P76" s="750">
        <v>0</v>
      </c>
      <c r="Q76" s="750">
        <v>-3291.75</v>
      </c>
      <c r="R76" s="750">
        <v>0</v>
      </c>
      <c r="S76" s="750">
        <v>4540</v>
      </c>
      <c r="T76" s="750">
        <v>639785.52741695382</v>
      </c>
    </row>
    <row r="77" spans="1:20">
      <c r="A77" s="160">
        <v>2015</v>
      </c>
      <c r="B77" s="133">
        <v>134102</v>
      </c>
      <c r="C77" s="133" t="s">
        <v>676</v>
      </c>
      <c r="D77" s="133" t="s">
        <v>677</v>
      </c>
      <c r="E77" s="159" t="s">
        <v>538</v>
      </c>
      <c r="F77" s="161" t="s">
        <v>535</v>
      </c>
      <c r="H77" s="750">
        <v>2679507.7922208118</v>
      </c>
      <c r="I77" s="750">
        <v>0</v>
      </c>
      <c r="J77" s="750">
        <v>124291.6204</v>
      </c>
      <c r="K77" s="750">
        <v>299970</v>
      </c>
      <c r="L77" s="750">
        <v>61173</v>
      </c>
      <c r="M77" s="750">
        <v>0</v>
      </c>
      <c r="N77" s="750">
        <v>0</v>
      </c>
      <c r="O77" s="750">
        <v>-41332.1</v>
      </c>
      <c r="P77" s="750">
        <v>0</v>
      </c>
      <c r="Q77" s="750">
        <v>-9471</v>
      </c>
      <c r="R77" s="750">
        <v>-10223.359999999999</v>
      </c>
      <c r="S77" s="750">
        <v>8845.3799999999992</v>
      </c>
      <c r="T77" s="750">
        <v>3112761.3326208116</v>
      </c>
    </row>
    <row r="78" spans="1:20">
      <c r="A78" s="160">
        <v>4063</v>
      </c>
      <c r="B78" s="133">
        <v>103486</v>
      </c>
      <c r="C78" s="133" t="s">
        <v>678</v>
      </c>
      <c r="D78" s="133" t="s">
        <v>679</v>
      </c>
      <c r="E78" s="159" t="s">
        <v>564</v>
      </c>
      <c r="F78" s="161" t="s">
        <v>535</v>
      </c>
      <c r="H78" s="750">
        <v>6872294.3300577477</v>
      </c>
      <c r="I78" s="750">
        <v>0</v>
      </c>
      <c r="J78" s="750">
        <v>204722.33666666664</v>
      </c>
      <c r="K78" s="750">
        <v>418175</v>
      </c>
      <c r="L78" s="750">
        <v>9199.5</v>
      </c>
      <c r="M78" s="750">
        <v>0</v>
      </c>
      <c r="N78" s="750">
        <v>0</v>
      </c>
      <c r="O78" s="750">
        <v>-120950.36000000003</v>
      </c>
      <c r="P78" s="750">
        <v>0</v>
      </c>
      <c r="Q78" s="750">
        <v>-24312.75</v>
      </c>
      <c r="R78" s="750">
        <v>-15842.309999999996</v>
      </c>
      <c r="S78" s="750">
        <v>17066.87</v>
      </c>
      <c r="T78" s="750">
        <v>7360352.6167244148</v>
      </c>
    </row>
    <row r="79" spans="1:20">
      <c r="A79" s="160">
        <v>1016</v>
      </c>
      <c r="B79" s="133">
        <v>103129</v>
      </c>
      <c r="C79" s="133" t="s">
        <v>680</v>
      </c>
      <c r="D79" s="133" t="s">
        <v>681</v>
      </c>
      <c r="E79" s="159" t="s">
        <v>534</v>
      </c>
      <c r="F79" s="161" t="s">
        <v>535</v>
      </c>
      <c r="H79" s="750">
        <v>626841.30279732822</v>
      </c>
      <c r="I79" s="750">
        <v>0</v>
      </c>
      <c r="J79" s="750">
        <v>40242.73333333333</v>
      </c>
      <c r="K79" s="750">
        <v>0</v>
      </c>
      <c r="L79" s="750">
        <v>0</v>
      </c>
      <c r="M79" s="750">
        <v>0</v>
      </c>
      <c r="N79" s="750">
        <v>8514.5544750000263</v>
      </c>
      <c r="O79" s="750">
        <v>0</v>
      </c>
      <c r="P79" s="750">
        <v>-12.280000000000001</v>
      </c>
      <c r="Q79" s="750">
        <v>-3291.75</v>
      </c>
      <c r="R79" s="750">
        <v>0</v>
      </c>
      <c r="S79" s="750">
        <v>4810</v>
      </c>
      <c r="T79" s="750">
        <v>677104.56060566148</v>
      </c>
    </row>
    <row r="80" spans="1:20">
      <c r="A80" s="160">
        <v>2115</v>
      </c>
      <c r="B80" s="133">
        <v>103221</v>
      </c>
      <c r="C80" s="133" t="s">
        <v>682</v>
      </c>
      <c r="D80" s="133" t="s">
        <v>683</v>
      </c>
      <c r="E80" s="159" t="s">
        <v>538</v>
      </c>
      <c r="F80" s="161" t="s">
        <v>535</v>
      </c>
      <c r="H80" s="750">
        <v>1877937.9358337836</v>
      </c>
      <c r="I80" s="750">
        <v>0</v>
      </c>
      <c r="J80" s="750">
        <v>110817.78333333333</v>
      </c>
      <c r="K80" s="750">
        <v>233975</v>
      </c>
      <c r="L80" s="750">
        <v>41031.64</v>
      </c>
      <c r="M80" s="750">
        <v>0</v>
      </c>
      <c r="N80" s="750">
        <v>13310.374070000005</v>
      </c>
      <c r="O80" s="750">
        <v>-41869.75</v>
      </c>
      <c r="P80" s="750">
        <v>-10.31</v>
      </c>
      <c r="Q80" s="750">
        <v>-5139.75</v>
      </c>
      <c r="R80" s="750">
        <v>-7276.3199999999988</v>
      </c>
      <c r="S80" s="750">
        <v>7737.25</v>
      </c>
      <c r="T80" s="750">
        <v>2230513.8532371172</v>
      </c>
    </row>
    <row r="81" spans="1:20">
      <c r="A81" s="160">
        <v>2441</v>
      </c>
      <c r="B81" s="133">
        <v>103368</v>
      </c>
      <c r="C81" s="133" t="s">
        <v>684</v>
      </c>
      <c r="D81" s="133" t="s">
        <v>685</v>
      </c>
      <c r="E81" s="159" t="s">
        <v>538</v>
      </c>
      <c r="F81" s="161" t="s">
        <v>535</v>
      </c>
      <c r="H81" s="750">
        <v>2286612.4722151789</v>
      </c>
      <c r="I81" s="750">
        <v>0</v>
      </c>
      <c r="J81" s="750">
        <v>126557.89000000001</v>
      </c>
      <c r="K81" s="750">
        <v>308660</v>
      </c>
      <c r="L81" s="750">
        <v>42054.93</v>
      </c>
      <c r="M81" s="750">
        <v>0</v>
      </c>
      <c r="N81" s="750">
        <v>14545.497580000072</v>
      </c>
      <c r="O81" s="750">
        <v>-14333.979999999998</v>
      </c>
      <c r="P81" s="750">
        <v>-17.12</v>
      </c>
      <c r="Q81" s="750">
        <v>-9471</v>
      </c>
      <c r="R81" s="750">
        <v>-8919.3599999999988</v>
      </c>
      <c r="S81" s="750">
        <v>8136.63</v>
      </c>
      <c r="T81" s="750">
        <v>2753825.9597951793</v>
      </c>
    </row>
    <row r="82" spans="1:20">
      <c r="A82" s="160">
        <v>2321</v>
      </c>
      <c r="B82" s="133">
        <v>103339</v>
      </c>
      <c r="C82" s="133" t="s">
        <v>686</v>
      </c>
      <c r="D82" s="133" t="s">
        <v>687</v>
      </c>
      <c r="E82" s="159" t="s">
        <v>538</v>
      </c>
      <c r="F82" s="161" t="s">
        <v>535</v>
      </c>
      <c r="H82" s="750">
        <v>1253029.0623890988</v>
      </c>
      <c r="I82" s="750">
        <v>0</v>
      </c>
      <c r="J82" s="750">
        <v>173754.75666666665</v>
      </c>
      <c r="K82" s="750">
        <v>176855</v>
      </c>
      <c r="L82" s="750">
        <v>22644.29</v>
      </c>
      <c r="M82" s="750">
        <v>0</v>
      </c>
      <c r="N82" s="750">
        <v>16456.226979999981</v>
      </c>
      <c r="O82" s="750">
        <v>-15754.469999999996</v>
      </c>
      <c r="P82" s="750">
        <v>-27.68</v>
      </c>
      <c r="Q82" s="750">
        <v>-5139.75</v>
      </c>
      <c r="R82" s="750">
        <v>-4668.32</v>
      </c>
      <c r="S82" s="750">
        <v>6047.5</v>
      </c>
      <c r="T82" s="750">
        <v>1623196.6160357655</v>
      </c>
    </row>
    <row r="83" spans="1:20">
      <c r="A83" s="160">
        <v>7062</v>
      </c>
      <c r="B83" s="133">
        <v>103632</v>
      </c>
      <c r="C83" s="133" t="s">
        <v>688</v>
      </c>
      <c r="D83" s="133" t="s">
        <v>689</v>
      </c>
      <c r="E83" s="159" t="s">
        <v>553</v>
      </c>
      <c r="F83" s="161" t="s">
        <v>535</v>
      </c>
      <c r="H83" s="750">
        <v>1563938.1586956519</v>
      </c>
      <c r="I83" s="750">
        <v>0</v>
      </c>
      <c r="J83" s="750">
        <v>3715089.5537355398</v>
      </c>
      <c r="K83" s="750">
        <v>126125</v>
      </c>
      <c r="L83" s="750">
        <v>14849</v>
      </c>
      <c r="M83" s="750">
        <v>0</v>
      </c>
      <c r="N83" s="750">
        <v>40965.284489999969</v>
      </c>
      <c r="O83" s="750">
        <v>0</v>
      </c>
      <c r="P83" s="750">
        <v>-151.66000000000003</v>
      </c>
      <c r="Q83" s="750">
        <v>-3291.75</v>
      </c>
      <c r="R83" s="750">
        <v>0</v>
      </c>
      <c r="S83" s="750">
        <v>10935.63</v>
      </c>
      <c r="T83" s="750">
        <v>5468459.2169211907</v>
      </c>
    </row>
    <row r="84" spans="1:20">
      <c r="A84" s="160">
        <v>2462</v>
      </c>
      <c r="B84" s="133">
        <v>103388</v>
      </c>
      <c r="C84" s="133" t="s">
        <v>690</v>
      </c>
      <c r="D84" s="133" t="s">
        <v>691</v>
      </c>
      <c r="E84" s="159" t="s">
        <v>538</v>
      </c>
      <c r="F84" s="161" t="s">
        <v>535</v>
      </c>
      <c r="H84" s="750">
        <v>2204716.4199999995</v>
      </c>
      <c r="I84" s="750">
        <v>0</v>
      </c>
      <c r="J84" s="750">
        <v>60872.800000000003</v>
      </c>
      <c r="K84" s="750">
        <v>49445</v>
      </c>
      <c r="L84" s="750">
        <v>106872</v>
      </c>
      <c r="M84" s="750">
        <v>0</v>
      </c>
      <c r="N84" s="750">
        <v>0</v>
      </c>
      <c r="O84" s="750">
        <v>-58214.420000000006</v>
      </c>
      <c r="P84" s="750">
        <v>0</v>
      </c>
      <c r="Q84" s="750">
        <v>-11394</v>
      </c>
      <c r="R84" s="750">
        <v>-11005.760000000002</v>
      </c>
      <c r="S84" s="750">
        <v>8770</v>
      </c>
      <c r="T84" s="750">
        <v>2350062.0399999996</v>
      </c>
    </row>
    <row r="85" spans="1:20">
      <c r="A85" s="160">
        <v>7012</v>
      </c>
      <c r="B85" s="133">
        <v>103603</v>
      </c>
      <c r="C85" s="133" t="s">
        <v>692</v>
      </c>
      <c r="D85" s="133" t="s">
        <v>693</v>
      </c>
      <c r="E85" s="159" t="s">
        <v>553</v>
      </c>
      <c r="F85" s="161" t="s">
        <v>535</v>
      </c>
      <c r="H85" s="750">
        <v>716036.79760869569</v>
      </c>
      <c r="I85" s="750">
        <v>0</v>
      </c>
      <c r="J85" s="750">
        <v>842916.07459745416</v>
      </c>
      <c r="K85" s="750">
        <v>51510</v>
      </c>
      <c r="L85" s="750">
        <v>18532</v>
      </c>
      <c r="M85" s="750">
        <v>0</v>
      </c>
      <c r="N85" s="750">
        <v>4386.9400000000005</v>
      </c>
      <c r="O85" s="750">
        <v>0</v>
      </c>
      <c r="P85" s="750">
        <v>-115.61000000000001</v>
      </c>
      <c r="Q85" s="750">
        <v>-3291.75</v>
      </c>
      <c r="R85" s="750">
        <v>0</v>
      </c>
      <c r="S85" s="750">
        <v>7098.25</v>
      </c>
      <c r="T85" s="750">
        <v>1637072.7022061497</v>
      </c>
    </row>
    <row r="86" spans="1:20">
      <c r="A86" s="160">
        <v>2127</v>
      </c>
      <c r="B86" s="133">
        <v>103227</v>
      </c>
      <c r="C86" s="133" t="s">
        <v>694</v>
      </c>
      <c r="D86" s="133" t="s">
        <v>695</v>
      </c>
      <c r="E86" s="159" t="s">
        <v>538</v>
      </c>
      <c r="F86" s="161" t="s">
        <v>535</v>
      </c>
      <c r="H86" s="750">
        <v>2889375.915215339</v>
      </c>
      <c r="I86" s="750">
        <v>0</v>
      </c>
      <c r="J86" s="750">
        <v>274963.11213296402</v>
      </c>
      <c r="K86" s="750">
        <v>406735</v>
      </c>
      <c r="L86" s="750">
        <v>82239.820000000007</v>
      </c>
      <c r="M86" s="750">
        <v>0</v>
      </c>
      <c r="N86" s="750">
        <v>0</v>
      </c>
      <c r="O86" s="750">
        <v>-62170.739999999983</v>
      </c>
      <c r="P86" s="750">
        <v>0</v>
      </c>
      <c r="Q86" s="750">
        <v>0</v>
      </c>
      <c r="R86" s="750">
        <v>-10953.599999999997</v>
      </c>
      <c r="S86" s="750">
        <v>9059.1299999999992</v>
      </c>
      <c r="T86" s="750">
        <v>3589248.6373483031</v>
      </c>
    </row>
    <row r="87" spans="1:20">
      <c r="A87" s="160">
        <v>2129</v>
      </c>
      <c r="B87" s="133">
        <v>103229</v>
      </c>
      <c r="C87" s="133" t="s">
        <v>696</v>
      </c>
      <c r="D87" s="133" t="s">
        <v>697</v>
      </c>
      <c r="E87" s="159" t="s">
        <v>538</v>
      </c>
      <c r="F87" s="161" t="s">
        <v>535</v>
      </c>
      <c r="H87" s="750">
        <v>1563132.8585769134</v>
      </c>
      <c r="I87" s="750">
        <v>0</v>
      </c>
      <c r="J87" s="750">
        <v>216098.36</v>
      </c>
      <c r="K87" s="750">
        <v>112060</v>
      </c>
      <c r="L87" s="750">
        <v>105749.86</v>
      </c>
      <c r="M87" s="750">
        <v>0</v>
      </c>
      <c r="N87" s="750">
        <v>0</v>
      </c>
      <c r="O87" s="750">
        <v>-17553.499999999996</v>
      </c>
      <c r="P87" s="750">
        <v>0</v>
      </c>
      <c r="Q87" s="750">
        <v>-7128</v>
      </c>
      <c r="R87" s="750">
        <v>-6885.1200000000017</v>
      </c>
      <c r="S87" s="750">
        <v>6970</v>
      </c>
      <c r="T87" s="750">
        <v>1972444.4585769132</v>
      </c>
    </row>
    <row r="88" spans="1:20">
      <c r="A88" s="160">
        <v>2128</v>
      </c>
      <c r="B88" s="133">
        <v>103228</v>
      </c>
      <c r="C88" s="133" t="s">
        <v>698</v>
      </c>
      <c r="D88" s="133" t="s">
        <v>699</v>
      </c>
      <c r="E88" s="159" t="s">
        <v>538</v>
      </c>
      <c r="F88" s="161" t="s">
        <v>535</v>
      </c>
      <c r="H88" s="750">
        <v>2138370.1925619049</v>
      </c>
      <c r="I88" s="750">
        <v>0</v>
      </c>
      <c r="J88" s="750">
        <v>156791.47999999998</v>
      </c>
      <c r="K88" s="750">
        <v>217710</v>
      </c>
      <c r="L88" s="750">
        <v>18882.93</v>
      </c>
      <c r="M88" s="750">
        <v>0</v>
      </c>
      <c r="N88" s="750">
        <v>0</v>
      </c>
      <c r="O88" s="750">
        <v>-19016.28</v>
      </c>
      <c r="P88" s="750">
        <v>0</v>
      </c>
      <c r="Q88" s="750">
        <v>-9471</v>
      </c>
      <c r="R88" s="750">
        <v>-9623.5199999999986</v>
      </c>
      <c r="S88" s="750">
        <v>8128.75</v>
      </c>
      <c r="T88" s="750">
        <v>2501772.5525619052</v>
      </c>
    </row>
    <row r="89" spans="1:20">
      <c r="A89" s="160">
        <v>2420</v>
      </c>
      <c r="B89" s="133">
        <v>103353</v>
      </c>
      <c r="C89" s="133" t="s">
        <v>700</v>
      </c>
      <c r="D89" s="133" t="s">
        <v>701</v>
      </c>
      <c r="E89" s="159" t="s">
        <v>538</v>
      </c>
      <c r="F89" s="161" t="s">
        <v>535</v>
      </c>
      <c r="H89" s="750">
        <v>2171148.64</v>
      </c>
      <c r="I89" s="750">
        <v>0</v>
      </c>
      <c r="J89" s="750">
        <v>155172.65666666668</v>
      </c>
      <c r="K89" s="750">
        <v>38225</v>
      </c>
      <c r="L89" s="750">
        <v>104152.37000000001</v>
      </c>
      <c r="M89" s="750">
        <v>0</v>
      </c>
      <c r="N89" s="750">
        <v>15647.36</v>
      </c>
      <c r="O89" s="750">
        <v>-24535.639999999996</v>
      </c>
      <c r="P89" s="750">
        <v>-73.52</v>
      </c>
      <c r="Q89" s="750">
        <v>-9471</v>
      </c>
      <c r="R89" s="750">
        <v>-11005.760000000002</v>
      </c>
      <c r="S89" s="750">
        <v>8736.25</v>
      </c>
      <c r="T89" s="750">
        <v>2447996.3566666669</v>
      </c>
    </row>
    <row r="90" spans="1:20">
      <c r="A90" s="160">
        <v>1012</v>
      </c>
      <c r="B90" s="133">
        <v>103126</v>
      </c>
      <c r="C90" s="133" t="s">
        <v>702</v>
      </c>
      <c r="D90" s="133" t="s">
        <v>703</v>
      </c>
      <c r="E90" s="159" t="s">
        <v>534</v>
      </c>
      <c r="F90" s="161" t="s">
        <v>535</v>
      </c>
      <c r="H90" s="750">
        <v>750279.424097087</v>
      </c>
      <c r="I90" s="750">
        <v>0</v>
      </c>
      <c r="J90" s="750">
        <v>7573.3291977839335</v>
      </c>
      <c r="K90" s="750">
        <v>0</v>
      </c>
      <c r="L90" s="750">
        <v>0</v>
      </c>
      <c r="M90" s="750">
        <v>0</v>
      </c>
      <c r="N90" s="750">
        <v>22607.702829999995</v>
      </c>
      <c r="O90" s="750">
        <v>0</v>
      </c>
      <c r="P90" s="750">
        <v>-118.14999999999998</v>
      </c>
      <c r="Q90" s="750">
        <v>-3291.75</v>
      </c>
      <c r="R90" s="750">
        <v>0</v>
      </c>
      <c r="S90" s="750">
        <v>4938.25</v>
      </c>
      <c r="T90" s="750">
        <v>781988.8061248709</v>
      </c>
    </row>
    <row r="91" spans="1:20">
      <c r="A91" s="160">
        <v>2133</v>
      </c>
      <c r="B91" s="133">
        <v>103233</v>
      </c>
      <c r="C91" s="133" t="s">
        <v>704</v>
      </c>
      <c r="D91" s="133" t="s">
        <v>705</v>
      </c>
      <c r="E91" s="159" t="s">
        <v>538</v>
      </c>
      <c r="F91" s="161" t="s">
        <v>535</v>
      </c>
      <c r="H91" s="750">
        <v>2794745.0667297249</v>
      </c>
      <c r="I91" s="750">
        <v>0</v>
      </c>
      <c r="J91" s="750">
        <v>135211.31666666665</v>
      </c>
      <c r="K91" s="750">
        <v>318780</v>
      </c>
      <c r="L91" s="750">
        <v>76762.789999999994</v>
      </c>
      <c r="M91" s="750">
        <v>0</v>
      </c>
      <c r="N91" s="750">
        <v>0</v>
      </c>
      <c r="O91" s="750">
        <v>-46374.719999999994</v>
      </c>
      <c r="P91" s="750">
        <v>0</v>
      </c>
      <c r="Q91" s="750">
        <v>-9471</v>
      </c>
      <c r="R91" s="750">
        <v>-10927.520000000002</v>
      </c>
      <c r="S91" s="750">
        <v>8601.25</v>
      </c>
      <c r="T91" s="750">
        <v>3267327.1833963916</v>
      </c>
    </row>
    <row r="92" spans="1:20">
      <c r="A92" s="160">
        <v>3322</v>
      </c>
      <c r="B92" s="133">
        <v>103426</v>
      </c>
      <c r="C92" s="133" t="s">
        <v>706</v>
      </c>
      <c r="D92" s="133" t="s">
        <v>707</v>
      </c>
      <c r="E92" s="159" t="s">
        <v>538</v>
      </c>
      <c r="F92" s="161" t="e">
        <v>#N/A</v>
      </c>
      <c r="H92" s="750">
        <v>134217.99228837207</v>
      </c>
      <c r="I92" s="750">
        <v>0</v>
      </c>
      <c r="J92" s="750">
        <v>0</v>
      </c>
      <c r="K92" s="750">
        <v>24850</v>
      </c>
      <c r="L92" s="750">
        <v>0</v>
      </c>
      <c r="M92" s="750">
        <v>0</v>
      </c>
      <c r="N92" s="750">
        <v>0</v>
      </c>
      <c r="O92" s="750">
        <v>-4239.97</v>
      </c>
      <c r="P92" s="750">
        <v>0</v>
      </c>
      <c r="Q92" s="750">
        <v>-428.31</v>
      </c>
      <c r="R92" s="750">
        <v>-2151.5999999999995</v>
      </c>
      <c r="S92" s="750">
        <v>0</v>
      </c>
      <c r="T92" s="750">
        <v>152248.11228837207</v>
      </c>
    </row>
    <row r="93" spans="1:20">
      <c r="A93" s="160">
        <v>2406</v>
      </c>
      <c r="B93" s="133">
        <v>103345</v>
      </c>
      <c r="C93" s="133" t="s">
        <v>708</v>
      </c>
      <c r="D93" s="133" t="s">
        <v>709</v>
      </c>
      <c r="E93" s="159" t="s">
        <v>538</v>
      </c>
      <c r="F93" s="161" t="s">
        <v>535</v>
      </c>
      <c r="H93" s="750">
        <v>1305436.2672000004</v>
      </c>
      <c r="I93" s="750">
        <v>0</v>
      </c>
      <c r="J93" s="750">
        <v>74463.003333333327</v>
      </c>
      <c r="K93" s="750">
        <v>150700</v>
      </c>
      <c r="L93" s="750">
        <v>40729.93</v>
      </c>
      <c r="M93" s="750">
        <v>0</v>
      </c>
      <c r="N93" s="750">
        <v>8507.5464299999985</v>
      </c>
      <c r="O93" s="750">
        <v>-12359.449999999999</v>
      </c>
      <c r="P93" s="750">
        <v>-111.12999999999997</v>
      </c>
      <c r="Q93" s="750">
        <v>-5139.75</v>
      </c>
      <c r="R93" s="750">
        <v>-5268.16</v>
      </c>
      <c r="S93" s="750">
        <v>6283.75</v>
      </c>
      <c r="T93" s="750">
        <v>1563242.006963334</v>
      </c>
    </row>
    <row r="94" spans="1:20">
      <c r="A94" s="160">
        <v>2416</v>
      </c>
      <c r="B94" s="133">
        <v>103351</v>
      </c>
      <c r="C94" s="133" t="s">
        <v>710</v>
      </c>
      <c r="D94" s="133" t="s">
        <v>711</v>
      </c>
      <c r="E94" s="159" t="s">
        <v>538</v>
      </c>
      <c r="F94" s="161" t="s">
        <v>535</v>
      </c>
      <c r="H94" s="750">
        <v>2190120.7999999993</v>
      </c>
      <c r="I94" s="750">
        <v>0</v>
      </c>
      <c r="J94" s="750">
        <v>95159.333333333328</v>
      </c>
      <c r="K94" s="750">
        <v>66525</v>
      </c>
      <c r="L94" s="750">
        <v>96225</v>
      </c>
      <c r="M94" s="750">
        <v>0</v>
      </c>
      <c r="N94" s="750">
        <v>0</v>
      </c>
      <c r="O94" s="750">
        <v>-32594.799999999999</v>
      </c>
      <c r="P94" s="750">
        <v>0</v>
      </c>
      <c r="Q94" s="750">
        <v>-11448</v>
      </c>
      <c r="R94" s="750">
        <v>-11057.920000000004</v>
      </c>
      <c r="S94" s="750">
        <v>8466.25</v>
      </c>
      <c r="T94" s="750">
        <v>2401395.6633333331</v>
      </c>
    </row>
    <row r="95" spans="1:20">
      <c r="A95" s="160">
        <v>3003</v>
      </c>
      <c r="B95" s="133">
        <v>103398</v>
      </c>
      <c r="C95" s="133" t="s">
        <v>712</v>
      </c>
      <c r="D95" s="133" t="s">
        <v>713</v>
      </c>
      <c r="E95" s="159" t="s">
        <v>538</v>
      </c>
      <c r="F95" s="161" t="s">
        <v>535</v>
      </c>
      <c r="H95" s="750">
        <v>1155479.0124784687</v>
      </c>
      <c r="I95" s="750">
        <v>0</v>
      </c>
      <c r="J95" s="750">
        <v>71780.801666666666</v>
      </c>
      <c r="K95" s="750">
        <v>57420</v>
      </c>
      <c r="L95" s="750">
        <v>54302</v>
      </c>
      <c r="M95" s="750">
        <v>0</v>
      </c>
      <c r="N95" s="750">
        <v>2376.73</v>
      </c>
      <c r="O95" s="750">
        <v>-49289.69999999999</v>
      </c>
      <c r="P95" s="750">
        <v>-12.750000000000002</v>
      </c>
      <c r="Q95" s="750">
        <v>-5139.75</v>
      </c>
      <c r="R95" s="750">
        <v>-5476.7999999999984</v>
      </c>
      <c r="S95" s="750">
        <v>0</v>
      </c>
      <c r="T95" s="750">
        <v>1281439.5441451354</v>
      </c>
    </row>
    <row r="96" spans="1:20">
      <c r="A96" s="160">
        <v>4245</v>
      </c>
      <c r="B96" s="133">
        <v>103519</v>
      </c>
      <c r="C96" s="133" t="s">
        <v>714</v>
      </c>
      <c r="D96" s="133" t="s">
        <v>715</v>
      </c>
      <c r="E96" s="159" t="s">
        <v>564</v>
      </c>
      <c r="F96" s="161" t="s">
        <v>535</v>
      </c>
      <c r="H96" s="750">
        <v>10655812.985681806</v>
      </c>
      <c r="I96" s="750">
        <v>1482588.29</v>
      </c>
      <c r="J96" s="750">
        <v>187623.58333333334</v>
      </c>
      <c r="K96" s="750">
        <v>825600</v>
      </c>
      <c r="L96" s="750">
        <v>12226.289999999999</v>
      </c>
      <c r="M96" s="750">
        <v>0</v>
      </c>
      <c r="N96" s="750">
        <v>0</v>
      </c>
      <c r="O96" s="750">
        <v>-22895.860000000004</v>
      </c>
      <c r="P96" s="750">
        <v>0</v>
      </c>
      <c r="Q96" s="750">
        <v>-39285</v>
      </c>
      <c r="R96" s="750">
        <v>-25464.449999999993</v>
      </c>
      <c r="S96" s="750">
        <v>29633.13</v>
      </c>
      <c r="T96" s="750">
        <v>13105838.96901514</v>
      </c>
    </row>
    <row r="97" spans="1:20">
      <c r="A97" s="160">
        <v>2457</v>
      </c>
      <c r="B97" s="133">
        <v>103384</v>
      </c>
      <c r="C97" s="133" t="s">
        <v>716</v>
      </c>
      <c r="D97" s="133" t="s">
        <v>717</v>
      </c>
      <c r="E97" s="159" t="s">
        <v>538</v>
      </c>
      <c r="F97" s="161" t="s">
        <v>535</v>
      </c>
      <c r="H97" s="750">
        <v>2699046.058514094</v>
      </c>
      <c r="I97" s="750">
        <v>0</v>
      </c>
      <c r="J97" s="750">
        <v>280484.20240000007</v>
      </c>
      <c r="K97" s="750">
        <v>299970</v>
      </c>
      <c r="L97" s="750">
        <v>73306.86</v>
      </c>
      <c r="M97" s="750">
        <v>0</v>
      </c>
      <c r="N97" s="750">
        <v>39123.15490000006</v>
      </c>
      <c r="O97" s="750">
        <v>-31799.809999999994</v>
      </c>
      <c r="P97" s="750">
        <v>-26.82</v>
      </c>
      <c r="Q97" s="750">
        <v>-9471</v>
      </c>
      <c r="R97" s="750">
        <v>-10849.279999999999</v>
      </c>
      <c r="S97" s="750">
        <v>8938.75</v>
      </c>
      <c r="T97" s="750">
        <v>3348722.115814094</v>
      </c>
    </row>
    <row r="98" spans="1:20">
      <c r="A98" s="160">
        <v>2142</v>
      </c>
      <c r="B98" s="133">
        <v>103237</v>
      </c>
      <c r="C98" s="133" t="s">
        <v>718</v>
      </c>
      <c r="D98" s="133" t="s">
        <v>719</v>
      </c>
      <c r="E98" s="159" t="s">
        <v>538</v>
      </c>
      <c r="F98" s="161" t="s">
        <v>535</v>
      </c>
      <c r="H98" s="750">
        <v>2817514.8441715576</v>
      </c>
      <c r="I98" s="750">
        <v>0</v>
      </c>
      <c r="J98" s="750">
        <v>277363.15666666668</v>
      </c>
      <c r="K98" s="750">
        <v>287850</v>
      </c>
      <c r="L98" s="750">
        <v>79962.64</v>
      </c>
      <c r="M98" s="750">
        <v>0</v>
      </c>
      <c r="N98" s="750">
        <v>43717.561409999973</v>
      </c>
      <c r="O98" s="750">
        <v>-23115.159999999993</v>
      </c>
      <c r="P98" s="750">
        <v>-325.08999999999997</v>
      </c>
      <c r="Q98" s="750">
        <v>-9471</v>
      </c>
      <c r="R98" s="750">
        <v>-10797.12</v>
      </c>
      <c r="S98" s="750">
        <v>8866.75</v>
      </c>
      <c r="T98" s="750">
        <v>3471566.5822482244</v>
      </c>
    </row>
    <row r="99" spans="1:20">
      <c r="A99" s="160">
        <v>2469</v>
      </c>
      <c r="B99" s="133">
        <v>103395</v>
      </c>
      <c r="C99" s="133" t="s">
        <v>720</v>
      </c>
      <c r="D99" s="133" t="s">
        <v>721</v>
      </c>
      <c r="E99" s="159" t="s">
        <v>538</v>
      </c>
      <c r="F99" s="161" t="s">
        <v>535</v>
      </c>
      <c r="H99" s="750">
        <v>2048660.4348310104</v>
      </c>
      <c r="I99" s="750">
        <v>0</v>
      </c>
      <c r="J99" s="750">
        <v>215694.42333333334</v>
      </c>
      <c r="K99" s="750">
        <v>201345</v>
      </c>
      <c r="L99" s="750">
        <v>44011</v>
      </c>
      <c r="M99" s="750">
        <v>0</v>
      </c>
      <c r="N99" s="750">
        <v>0</v>
      </c>
      <c r="O99" s="750">
        <v>-25052.189999999991</v>
      </c>
      <c r="P99" s="750">
        <v>0</v>
      </c>
      <c r="Q99" s="750">
        <v>-8559</v>
      </c>
      <c r="R99" s="750">
        <v>-8267.3599999999988</v>
      </c>
      <c r="S99" s="750">
        <v>7768.75</v>
      </c>
      <c r="T99" s="750">
        <v>2475601.0581643442</v>
      </c>
    </row>
    <row r="100" spans="1:20">
      <c r="A100" s="160">
        <v>1049</v>
      </c>
      <c r="B100" s="133">
        <v>103145</v>
      </c>
      <c r="C100" s="133" t="s">
        <v>722</v>
      </c>
      <c r="D100" s="133" t="s">
        <v>723</v>
      </c>
      <c r="E100" s="159" t="s">
        <v>534</v>
      </c>
      <c r="F100" s="161" t="s">
        <v>535</v>
      </c>
      <c r="H100" s="750">
        <v>824063.39867693977</v>
      </c>
      <c r="I100" s="750">
        <v>0</v>
      </c>
      <c r="J100" s="750">
        <v>38669.162593721143</v>
      </c>
      <c r="K100" s="750">
        <v>0</v>
      </c>
      <c r="L100" s="750">
        <v>0</v>
      </c>
      <c r="M100" s="750">
        <v>0</v>
      </c>
      <c r="N100" s="750">
        <v>0</v>
      </c>
      <c r="O100" s="750">
        <v>0</v>
      </c>
      <c r="P100" s="750">
        <v>0</v>
      </c>
      <c r="Q100" s="750">
        <v>-3291.75</v>
      </c>
      <c r="R100" s="750">
        <v>0</v>
      </c>
      <c r="S100" s="750">
        <v>5005.75</v>
      </c>
      <c r="T100" s="750">
        <v>864446.56127066095</v>
      </c>
    </row>
    <row r="101" spans="1:20">
      <c r="A101" s="160">
        <v>7053</v>
      </c>
      <c r="B101" s="133">
        <v>103628</v>
      </c>
      <c r="C101" s="133" t="s">
        <v>724</v>
      </c>
      <c r="D101" s="133" t="s">
        <v>725</v>
      </c>
      <c r="E101" s="159" t="s">
        <v>553</v>
      </c>
      <c r="F101" s="161" t="s">
        <v>583</v>
      </c>
      <c r="H101" s="750">
        <v>994950</v>
      </c>
      <c r="I101" s="750">
        <v>32132.671140708415</v>
      </c>
      <c r="J101" s="750">
        <v>1797694.6012343005</v>
      </c>
      <c r="K101" s="750">
        <v>46762</v>
      </c>
      <c r="L101" s="750">
        <v>0</v>
      </c>
      <c r="M101" s="750">
        <v>0</v>
      </c>
      <c r="N101" s="750">
        <v>0</v>
      </c>
      <c r="O101" s="750">
        <v>0</v>
      </c>
      <c r="P101" s="750">
        <v>0</v>
      </c>
      <c r="Q101" s="750">
        <v>-2569.875</v>
      </c>
      <c r="R101" s="750">
        <v>0</v>
      </c>
      <c r="S101" s="750">
        <v>13315</v>
      </c>
      <c r="T101" s="750">
        <v>2882284.397375009</v>
      </c>
    </row>
    <row r="102" spans="1:20">
      <c r="A102" s="160">
        <v>3351</v>
      </c>
      <c r="B102" s="133">
        <v>103443</v>
      </c>
      <c r="C102" s="133" t="s">
        <v>726</v>
      </c>
      <c r="D102" s="133" t="s">
        <v>727</v>
      </c>
      <c r="E102" s="159" t="s">
        <v>538</v>
      </c>
      <c r="F102" s="161" t="s">
        <v>535</v>
      </c>
      <c r="H102" s="750">
        <v>1453075.0844962134</v>
      </c>
      <c r="I102" s="750">
        <v>0</v>
      </c>
      <c r="J102" s="750">
        <v>70109.993333333332</v>
      </c>
      <c r="K102" s="750">
        <v>158975</v>
      </c>
      <c r="L102" s="750">
        <v>40103</v>
      </c>
      <c r="M102" s="750">
        <v>0</v>
      </c>
      <c r="N102" s="750">
        <v>13556.077284999992</v>
      </c>
      <c r="O102" s="750">
        <v>-21610.93</v>
      </c>
      <c r="P102" s="750">
        <v>-95.75</v>
      </c>
      <c r="Q102" s="750">
        <v>-5139.75</v>
      </c>
      <c r="R102" s="750">
        <v>-5424.6399999999994</v>
      </c>
      <c r="S102" s="750">
        <v>0</v>
      </c>
      <c r="T102" s="750">
        <v>1703548.0851145468</v>
      </c>
    </row>
    <row r="103" spans="1:20">
      <c r="A103" s="160">
        <v>3328</v>
      </c>
      <c r="B103" s="133">
        <v>103430</v>
      </c>
      <c r="C103" s="133" t="s">
        <v>728</v>
      </c>
      <c r="D103" s="133" t="s">
        <v>729</v>
      </c>
      <c r="E103" s="159" t="s">
        <v>538</v>
      </c>
      <c r="F103" s="161" t="s">
        <v>535</v>
      </c>
      <c r="H103" s="750">
        <v>1262682.3553523237</v>
      </c>
      <c r="I103" s="750">
        <v>0</v>
      </c>
      <c r="J103" s="750">
        <v>75864.863333333342</v>
      </c>
      <c r="K103" s="750">
        <v>87470</v>
      </c>
      <c r="L103" s="750">
        <v>48706.6</v>
      </c>
      <c r="M103" s="750">
        <v>0</v>
      </c>
      <c r="N103" s="750">
        <v>15142.560970000002</v>
      </c>
      <c r="O103" s="750">
        <v>-3471.48</v>
      </c>
      <c r="P103" s="750">
        <v>-50.18</v>
      </c>
      <c r="Q103" s="750">
        <v>-5139.75</v>
      </c>
      <c r="R103" s="750">
        <v>-5450.7199999999984</v>
      </c>
      <c r="S103" s="750">
        <v>0</v>
      </c>
      <c r="T103" s="750">
        <v>1475754.2496556572</v>
      </c>
    </row>
    <row r="104" spans="1:20">
      <c r="A104" s="160">
        <v>1008</v>
      </c>
      <c r="B104" s="133">
        <v>103123</v>
      </c>
      <c r="C104" s="133" t="s">
        <v>730</v>
      </c>
      <c r="D104" s="133" t="s">
        <v>731</v>
      </c>
      <c r="E104" s="159" t="s">
        <v>534</v>
      </c>
      <c r="F104" s="161" t="s">
        <v>535</v>
      </c>
      <c r="H104" s="750">
        <v>472287.20084859408</v>
      </c>
      <c r="I104" s="750">
        <v>0</v>
      </c>
      <c r="J104" s="750">
        <v>1012.8321329639889</v>
      </c>
      <c r="K104" s="750">
        <v>0</v>
      </c>
      <c r="L104" s="750">
        <v>0</v>
      </c>
      <c r="M104" s="750">
        <v>0</v>
      </c>
      <c r="N104" s="750">
        <v>5332.3607049999955</v>
      </c>
      <c r="O104" s="750">
        <v>0</v>
      </c>
      <c r="P104" s="750">
        <v>-124.87999999999998</v>
      </c>
      <c r="Q104" s="750">
        <v>-3291.75</v>
      </c>
      <c r="R104" s="750">
        <v>0</v>
      </c>
      <c r="S104" s="750">
        <v>4675</v>
      </c>
      <c r="T104" s="750">
        <v>479890.76368655806</v>
      </c>
    </row>
    <row r="105" spans="1:20">
      <c r="A105" s="160">
        <v>4173</v>
      </c>
      <c r="B105" s="133">
        <v>103497</v>
      </c>
      <c r="C105" s="133" t="s">
        <v>732</v>
      </c>
      <c r="D105" s="133" t="s">
        <v>733</v>
      </c>
      <c r="E105" s="159" t="s">
        <v>564</v>
      </c>
      <c r="F105" s="161" t="s">
        <v>535</v>
      </c>
      <c r="H105" s="750">
        <v>7067666.9730452253</v>
      </c>
      <c r="I105" s="750">
        <v>0</v>
      </c>
      <c r="J105" s="750">
        <v>230569.55</v>
      </c>
      <c r="K105" s="750">
        <v>372110</v>
      </c>
      <c r="L105" s="750">
        <v>14783.06</v>
      </c>
      <c r="M105" s="750">
        <v>0</v>
      </c>
      <c r="N105" s="750">
        <v>0</v>
      </c>
      <c r="O105" s="750">
        <v>-81387.160000000018</v>
      </c>
      <c r="P105" s="750">
        <v>0</v>
      </c>
      <c r="Q105" s="750">
        <v>-24312.75</v>
      </c>
      <c r="R105" s="750">
        <v>-18278.04</v>
      </c>
      <c r="S105" s="750">
        <v>19246.560000000001</v>
      </c>
      <c r="T105" s="750">
        <v>7580398.1930452241</v>
      </c>
    </row>
    <row r="106" spans="1:20">
      <c r="A106" s="160">
        <v>2159</v>
      </c>
      <c r="B106" s="133">
        <v>103247</v>
      </c>
      <c r="C106" s="133" t="s">
        <v>734</v>
      </c>
      <c r="D106" s="133" t="s">
        <v>735</v>
      </c>
      <c r="E106" s="159" t="s">
        <v>538</v>
      </c>
      <c r="F106" s="161" t="s">
        <v>535</v>
      </c>
      <c r="H106" s="750">
        <v>1381832.4861667489</v>
      </c>
      <c r="I106" s="750">
        <v>0</v>
      </c>
      <c r="J106" s="750">
        <v>75101.66333333333</v>
      </c>
      <c r="K106" s="750">
        <v>148470</v>
      </c>
      <c r="L106" s="750">
        <v>36444</v>
      </c>
      <c r="M106" s="750">
        <v>0</v>
      </c>
      <c r="N106" s="750">
        <v>1735.0279250000044</v>
      </c>
      <c r="O106" s="750">
        <v>-16658.409999999996</v>
      </c>
      <c r="P106" s="750">
        <v>-7.5299999999999994</v>
      </c>
      <c r="Q106" s="750">
        <v>-5139.75</v>
      </c>
      <c r="R106" s="750">
        <v>-5424.6399999999994</v>
      </c>
      <c r="S106" s="750">
        <v>6328.75</v>
      </c>
      <c r="T106" s="750">
        <v>1622681.5974250825</v>
      </c>
    </row>
    <row r="107" spans="1:20">
      <c r="A107" s="160">
        <v>2161</v>
      </c>
      <c r="B107" s="133">
        <v>103249</v>
      </c>
      <c r="C107" s="133" t="s">
        <v>736</v>
      </c>
      <c r="D107" s="133" t="s">
        <v>737</v>
      </c>
      <c r="E107" s="159" t="s">
        <v>538</v>
      </c>
      <c r="F107" s="161" t="s">
        <v>535</v>
      </c>
      <c r="H107" s="750">
        <v>1653558.590009907</v>
      </c>
      <c r="I107" s="750">
        <v>0</v>
      </c>
      <c r="J107" s="750">
        <v>180027.27666666667</v>
      </c>
      <c r="K107" s="750">
        <v>150335</v>
      </c>
      <c r="L107" s="750">
        <v>87907.29</v>
      </c>
      <c r="M107" s="750">
        <v>0</v>
      </c>
      <c r="N107" s="750">
        <v>14025.865584999989</v>
      </c>
      <c r="O107" s="750">
        <v>-14190.660000000002</v>
      </c>
      <c r="P107" s="750">
        <v>-95.819999999999979</v>
      </c>
      <c r="Q107" s="750">
        <v>-5139.75</v>
      </c>
      <c r="R107" s="750">
        <v>-6259.2000000000016</v>
      </c>
      <c r="S107" s="750">
        <v>7255.75</v>
      </c>
      <c r="T107" s="750">
        <v>2067424.3422615738</v>
      </c>
    </row>
    <row r="108" spans="1:20">
      <c r="A108" s="160">
        <v>2160</v>
      </c>
      <c r="B108" s="133">
        <v>103248</v>
      </c>
      <c r="C108" s="133" t="s">
        <v>738</v>
      </c>
      <c r="D108" s="133" t="s">
        <v>739</v>
      </c>
      <c r="E108" s="159" t="s">
        <v>538</v>
      </c>
      <c r="F108" s="161" t="s">
        <v>535</v>
      </c>
      <c r="H108" s="750">
        <v>2095156.0606583583</v>
      </c>
      <c r="I108" s="750">
        <v>0</v>
      </c>
      <c r="J108" s="750">
        <v>115577.97766666667</v>
      </c>
      <c r="K108" s="750">
        <v>301085</v>
      </c>
      <c r="L108" s="750">
        <v>18639.93</v>
      </c>
      <c r="M108" s="750">
        <v>0</v>
      </c>
      <c r="N108" s="750">
        <v>11585.38922500001</v>
      </c>
      <c r="O108" s="750">
        <v>-26354.099999999995</v>
      </c>
      <c r="P108" s="750">
        <v>-110.99</v>
      </c>
      <c r="Q108" s="750">
        <v>-9471</v>
      </c>
      <c r="R108" s="750">
        <v>-8945.4399999999969</v>
      </c>
      <c r="S108" s="750">
        <v>7892.5</v>
      </c>
      <c r="T108" s="750">
        <v>2505055.3275500247</v>
      </c>
    </row>
    <row r="109" spans="1:20">
      <c r="A109" s="160">
        <v>2063</v>
      </c>
      <c r="B109" s="133">
        <v>103193</v>
      </c>
      <c r="C109" s="133" t="s">
        <v>740</v>
      </c>
      <c r="D109" s="133" t="s">
        <v>741</v>
      </c>
      <c r="E109" s="159" t="s">
        <v>538</v>
      </c>
      <c r="F109" s="161" t="s">
        <v>535</v>
      </c>
      <c r="H109" s="750">
        <v>2644149.3266077768</v>
      </c>
      <c r="I109" s="750">
        <v>0</v>
      </c>
      <c r="J109" s="750">
        <v>129546.46333333332</v>
      </c>
      <c r="K109" s="750">
        <v>377235</v>
      </c>
      <c r="L109" s="750">
        <v>37121.22</v>
      </c>
      <c r="M109" s="750">
        <v>0</v>
      </c>
      <c r="N109" s="750">
        <v>8178.3696550000604</v>
      </c>
      <c r="O109" s="750">
        <v>-60475.180000000015</v>
      </c>
      <c r="P109" s="750">
        <v>-144.30999999999997</v>
      </c>
      <c r="Q109" s="750">
        <v>-9471</v>
      </c>
      <c r="R109" s="750">
        <v>-9884.32</v>
      </c>
      <c r="S109" s="750">
        <v>8819.5</v>
      </c>
      <c r="T109" s="750">
        <v>3125075.0695961104</v>
      </c>
    </row>
    <row r="110" spans="1:20">
      <c r="A110" s="160">
        <v>1018</v>
      </c>
      <c r="B110" s="133">
        <v>103131</v>
      </c>
      <c r="C110" s="133" t="s">
        <v>742</v>
      </c>
      <c r="D110" s="133" t="s">
        <v>743</v>
      </c>
      <c r="E110" s="159" t="s">
        <v>534</v>
      </c>
      <c r="F110" s="161" t="s">
        <v>535</v>
      </c>
      <c r="H110" s="750">
        <v>1006892.4772311948</v>
      </c>
      <c r="I110" s="750">
        <v>0</v>
      </c>
      <c r="J110" s="750">
        <v>45376.599990766394</v>
      </c>
      <c r="K110" s="750">
        <v>0</v>
      </c>
      <c r="L110" s="750">
        <v>0</v>
      </c>
      <c r="M110" s="750">
        <v>0</v>
      </c>
      <c r="N110" s="750">
        <v>0</v>
      </c>
      <c r="O110" s="750">
        <v>0</v>
      </c>
      <c r="P110" s="750">
        <v>0</v>
      </c>
      <c r="Q110" s="750">
        <v>-3291.75</v>
      </c>
      <c r="R110" s="750">
        <v>0</v>
      </c>
      <c r="S110" s="750">
        <v>5235.25</v>
      </c>
      <c r="T110" s="750">
        <v>1054212.5772219612</v>
      </c>
    </row>
    <row r="111" spans="1:20">
      <c r="A111" s="160">
        <v>7033</v>
      </c>
      <c r="B111" s="133">
        <v>103613</v>
      </c>
      <c r="C111" s="133" t="s">
        <v>744</v>
      </c>
      <c r="D111" s="133" t="s">
        <v>745</v>
      </c>
      <c r="E111" s="159" t="s">
        <v>553</v>
      </c>
      <c r="F111" s="161" t="s">
        <v>535</v>
      </c>
      <c r="H111" s="750">
        <v>4350158.0323913042</v>
      </c>
      <c r="I111" s="750">
        <v>97706.482384016446</v>
      </c>
      <c r="J111" s="750">
        <v>4126673.9823998371</v>
      </c>
      <c r="K111" s="750">
        <v>211065</v>
      </c>
      <c r="L111" s="750">
        <v>1732.9299999999998</v>
      </c>
      <c r="M111" s="750">
        <v>0</v>
      </c>
      <c r="N111" s="750">
        <v>0</v>
      </c>
      <c r="O111" s="750">
        <v>0</v>
      </c>
      <c r="P111" s="750">
        <v>0</v>
      </c>
      <c r="Q111" s="750">
        <v>-9471</v>
      </c>
      <c r="R111" s="750">
        <v>0</v>
      </c>
      <c r="S111" s="750">
        <v>24503.13</v>
      </c>
      <c r="T111" s="750">
        <v>8802368.5571751576</v>
      </c>
    </row>
    <row r="112" spans="1:20">
      <c r="A112" s="160">
        <v>4177</v>
      </c>
      <c r="B112" s="133">
        <v>103498</v>
      </c>
      <c r="C112" s="133" t="s">
        <v>746</v>
      </c>
      <c r="D112" s="133" t="s">
        <v>747</v>
      </c>
      <c r="E112" s="159" t="s">
        <v>564</v>
      </c>
      <c r="F112" s="161" t="s">
        <v>535</v>
      </c>
      <c r="H112" s="750">
        <v>6927739.699103985</v>
      </c>
      <c r="I112" s="750">
        <v>0</v>
      </c>
      <c r="J112" s="750">
        <v>75662.222222222234</v>
      </c>
      <c r="K112" s="750">
        <v>473000</v>
      </c>
      <c r="L112" s="750">
        <v>4612.84</v>
      </c>
      <c r="M112" s="750">
        <v>0</v>
      </c>
      <c r="N112" s="750">
        <v>0</v>
      </c>
      <c r="O112" s="750">
        <v>-111907.33999999998</v>
      </c>
      <c r="P112" s="750">
        <v>0</v>
      </c>
      <c r="Q112" s="750">
        <v>-24312.75</v>
      </c>
      <c r="R112" s="750">
        <v>-16607.25</v>
      </c>
      <c r="S112" s="750">
        <v>17592.810000000001</v>
      </c>
      <c r="T112" s="750">
        <v>7345780.2313262066</v>
      </c>
    </row>
    <row r="113" spans="1:20">
      <c r="A113" s="160">
        <v>2169</v>
      </c>
      <c r="B113" s="133">
        <v>103252</v>
      </c>
      <c r="C113" s="133" t="s">
        <v>748</v>
      </c>
      <c r="D113" s="133" t="s">
        <v>749</v>
      </c>
      <c r="E113" s="159" t="s">
        <v>538</v>
      </c>
      <c r="F113" s="161" t="s">
        <v>535</v>
      </c>
      <c r="H113" s="750">
        <v>2532408.69463372</v>
      </c>
      <c r="I113" s="750">
        <v>0</v>
      </c>
      <c r="J113" s="750">
        <v>18411.786666666667</v>
      </c>
      <c r="K113" s="750">
        <v>369660</v>
      </c>
      <c r="L113" s="750">
        <v>30380.86</v>
      </c>
      <c r="M113" s="750">
        <v>0</v>
      </c>
      <c r="N113" s="750">
        <v>28289.53400500014</v>
      </c>
      <c r="O113" s="750">
        <v>-29679.819999999996</v>
      </c>
      <c r="P113" s="750">
        <v>-74.889999999999986</v>
      </c>
      <c r="Q113" s="750">
        <v>-9471</v>
      </c>
      <c r="R113" s="750">
        <v>-9493.119999999999</v>
      </c>
      <c r="S113" s="750">
        <v>8491</v>
      </c>
      <c r="T113" s="750">
        <v>2938923.0453053867</v>
      </c>
    </row>
    <row r="114" spans="1:20">
      <c r="A114" s="160">
        <v>2008</v>
      </c>
      <c r="B114" s="133">
        <v>103157</v>
      </c>
      <c r="C114" s="133" t="s">
        <v>750</v>
      </c>
      <c r="D114" s="133" t="s">
        <v>751</v>
      </c>
      <c r="E114" s="159" t="s">
        <v>538</v>
      </c>
      <c r="F114" s="161" t="s">
        <v>535</v>
      </c>
      <c r="H114" s="750">
        <v>2769081.664014861</v>
      </c>
      <c r="I114" s="750">
        <v>0</v>
      </c>
      <c r="J114" s="750">
        <v>105420.00333333333</v>
      </c>
      <c r="K114" s="750">
        <v>325725</v>
      </c>
      <c r="L114" s="750">
        <v>68059.22</v>
      </c>
      <c r="M114" s="750">
        <v>0</v>
      </c>
      <c r="N114" s="750">
        <v>14170.117740000011</v>
      </c>
      <c r="O114" s="750">
        <v>-28884.830000000005</v>
      </c>
      <c r="P114" s="750">
        <v>-100.55999999999999</v>
      </c>
      <c r="Q114" s="750">
        <v>-9471</v>
      </c>
      <c r="R114" s="750">
        <v>-11110.08</v>
      </c>
      <c r="S114" s="750">
        <v>9141.25</v>
      </c>
      <c r="T114" s="750">
        <v>3242030.7850881945</v>
      </c>
    </row>
    <row r="115" spans="1:20">
      <c r="A115" s="160">
        <v>1038</v>
      </c>
      <c r="B115" s="133">
        <v>103142</v>
      </c>
      <c r="C115" s="133" t="s">
        <v>752</v>
      </c>
      <c r="D115" s="133" t="s">
        <v>753</v>
      </c>
      <c r="E115" s="159" t="s">
        <v>534</v>
      </c>
      <c r="F115" s="161" t="s">
        <v>535</v>
      </c>
      <c r="H115" s="750">
        <v>1020510.2635632544</v>
      </c>
      <c r="I115" s="750">
        <v>0</v>
      </c>
      <c r="J115" s="750">
        <v>59356.456398891969</v>
      </c>
      <c r="K115" s="750">
        <v>0</v>
      </c>
      <c r="L115" s="750">
        <v>0</v>
      </c>
      <c r="M115" s="750">
        <v>0</v>
      </c>
      <c r="N115" s="750">
        <v>0</v>
      </c>
      <c r="O115" s="750">
        <v>0</v>
      </c>
      <c r="P115" s="750">
        <v>0</v>
      </c>
      <c r="Q115" s="750">
        <v>-3291.75</v>
      </c>
      <c r="R115" s="750">
        <v>0</v>
      </c>
      <c r="S115" s="750">
        <v>5154.25</v>
      </c>
      <c r="T115" s="750">
        <v>1081729.2199621464</v>
      </c>
    </row>
    <row r="116" spans="1:20">
      <c r="A116" s="160">
        <v>2174</v>
      </c>
      <c r="B116" s="133">
        <v>103255</v>
      </c>
      <c r="C116" s="133" t="s">
        <v>754</v>
      </c>
      <c r="D116" s="133" t="s">
        <v>755</v>
      </c>
      <c r="E116" s="159" t="s">
        <v>538</v>
      </c>
      <c r="F116" s="161" t="s">
        <v>535</v>
      </c>
      <c r="H116" s="750">
        <v>1839451.3131024095</v>
      </c>
      <c r="I116" s="750">
        <v>0</v>
      </c>
      <c r="J116" s="750">
        <v>178376.36</v>
      </c>
      <c r="K116" s="750">
        <v>193920</v>
      </c>
      <c r="L116" s="750">
        <v>103892</v>
      </c>
      <c r="M116" s="750">
        <v>0</v>
      </c>
      <c r="N116" s="750">
        <v>0</v>
      </c>
      <c r="O116" s="750">
        <v>-20532.460000000003</v>
      </c>
      <c r="P116" s="750">
        <v>0</v>
      </c>
      <c r="Q116" s="750">
        <v>-8100</v>
      </c>
      <c r="R116" s="750">
        <v>-7823.9999999999991</v>
      </c>
      <c r="S116" s="750">
        <v>7712.5</v>
      </c>
      <c r="T116" s="750">
        <v>2286895.7131024096</v>
      </c>
    </row>
    <row r="117" spans="1:20">
      <c r="A117" s="160">
        <v>2176</v>
      </c>
      <c r="B117" s="133">
        <v>103256</v>
      </c>
      <c r="C117" s="133" t="s">
        <v>756</v>
      </c>
      <c r="D117" s="133" t="s">
        <v>757</v>
      </c>
      <c r="E117" s="159" t="s">
        <v>538</v>
      </c>
      <c r="F117" s="161" t="s">
        <v>535</v>
      </c>
      <c r="H117" s="750">
        <v>4308223.2241659584</v>
      </c>
      <c r="I117" s="750">
        <v>0</v>
      </c>
      <c r="J117" s="750">
        <v>280593.67433333333</v>
      </c>
      <c r="K117" s="750">
        <v>536310</v>
      </c>
      <c r="L117" s="750">
        <v>86026.22</v>
      </c>
      <c r="M117" s="750">
        <v>0</v>
      </c>
      <c r="N117" s="750">
        <v>0</v>
      </c>
      <c r="O117" s="750">
        <v>-66127.06</v>
      </c>
      <c r="P117" s="750">
        <v>0</v>
      </c>
      <c r="Q117" s="750">
        <v>-18745.650000000001</v>
      </c>
      <c r="R117" s="750">
        <v>-16951.999999999996</v>
      </c>
      <c r="S117" s="750">
        <v>11825.5</v>
      </c>
      <c r="T117" s="750">
        <v>5121153.9084992912</v>
      </c>
    </row>
    <row r="118" spans="1:20">
      <c r="A118" s="160">
        <v>7047</v>
      </c>
      <c r="B118" s="133">
        <v>103623</v>
      </c>
      <c r="C118" s="133" t="s">
        <v>758</v>
      </c>
      <c r="D118" s="133" t="s">
        <v>759</v>
      </c>
      <c r="E118" s="159" t="s">
        <v>553</v>
      </c>
      <c r="F118" s="161" t="s">
        <v>535</v>
      </c>
      <c r="H118" s="750">
        <v>1267256.6567391304</v>
      </c>
      <c r="I118" s="750">
        <v>0</v>
      </c>
      <c r="J118" s="750">
        <v>1961182.2142001709</v>
      </c>
      <c r="K118" s="750">
        <v>90450</v>
      </c>
      <c r="L118" s="750">
        <v>20156</v>
      </c>
      <c r="M118" s="750">
        <v>0</v>
      </c>
      <c r="N118" s="750">
        <v>1740.4500000000003</v>
      </c>
      <c r="O118" s="750">
        <v>0</v>
      </c>
      <c r="P118" s="750">
        <v>-91.04000000000002</v>
      </c>
      <c r="Q118" s="750">
        <v>-3291.75</v>
      </c>
      <c r="R118" s="750">
        <v>0</v>
      </c>
      <c r="S118" s="750">
        <v>8809.3799999999992</v>
      </c>
      <c r="T118" s="750">
        <v>3346211.9109393014</v>
      </c>
    </row>
    <row r="119" spans="1:20">
      <c r="A119" s="160">
        <v>3410</v>
      </c>
      <c r="B119" s="133">
        <v>103478</v>
      </c>
      <c r="C119" s="133" t="s">
        <v>760</v>
      </c>
      <c r="D119" s="133" t="s">
        <v>761</v>
      </c>
      <c r="E119" s="159" t="s">
        <v>538</v>
      </c>
      <c r="F119" s="161" t="s">
        <v>535</v>
      </c>
      <c r="H119" s="750">
        <v>1260523.5734834147</v>
      </c>
      <c r="I119" s="750">
        <v>0</v>
      </c>
      <c r="J119" s="750">
        <v>182302.59</v>
      </c>
      <c r="K119" s="750">
        <v>90900</v>
      </c>
      <c r="L119" s="750">
        <v>57494.86</v>
      </c>
      <c r="M119" s="750">
        <v>0</v>
      </c>
      <c r="N119" s="750">
        <v>10688.063030000003</v>
      </c>
      <c r="O119" s="750">
        <v>-3921.9700000000007</v>
      </c>
      <c r="P119" s="750">
        <v>-190.04</v>
      </c>
      <c r="Q119" s="750">
        <v>-5139.75</v>
      </c>
      <c r="R119" s="750">
        <v>-5398.56</v>
      </c>
      <c r="S119" s="750">
        <v>0</v>
      </c>
      <c r="T119" s="750">
        <v>1587258.7665134149</v>
      </c>
    </row>
    <row r="120" spans="1:20">
      <c r="A120" s="160">
        <v>3381</v>
      </c>
      <c r="B120" s="133">
        <v>103466</v>
      </c>
      <c r="C120" s="133" t="s">
        <v>762</v>
      </c>
      <c r="D120" s="133" t="s">
        <v>763</v>
      </c>
      <c r="E120" s="159" t="s">
        <v>538</v>
      </c>
      <c r="F120" s="161" t="s">
        <v>535</v>
      </c>
      <c r="H120" s="750">
        <v>1207972.3556819907</v>
      </c>
      <c r="I120" s="750">
        <v>0</v>
      </c>
      <c r="J120" s="750">
        <v>58934.896666666667</v>
      </c>
      <c r="K120" s="750">
        <v>98025</v>
      </c>
      <c r="L120" s="750">
        <v>44289</v>
      </c>
      <c r="M120" s="750">
        <v>0</v>
      </c>
      <c r="N120" s="750">
        <v>0</v>
      </c>
      <c r="O120" s="750">
        <v>-3974.9800000000009</v>
      </c>
      <c r="P120" s="750">
        <v>0</v>
      </c>
      <c r="Q120" s="750">
        <v>0</v>
      </c>
      <c r="R120" s="750">
        <v>-5398.56</v>
      </c>
      <c r="S120" s="750">
        <v>0</v>
      </c>
      <c r="T120" s="750">
        <v>1399847.7123486574</v>
      </c>
    </row>
    <row r="121" spans="1:20">
      <c r="A121" s="160">
        <v>3335</v>
      </c>
      <c r="B121" s="133">
        <v>103434</v>
      </c>
      <c r="C121" s="133" t="s">
        <v>764</v>
      </c>
      <c r="D121" s="133" t="s">
        <v>765</v>
      </c>
      <c r="E121" s="159" t="s">
        <v>538</v>
      </c>
      <c r="F121" s="161" t="s">
        <v>535</v>
      </c>
      <c r="H121" s="750">
        <v>1415586.8513580486</v>
      </c>
      <c r="I121" s="750">
        <v>0</v>
      </c>
      <c r="J121" s="750">
        <v>92119.736666666664</v>
      </c>
      <c r="K121" s="750">
        <v>193920</v>
      </c>
      <c r="L121" s="750">
        <v>35725</v>
      </c>
      <c r="M121" s="750">
        <v>0</v>
      </c>
      <c r="N121" s="750">
        <v>2175.9499999999998</v>
      </c>
      <c r="O121" s="750">
        <v>-5246.9600000000019</v>
      </c>
      <c r="P121" s="750">
        <v>-134.31</v>
      </c>
      <c r="Q121" s="750">
        <v>-5139.75</v>
      </c>
      <c r="R121" s="750">
        <v>-5320.32</v>
      </c>
      <c r="S121" s="750">
        <v>0</v>
      </c>
      <c r="T121" s="750">
        <v>1723686.1980247151</v>
      </c>
    </row>
    <row r="122" spans="1:20">
      <c r="A122" s="160">
        <v>2183</v>
      </c>
      <c r="B122" s="133">
        <v>103261</v>
      </c>
      <c r="C122" s="133" t="s">
        <v>766</v>
      </c>
      <c r="D122" s="133" t="s">
        <v>767</v>
      </c>
      <c r="E122" s="159" t="s">
        <v>538</v>
      </c>
      <c r="F122" s="161" t="s">
        <v>535</v>
      </c>
      <c r="H122" s="750">
        <v>2467604.3765575271</v>
      </c>
      <c r="I122" s="750">
        <v>0</v>
      </c>
      <c r="J122" s="750">
        <v>311040.14999999997</v>
      </c>
      <c r="K122" s="750">
        <v>286335</v>
      </c>
      <c r="L122" s="750">
        <v>65267.25</v>
      </c>
      <c r="M122" s="750">
        <v>0</v>
      </c>
      <c r="N122" s="750">
        <v>0</v>
      </c>
      <c r="O122" s="750">
        <v>-37394.07</v>
      </c>
      <c r="P122" s="750">
        <v>0</v>
      </c>
      <c r="Q122" s="750">
        <v>-9471</v>
      </c>
      <c r="R122" s="750">
        <v>-8919.3599999999988</v>
      </c>
      <c r="S122" s="750">
        <v>8061.25</v>
      </c>
      <c r="T122" s="750">
        <v>3082523.5965575273</v>
      </c>
    </row>
    <row r="123" spans="1:20">
      <c r="A123" s="160">
        <v>3372</v>
      </c>
      <c r="B123" s="133">
        <v>103460</v>
      </c>
      <c r="C123" s="133" t="s">
        <v>768</v>
      </c>
      <c r="D123" s="133" t="s">
        <v>769</v>
      </c>
      <c r="E123" s="159" t="s">
        <v>538</v>
      </c>
      <c r="F123" s="161" t="s">
        <v>535</v>
      </c>
      <c r="H123" s="750">
        <v>3396447.9361720365</v>
      </c>
      <c r="I123" s="750">
        <v>0</v>
      </c>
      <c r="J123" s="750">
        <v>160300.96333333332</v>
      </c>
      <c r="K123" s="750">
        <v>390470</v>
      </c>
      <c r="L123" s="750">
        <v>86206.79</v>
      </c>
      <c r="M123" s="750">
        <v>0</v>
      </c>
      <c r="N123" s="750">
        <v>21197.136849999948</v>
      </c>
      <c r="O123" s="750">
        <v>-5776.9599999999991</v>
      </c>
      <c r="P123" s="750">
        <v>-114.78999999999999</v>
      </c>
      <c r="Q123" s="750">
        <v>0</v>
      </c>
      <c r="R123" s="750">
        <v>-14161.439999999995</v>
      </c>
      <c r="S123" s="750">
        <v>0</v>
      </c>
      <c r="T123" s="750">
        <v>4034569.6363553698</v>
      </c>
    </row>
    <row r="124" spans="1:20">
      <c r="A124" s="160">
        <v>3375</v>
      </c>
      <c r="B124" s="133">
        <v>103462</v>
      </c>
      <c r="C124" s="133" t="s">
        <v>770</v>
      </c>
      <c r="D124" s="133" t="s">
        <v>771</v>
      </c>
      <c r="E124" s="159" t="s">
        <v>538</v>
      </c>
      <c r="F124" s="161" t="s">
        <v>535</v>
      </c>
      <c r="H124" s="750">
        <v>2324198.3451499776</v>
      </c>
      <c r="I124" s="750">
        <v>0</v>
      </c>
      <c r="J124" s="750">
        <v>122142.99666666666</v>
      </c>
      <c r="K124" s="750">
        <v>215130</v>
      </c>
      <c r="L124" s="750">
        <v>74551.64</v>
      </c>
      <c r="M124" s="750">
        <v>0</v>
      </c>
      <c r="N124" s="750">
        <v>0</v>
      </c>
      <c r="O124" s="750">
        <v>-3789.4699999999989</v>
      </c>
      <c r="P124" s="750">
        <v>0</v>
      </c>
      <c r="Q124" s="750">
        <v>-9471</v>
      </c>
      <c r="R124" s="750">
        <v>-10666.72</v>
      </c>
      <c r="S124" s="750">
        <v>0</v>
      </c>
      <c r="T124" s="750">
        <v>2712095.7918166439</v>
      </c>
    </row>
    <row r="125" spans="1:20">
      <c r="A125" s="160">
        <v>3331</v>
      </c>
      <c r="B125" s="133">
        <v>103433</v>
      </c>
      <c r="C125" s="133" t="s">
        <v>772</v>
      </c>
      <c r="D125" s="133" t="s">
        <v>773</v>
      </c>
      <c r="E125" s="159" t="s">
        <v>538</v>
      </c>
      <c r="F125" s="161" t="s">
        <v>535</v>
      </c>
      <c r="H125" s="750">
        <v>1487791.2906678712</v>
      </c>
      <c r="I125" s="750">
        <v>0</v>
      </c>
      <c r="J125" s="750">
        <v>75077.396666666667</v>
      </c>
      <c r="K125" s="750">
        <v>116255</v>
      </c>
      <c r="L125" s="750">
        <v>48400.86</v>
      </c>
      <c r="M125" s="750">
        <v>0</v>
      </c>
      <c r="N125" s="750">
        <v>5593.6393449999832</v>
      </c>
      <c r="O125" s="750">
        <v>-8213.56</v>
      </c>
      <c r="P125" s="750">
        <v>-115.00000000000004</v>
      </c>
      <c r="Q125" s="750">
        <v>0</v>
      </c>
      <c r="R125" s="750">
        <v>-5502.880000000001</v>
      </c>
      <c r="S125" s="750">
        <v>0</v>
      </c>
      <c r="T125" s="750">
        <v>1719286.7466795382</v>
      </c>
    </row>
    <row r="126" spans="1:20">
      <c r="A126" s="160">
        <v>3386</v>
      </c>
      <c r="B126" s="133">
        <v>103470</v>
      </c>
      <c r="C126" s="133" t="s">
        <v>774</v>
      </c>
      <c r="D126" s="133" t="s">
        <v>775</v>
      </c>
      <c r="E126" s="159" t="s">
        <v>538</v>
      </c>
      <c r="F126" s="161" t="s">
        <v>535</v>
      </c>
      <c r="H126" s="750">
        <v>1560118.727338627</v>
      </c>
      <c r="I126" s="750">
        <v>0</v>
      </c>
      <c r="J126" s="750">
        <v>99878.787666666671</v>
      </c>
      <c r="K126" s="750">
        <v>183315</v>
      </c>
      <c r="L126" s="750">
        <v>32944</v>
      </c>
      <c r="M126" s="750">
        <v>0</v>
      </c>
      <c r="N126" s="750">
        <v>10537.364249999973</v>
      </c>
      <c r="O126" s="750">
        <v>-5511.96</v>
      </c>
      <c r="P126" s="750">
        <v>-175.46</v>
      </c>
      <c r="Q126" s="750">
        <v>-5139.75</v>
      </c>
      <c r="R126" s="750">
        <v>-5528.9600000000019</v>
      </c>
      <c r="S126" s="750">
        <v>0</v>
      </c>
      <c r="T126" s="750">
        <v>1870437.7492552937</v>
      </c>
    </row>
    <row r="127" spans="1:20">
      <c r="A127" s="160">
        <v>3363</v>
      </c>
      <c r="B127" s="133">
        <v>103455</v>
      </c>
      <c r="C127" s="133" t="s">
        <v>776</v>
      </c>
      <c r="D127" s="133" t="s">
        <v>777</v>
      </c>
      <c r="E127" s="159" t="s">
        <v>538</v>
      </c>
      <c r="F127" s="161" t="s">
        <v>535</v>
      </c>
      <c r="H127" s="750">
        <v>1732708.9769884539</v>
      </c>
      <c r="I127" s="750">
        <v>0</v>
      </c>
      <c r="J127" s="750">
        <v>62988.575333333341</v>
      </c>
      <c r="K127" s="750">
        <v>148070</v>
      </c>
      <c r="L127" s="750">
        <v>55511</v>
      </c>
      <c r="M127" s="750">
        <v>0</v>
      </c>
      <c r="N127" s="750">
        <v>0</v>
      </c>
      <c r="O127" s="750">
        <v>-3073.98</v>
      </c>
      <c r="P127" s="750">
        <v>0</v>
      </c>
      <c r="Q127" s="750">
        <v>-5139.75</v>
      </c>
      <c r="R127" s="750">
        <v>-7589.2799999999979</v>
      </c>
      <c r="S127" s="750">
        <v>0</v>
      </c>
      <c r="T127" s="750">
        <v>1983475.5423217872</v>
      </c>
    </row>
    <row r="128" spans="1:20">
      <c r="A128" s="160">
        <v>3355</v>
      </c>
      <c r="B128" s="133">
        <v>103447</v>
      </c>
      <c r="C128" s="133" t="s">
        <v>778</v>
      </c>
      <c r="D128" s="133" t="s">
        <v>779</v>
      </c>
      <c r="E128" s="159" t="s">
        <v>538</v>
      </c>
      <c r="F128" s="161" t="s">
        <v>535</v>
      </c>
      <c r="H128" s="750">
        <v>2131260.1187073169</v>
      </c>
      <c r="I128" s="750">
        <v>0</v>
      </c>
      <c r="J128" s="750">
        <v>144800.67333333331</v>
      </c>
      <c r="K128" s="750">
        <v>141610</v>
      </c>
      <c r="L128" s="750">
        <v>76594.289999999994</v>
      </c>
      <c r="M128" s="750">
        <v>0</v>
      </c>
      <c r="N128" s="750">
        <v>17802.486860000055</v>
      </c>
      <c r="O128" s="750">
        <v>-6200.9600000000019</v>
      </c>
      <c r="P128" s="750">
        <v>-147.57000000000002</v>
      </c>
      <c r="Q128" s="750">
        <v>-9471</v>
      </c>
      <c r="R128" s="750">
        <v>-10171.200000000003</v>
      </c>
      <c r="S128" s="750">
        <v>0</v>
      </c>
      <c r="T128" s="750">
        <v>2486076.8389006504</v>
      </c>
    </row>
    <row r="129" spans="1:20">
      <c r="A129" s="160">
        <v>3367</v>
      </c>
      <c r="B129" s="133">
        <v>103458</v>
      </c>
      <c r="C129" s="133" t="s">
        <v>780</v>
      </c>
      <c r="D129" s="133" t="s">
        <v>781</v>
      </c>
      <c r="E129" s="159" t="s">
        <v>538</v>
      </c>
      <c r="F129" s="161" t="s">
        <v>535</v>
      </c>
      <c r="H129" s="750">
        <v>1412557.9450326143</v>
      </c>
      <c r="I129" s="750">
        <v>0</v>
      </c>
      <c r="J129" s="750">
        <v>42204.123333333337</v>
      </c>
      <c r="K129" s="750">
        <v>148070</v>
      </c>
      <c r="L129" s="750">
        <v>40733.93</v>
      </c>
      <c r="M129" s="750">
        <v>0</v>
      </c>
      <c r="N129" s="750">
        <v>4294.4011100000253</v>
      </c>
      <c r="O129" s="750">
        <v>-3141.8199999999993</v>
      </c>
      <c r="P129" s="750">
        <v>-111.30999999999999</v>
      </c>
      <c r="Q129" s="750">
        <v>-5139.75</v>
      </c>
      <c r="R129" s="750">
        <v>-5398.56</v>
      </c>
      <c r="S129" s="750">
        <v>0</v>
      </c>
      <c r="T129" s="750">
        <v>1634068.9594759473</v>
      </c>
    </row>
    <row r="130" spans="1:20">
      <c r="A130" s="160">
        <v>3010</v>
      </c>
      <c r="B130" s="133">
        <v>103401</v>
      </c>
      <c r="C130" s="133" t="s">
        <v>782</v>
      </c>
      <c r="D130" s="133" t="s">
        <v>783</v>
      </c>
      <c r="E130" s="159" t="s">
        <v>538</v>
      </c>
      <c r="F130" s="161" t="s">
        <v>535</v>
      </c>
      <c r="H130" s="750">
        <v>2658314.0306348447</v>
      </c>
      <c r="I130" s="750">
        <v>0</v>
      </c>
      <c r="J130" s="750">
        <v>188087.33666666664</v>
      </c>
      <c r="K130" s="750">
        <v>280225</v>
      </c>
      <c r="L130" s="750">
        <v>69211.929999999993</v>
      </c>
      <c r="M130" s="750">
        <v>0</v>
      </c>
      <c r="N130" s="750">
        <v>27838.200374999971</v>
      </c>
      <c r="O130" s="750">
        <v>-15367.06</v>
      </c>
      <c r="P130" s="750">
        <v>-42.41</v>
      </c>
      <c r="Q130" s="750">
        <v>-9471</v>
      </c>
      <c r="R130" s="750">
        <v>-10953.599999999997</v>
      </c>
      <c r="S130" s="750">
        <v>8635</v>
      </c>
      <c r="T130" s="750">
        <v>3196477.427676511</v>
      </c>
    </row>
    <row r="131" spans="1:20">
      <c r="A131" s="160">
        <v>4625</v>
      </c>
      <c r="B131" s="133">
        <v>103534</v>
      </c>
      <c r="C131" s="133" t="s">
        <v>784</v>
      </c>
      <c r="D131" s="133" t="s">
        <v>785</v>
      </c>
      <c r="E131" s="159" t="s">
        <v>564</v>
      </c>
      <c r="F131" s="161" t="s">
        <v>535</v>
      </c>
      <c r="H131" s="750">
        <v>5331904.2624883046</v>
      </c>
      <c r="I131" s="750">
        <v>0</v>
      </c>
      <c r="J131" s="750">
        <v>101819.14888888889</v>
      </c>
      <c r="K131" s="750">
        <v>391300</v>
      </c>
      <c r="L131" s="750">
        <v>6799.5</v>
      </c>
      <c r="M131" s="750">
        <v>0</v>
      </c>
      <c r="N131" s="750">
        <v>17870.26481499997</v>
      </c>
      <c r="O131" s="750">
        <v>-13885.909999999998</v>
      </c>
      <c r="P131" s="750">
        <v>-173.56</v>
      </c>
      <c r="Q131" s="750">
        <v>0</v>
      </c>
      <c r="R131" s="750">
        <v>-12601.38</v>
      </c>
      <c r="S131" s="750">
        <v>0</v>
      </c>
      <c r="T131" s="750">
        <v>5823032.3261921937</v>
      </c>
    </row>
    <row r="132" spans="1:20">
      <c r="A132" s="160">
        <v>3377</v>
      </c>
      <c r="B132" s="133">
        <v>103463</v>
      </c>
      <c r="C132" s="133" t="s">
        <v>786</v>
      </c>
      <c r="D132" s="133" t="s">
        <v>787</v>
      </c>
      <c r="E132" s="159" t="s">
        <v>538</v>
      </c>
      <c r="F132" s="161" t="s">
        <v>535</v>
      </c>
      <c r="H132" s="750">
        <v>1410244.4078671401</v>
      </c>
      <c r="I132" s="750">
        <v>0</v>
      </c>
      <c r="J132" s="750">
        <v>62078.559999999998</v>
      </c>
      <c r="K132" s="750">
        <v>192005</v>
      </c>
      <c r="L132" s="750">
        <v>28457.64</v>
      </c>
      <c r="M132" s="750">
        <v>0</v>
      </c>
      <c r="N132" s="750">
        <v>0</v>
      </c>
      <c r="O132" s="750">
        <v>-4080.9700000000007</v>
      </c>
      <c r="P132" s="750">
        <v>0</v>
      </c>
      <c r="Q132" s="750">
        <v>0</v>
      </c>
      <c r="R132" s="750">
        <v>-5137.7599999999993</v>
      </c>
      <c r="S132" s="750">
        <v>0</v>
      </c>
      <c r="T132" s="750">
        <v>1683566.8778671401</v>
      </c>
    </row>
    <row r="133" spans="1:20">
      <c r="A133" s="160">
        <v>3371</v>
      </c>
      <c r="B133" s="133">
        <v>103459</v>
      </c>
      <c r="C133" s="133" t="s">
        <v>788</v>
      </c>
      <c r="D133" s="133" t="s">
        <v>789</v>
      </c>
      <c r="E133" s="159" t="s">
        <v>538</v>
      </c>
      <c r="F133" s="161" t="s">
        <v>535</v>
      </c>
      <c r="H133" s="750">
        <v>1535064.6820762265</v>
      </c>
      <c r="I133" s="750">
        <v>0</v>
      </c>
      <c r="J133" s="750">
        <v>95484.466666666645</v>
      </c>
      <c r="K133" s="750">
        <v>99890</v>
      </c>
      <c r="L133" s="750">
        <v>105138.93</v>
      </c>
      <c r="M133" s="750">
        <v>0</v>
      </c>
      <c r="N133" s="750">
        <v>0</v>
      </c>
      <c r="O133" s="750">
        <v>-18761.88</v>
      </c>
      <c r="P133" s="750">
        <v>0</v>
      </c>
      <c r="Q133" s="750">
        <v>-7236</v>
      </c>
      <c r="R133" s="750">
        <v>-6989.4399999999978</v>
      </c>
      <c r="S133" s="750">
        <v>0</v>
      </c>
      <c r="T133" s="750">
        <v>1802590.7587428931</v>
      </c>
    </row>
    <row r="134" spans="1:20">
      <c r="A134" s="160">
        <v>3307</v>
      </c>
      <c r="B134" s="133">
        <v>103416</v>
      </c>
      <c r="C134" s="133" t="s">
        <v>790</v>
      </c>
      <c r="D134" s="133" t="s">
        <v>791</v>
      </c>
      <c r="E134" s="159" t="s">
        <v>538</v>
      </c>
      <c r="F134" s="161" t="s">
        <v>535</v>
      </c>
      <c r="H134" s="750">
        <v>1936863.692483301</v>
      </c>
      <c r="I134" s="750">
        <v>0</v>
      </c>
      <c r="J134" s="750">
        <v>93508</v>
      </c>
      <c r="K134" s="750">
        <v>147455</v>
      </c>
      <c r="L134" s="750">
        <v>18788.93</v>
      </c>
      <c r="M134" s="750">
        <v>0</v>
      </c>
      <c r="N134" s="750">
        <v>14369.972</v>
      </c>
      <c r="O134" s="750">
        <v>-4398.9799999999987</v>
      </c>
      <c r="P134" s="750">
        <v>-121.84000000000002</v>
      </c>
      <c r="Q134" s="750">
        <v>-9666</v>
      </c>
      <c r="R134" s="750">
        <v>-9336.64</v>
      </c>
      <c r="S134" s="750">
        <v>0</v>
      </c>
      <c r="T134" s="750">
        <v>2187462.1344833015</v>
      </c>
    </row>
    <row r="135" spans="1:20">
      <c r="A135" s="160">
        <v>3361</v>
      </c>
      <c r="B135" s="133">
        <v>103453</v>
      </c>
      <c r="C135" s="133" t="s">
        <v>792</v>
      </c>
      <c r="D135" s="133" t="s">
        <v>793</v>
      </c>
      <c r="E135" s="159" t="s">
        <v>538</v>
      </c>
      <c r="F135" s="161" t="s">
        <v>535</v>
      </c>
      <c r="H135" s="750">
        <v>2073909.0420830147</v>
      </c>
      <c r="I135" s="750">
        <v>0</v>
      </c>
      <c r="J135" s="750">
        <v>42718.333333333328</v>
      </c>
      <c r="K135" s="750">
        <v>243915</v>
      </c>
      <c r="L135" s="750">
        <v>54520.86</v>
      </c>
      <c r="M135" s="750">
        <v>0</v>
      </c>
      <c r="N135" s="750">
        <v>7115.8404300000248</v>
      </c>
      <c r="O135" s="750">
        <v>-6942.96</v>
      </c>
      <c r="P135" s="750">
        <v>-153.73000000000002</v>
      </c>
      <c r="Q135" s="750">
        <v>-9471</v>
      </c>
      <c r="R135" s="750">
        <v>-8580.32</v>
      </c>
      <c r="S135" s="750">
        <v>0</v>
      </c>
      <c r="T135" s="750">
        <v>2397031.0658463482</v>
      </c>
    </row>
    <row r="136" spans="1:20">
      <c r="A136" s="160">
        <v>3344</v>
      </c>
      <c r="B136" s="133">
        <v>103438</v>
      </c>
      <c r="C136" s="133" t="s">
        <v>794</v>
      </c>
      <c r="D136" s="133" t="s">
        <v>795</v>
      </c>
      <c r="E136" s="159" t="s">
        <v>538</v>
      </c>
      <c r="F136" s="161" t="s">
        <v>535</v>
      </c>
      <c r="H136" s="750">
        <v>2212932.9329626816</v>
      </c>
      <c r="I136" s="750">
        <v>0</v>
      </c>
      <c r="J136" s="750">
        <v>105983.66666666667</v>
      </c>
      <c r="K136" s="750">
        <v>123715</v>
      </c>
      <c r="L136" s="750">
        <v>98978.64</v>
      </c>
      <c r="M136" s="750">
        <v>0</v>
      </c>
      <c r="N136" s="750">
        <v>9784.8848399999479</v>
      </c>
      <c r="O136" s="750">
        <v>-3047.4799999999996</v>
      </c>
      <c r="P136" s="750">
        <v>-118.13</v>
      </c>
      <c r="Q136" s="750">
        <v>-9471</v>
      </c>
      <c r="R136" s="750">
        <v>-10953.599999999997</v>
      </c>
      <c r="S136" s="750">
        <v>0</v>
      </c>
      <c r="T136" s="750">
        <v>2527804.9144693483</v>
      </c>
    </row>
    <row r="137" spans="1:20">
      <c r="A137" s="160">
        <v>3025</v>
      </c>
      <c r="B137" s="133">
        <v>103410</v>
      </c>
      <c r="C137" s="133" t="s">
        <v>796</v>
      </c>
      <c r="D137" s="133" t="s">
        <v>797</v>
      </c>
      <c r="E137" s="159" t="s">
        <v>538</v>
      </c>
      <c r="F137" s="161" t="s">
        <v>535</v>
      </c>
      <c r="H137" s="750">
        <v>2276074.8299793173</v>
      </c>
      <c r="I137" s="750">
        <v>0</v>
      </c>
      <c r="J137" s="750">
        <v>275566.94433333329</v>
      </c>
      <c r="K137" s="750">
        <v>161970</v>
      </c>
      <c r="L137" s="750">
        <v>88269.86</v>
      </c>
      <c r="M137" s="750">
        <v>0</v>
      </c>
      <c r="N137" s="750">
        <v>9300.1064999999999</v>
      </c>
      <c r="O137" s="750">
        <v>-5126.119999999999</v>
      </c>
      <c r="P137" s="750">
        <v>-82.579999999999984</v>
      </c>
      <c r="Q137" s="750">
        <v>-9471</v>
      </c>
      <c r="R137" s="750">
        <v>-10718.88</v>
      </c>
      <c r="S137" s="750">
        <v>0</v>
      </c>
      <c r="T137" s="750">
        <v>2785783.1608126508</v>
      </c>
    </row>
    <row r="138" spans="1:20">
      <c r="A138" s="160">
        <v>3016</v>
      </c>
      <c r="B138" s="133">
        <v>103404</v>
      </c>
      <c r="C138" s="133" t="s">
        <v>798</v>
      </c>
      <c r="D138" s="133" t="s">
        <v>799</v>
      </c>
      <c r="E138" s="159" t="s">
        <v>538</v>
      </c>
      <c r="F138" s="161" t="s">
        <v>535</v>
      </c>
      <c r="H138" s="750">
        <v>1480120.8025428576</v>
      </c>
      <c r="I138" s="750">
        <v>0</v>
      </c>
      <c r="J138" s="750">
        <v>135682.33666666667</v>
      </c>
      <c r="K138" s="750">
        <v>204525</v>
      </c>
      <c r="L138" s="750">
        <v>30135</v>
      </c>
      <c r="M138" s="750">
        <v>0</v>
      </c>
      <c r="N138" s="750">
        <v>0</v>
      </c>
      <c r="O138" s="750">
        <v>-15625.330000000004</v>
      </c>
      <c r="P138" s="750">
        <v>0</v>
      </c>
      <c r="Q138" s="750">
        <v>-5139.75</v>
      </c>
      <c r="R138" s="750">
        <v>-5320.32</v>
      </c>
      <c r="S138" s="750">
        <v>6362.5</v>
      </c>
      <c r="T138" s="750">
        <v>1830740.2392095241</v>
      </c>
    </row>
    <row r="139" spans="1:20">
      <c r="A139" s="160">
        <v>4606</v>
      </c>
      <c r="B139" s="133">
        <v>103531</v>
      </c>
      <c r="C139" s="133" t="s">
        <v>800</v>
      </c>
      <c r="D139" s="133" t="s">
        <v>801</v>
      </c>
      <c r="E139" s="159" t="s">
        <v>564</v>
      </c>
      <c r="F139" s="161" t="s">
        <v>535</v>
      </c>
      <c r="H139" s="750">
        <v>6229674.320727163</v>
      </c>
      <c r="I139" s="750">
        <v>1331388.9733333334</v>
      </c>
      <c r="J139" s="750">
        <v>75863</v>
      </c>
      <c r="K139" s="750">
        <v>284370</v>
      </c>
      <c r="L139" s="750">
        <v>15918.52</v>
      </c>
      <c r="M139" s="750">
        <v>0</v>
      </c>
      <c r="N139" s="750">
        <v>0</v>
      </c>
      <c r="O139" s="750">
        <v>-14945.910000000002</v>
      </c>
      <c r="P139" s="750">
        <v>0</v>
      </c>
      <c r="Q139" s="750">
        <v>-24312.75</v>
      </c>
      <c r="R139" s="750">
        <v>-17029.980000000003</v>
      </c>
      <c r="S139" s="750">
        <v>0</v>
      </c>
      <c r="T139" s="750">
        <v>7880926.1740604956</v>
      </c>
    </row>
    <row r="140" spans="1:20">
      <c r="A140" s="160">
        <v>3428</v>
      </c>
      <c r="B140" s="133">
        <v>134476</v>
      </c>
      <c r="C140" s="133" t="s">
        <v>802</v>
      </c>
      <c r="D140" s="133" t="s">
        <v>803</v>
      </c>
      <c r="E140" s="159" t="s">
        <v>538</v>
      </c>
      <c r="F140" s="161" t="s">
        <v>535</v>
      </c>
      <c r="H140" s="750">
        <v>2394551.2330353311</v>
      </c>
      <c r="I140" s="750">
        <v>0</v>
      </c>
      <c r="J140" s="750">
        <v>197963.82666666666</v>
      </c>
      <c r="K140" s="750">
        <v>128690</v>
      </c>
      <c r="L140" s="750">
        <v>81892</v>
      </c>
      <c r="M140" s="750">
        <v>0</v>
      </c>
      <c r="N140" s="750">
        <v>0</v>
      </c>
      <c r="O140" s="750">
        <v>-44784.73000000001</v>
      </c>
      <c r="P140" s="750">
        <v>0</v>
      </c>
      <c r="Q140" s="750">
        <v>-9471</v>
      </c>
      <c r="R140" s="750">
        <v>-10744.96</v>
      </c>
      <c r="S140" s="750">
        <v>0</v>
      </c>
      <c r="T140" s="750">
        <v>2738096.3697019978</v>
      </c>
    </row>
    <row r="141" spans="1:20">
      <c r="A141" s="160">
        <v>3019</v>
      </c>
      <c r="B141" s="133">
        <v>103406</v>
      </c>
      <c r="C141" s="133" t="s">
        <v>804</v>
      </c>
      <c r="D141" s="133" t="s">
        <v>805</v>
      </c>
      <c r="E141" s="159" t="s">
        <v>538</v>
      </c>
      <c r="F141" s="161" t="s">
        <v>535</v>
      </c>
      <c r="H141" s="750">
        <v>2593925.4865974844</v>
      </c>
      <c r="I141" s="750">
        <v>0</v>
      </c>
      <c r="J141" s="750">
        <v>279644.09999999998</v>
      </c>
      <c r="K141" s="750">
        <v>325325</v>
      </c>
      <c r="L141" s="750">
        <v>59262</v>
      </c>
      <c r="M141" s="750">
        <v>0</v>
      </c>
      <c r="N141" s="750">
        <v>21166.239260000002</v>
      </c>
      <c r="O141" s="750">
        <v>-27824.829999999998</v>
      </c>
      <c r="P141" s="750">
        <v>-86.81</v>
      </c>
      <c r="Q141" s="750">
        <v>-9471</v>
      </c>
      <c r="R141" s="750">
        <v>-10614.560000000003</v>
      </c>
      <c r="S141" s="750">
        <v>8612.5</v>
      </c>
      <c r="T141" s="750">
        <v>3239938.1258574845</v>
      </c>
    </row>
    <row r="142" spans="1:20">
      <c r="A142" s="160">
        <v>2178</v>
      </c>
      <c r="B142" s="133">
        <v>103257</v>
      </c>
      <c r="C142" s="133" t="s">
        <v>806</v>
      </c>
      <c r="D142" s="133" t="s">
        <v>807</v>
      </c>
      <c r="E142" s="159" t="s">
        <v>538</v>
      </c>
      <c r="F142" s="161" t="s">
        <v>535</v>
      </c>
      <c r="H142" s="750">
        <v>1467374.320300546</v>
      </c>
      <c r="I142" s="750">
        <v>0</v>
      </c>
      <c r="J142" s="750">
        <v>8306</v>
      </c>
      <c r="K142" s="750">
        <v>161620</v>
      </c>
      <c r="L142" s="750">
        <v>36016</v>
      </c>
      <c r="M142" s="750">
        <v>0</v>
      </c>
      <c r="N142" s="750">
        <v>6005.2388100000126</v>
      </c>
      <c r="O142" s="750">
        <v>-16400.14</v>
      </c>
      <c r="P142" s="750">
        <v>-13.91</v>
      </c>
      <c r="Q142" s="750">
        <v>-5139.75</v>
      </c>
      <c r="R142" s="750">
        <v>-5372.48</v>
      </c>
      <c r="S142" s="750">
        <v>6518.2</v>
      </c>
      <c r="T142" s="750">
        <v>1658913.4791105462</v>
      </c>
    </row>
    <row r="143" spans="1:20">
      <c r="A143" s="160">
        <v>2184</v>
      </c>
      <c r="B143" s="133">
        <v>103262</v>
      </c>
      <c r="C143" s="133" t="s">
        <v>808</v>
      </c>
      <c r="D143" s="133" t="s">
        <v>809</v>
      </c>
      <c r="E143" s="159" t="s">
        <v>538</v>
      </c>
      <c r="F143" s="161" t="s">
        <v>535</v>
      </c>
      <c r="H143" s="750">
        <v>2471070.6835654657</v>
      </c>
      <c r="I143" s="750">
        <v>0</v>
      </c>
      <c r="J143" s="750">
        <v>189380.39</v>
      </c>
      <c r="K143" s="750">
        <v>279075</v>
      </c>
      <c r="L143" s="750">
        <v>68333.290000000008</v>
      </c>
      <c r="M143" s="750">
        <v>0</v>
      </c>
      <c r="N143" s="750">
        <v>32172.838755000041</v>
      </c>
      <c r="O143" s="750">
        <v>-30739.81</v>
      </c>
      <c r="P143" s="750">
        <v>-187.25</v>
      </c>
      <c r="Q143" s="750">
        <v>-9471</v>
      </c>
      <c r="R143" s="750">
        <v>-10797.12</v>
      </c>
      <c r="S143" s="750">
        <v>8839.75</v>
      </c>
      <c r="T143" s="750">
        <v>2997676.7723204657</v>
      </c>
    </row>
    <row r="144" spans="1:20">
      <c r="A144" s="160">
        <v>2190</v>
      </c>
      <c r="B144" s="133">
        <v>103266</v>
      </c>
      <c r="C144" s="133" t="s">
        <v>810</v>
      </c>
      <c r="D144" s="133" t="s">
        <v>811</v>
      </c>
      <c r="E144" s="159" t="s">
        <v>538</v>
      </c>
      <c r="F144" s="161" t="s">
        <v>535</v>
      </c>
      <c r="H144" s="750">
        <v>1066974.7467947369</v>
      </c>
      <c r="I144" s="750">
        <v>0</v>
      </c>
      <c r="J144" s="750">
        <v>56920.460000000006</v>
      </c>
      <c r="K144" s="750">
        <v>150700</v>
      </c>
      <c r="L144" s="750">
        <v>32292</v>
      </c>
      <c r="M144" s="750">
        <v>0</v>
      </c>
      <c r="N144" s="750">
        <v>1772.936639999989</v>
      </c>
      <c r="O144" s="750">
        <v>-21694.67</v>
      </c>
      <c r="P144" s="750">
        <v>-22.19</v>
      </c>
      <c r="Q144" s="750">
        <v>-5139.75</v>
      </c>
      <c r="R144" s="750">
        <v>-4068.4799999999996</v>
      </c>
      <c r="S144" s="750">
        <v>5923.75</v>
      </c>
      <c r="T144" s="750">
        <v>1283658.803434737</v>
      </c>
    </row>
    <row r="145" spans="1:20">
      <c r="A145" s="160">
        <v>7035</v>
      </c>
      <c r="B145" s="133">
        <v>103615</v>
      </c>
      <c r="C145" s="133" t="s">
        <v>812</v>
      </c>
      <c r="D145" s="133" t="s">
        <v>813</v>
      </c>
      <c r="E145" s="159" t="s">
        <v>553</v>
      </c>
      <c r="F145" s="161" t="s">
        <v>535</v>
      </c>
      <c r="H145" s="750">
        <v>1651958.7521739129</v>
      </c>
      <c r="I145" s="750">
        <v>0</v>
      </c>
      <c r="J145" s="750">
        <v>2188864.4310491639</v>
      </c>
      <c r="K145" s="750">
        <v>133635</v>
      </c>
      <c r="L145" s="750">
        <v>25299.09</v>
      </c>
      <c r="M145" s="750">
        <v>0</v>
      </c>
      <c r="N145" s="750">
        <v>0</v>
      </c>
      <c r="O145" s="750">
        <v>0</v>
      </c>
      <c r="P145" s="750">
        <v>0</v>
      </c>
      <c r="Q145" s="750">
        <v>-5139.75</v>
      </c>
      <c r="R145" s="750">
        <v>0</v>
      </c>
      <c r="S145" s="750">
        <v>11644.38</v>
      </c>
      <c r="T145" s="750">
        <v>4006261.9032230768</v>
      </c>
    </row>
    <row r="146" spans="1:20">
      <c r="A146" s="160">
        <v>3323</v>
      </c>
      <c r="B146" s="133">
        <v>103427</v>
      </c>
      <c r="C146" s="133" t="s">
        <v>814</v>
      </c>
      <c r="D146" s="133" t="s">
        <v>815</v>
      </c>
      <c r="E146" s="159" t="s">
        <v>538</v>
      </c>
      <c r="F146" s="161" t="s">
        <v>583</v>
      </c>
      <c r="H146" s="750">
        <v>515335.39783901186</v>
      </c>
      <c r="I146" s="750">
        <v>0</v>
      </c>
      <c r="J146" s="750">
        <v>33020.35</v>
      </c>
      <c r="K146" s="750">
        <v>53802.080000000002</v>
      </c>
      <c r="L146" s="750">
        <v>23049</v>
      </c>
      <c r="M146" s="750">
        <v>0</v>
      </c>
      <c r="N146" s="750">
        <v>0</v>
      </c>
      <c r="O146" s="750">
        <v>-3285.9800000000005</v>
      </c>
      <c r="P146" s="750">
        <v>0</v>
      </c>
      <c r="Q146" s="750">
        <v>-1371.5625</v>
      </c>
      <c r="R146" s="750">
        <v>-4668.32</v>
      </c>
      <c r="S146" s="750">
        <v>0</v>
      </c>
      <c r="T146" s="750">
        <v>615880.96533901186</v>
      </c>
    </row>
    <row r="147" spans="1:20">
      <c r="A147" s="160">
        <v>7045</v>
      </c>
      <c r="B147" s="133">
        <v>103622</v>
      </c>
      <c r="C147" s="133" t="s">
        <v>816</v>
      </c>
      <c r="D147" s="133" t="s">
        <v>817</v>
      </c>
      <c r="E147" s="159" t="s">
        <v>553</v>
      </c>
      <c r="F147" s="161" t="s">
        <v>535</v>
      </c>
      <c r="H147" s="750">
        <v>2973525.7439130433</v>
      </c>
      <c r="I147" s="750">
        <v>0</v>
      </c>
      <c r="J147" s="750">
        <v>4317979.3027119478</v>
      </c>
      <c r="K147" s="750">
        <v>189110</v>
      </c>
      <c r="L147" s="750">
        <v>41157</v>
      </c>
      <c r="M147" s="750">
        <v>0</v>
      </c>
      <c r="N147" s="750">
        <v>60081.397504999986</v>
      </c>
      <c r="O147" s="750">
        <v>0</v>
      </c>
      <c r="P147" s="750">
        <v>-103.51000000000002</v>
      </c>
      <c r="Q147" s="750">
        <v>-5139.75</v>
      </c>
      <c r="R147" s="750">
        <v>0</v>
      </c>
      <c r="S147" s="750">
        <v>18175</v>
      </c>
      <c r="T147" s="750">
        <v>7594785.1841299916</v>
      </c>
    </row>
    <row r="148" spans="1:20">
      <c r="A148" s="160">
        <v>2192</v>
      </c>
      <c r="B148" s="133">
        <v>103268</v>
      </c>
      <c r="C148" s="133" t="s">
        <v>818</v>
      </c>
      <c r="D148" s="133" t="s">
        <v>819</v>
      </c>
      <c r="E148" s="159" t="s">
        <v>538</v>
      </c>
      <c r="F148" s="161" t="s">
        <v>535</v>
      </c>
      <c r="H148" s="750">
        <v>2897422.8692380865</v>
      </c>
      <c r="I148" s="750">
        <v>0</v>
      </c>
      <c r="J148" s="750">
        <v>78998.266666666663</v>
      </c>
      <c r="K148" s="750">
        <v>386325</v>
      </c>
      <c r="L148" s="750">
        <v>19052</v>
      </c>
      <c r="M148" s="750">
        <v>0</v>
      </c>
      <c r="N148" s="750">
        <v>15280.429709999848</v>
      </c>
      <c r="O148" s="750">
        <v>-33654.799999999996</v>
      </c>
      <c r="P148" s="750">
        <v>-58.39</v>
      </c>
      <c r="Q148" s="750">
        <v>-12566.4</v>
      </c>
      <c r="R148" s="750">
        <v>-12518.400000000003</v>
      </c>
      <c r="S148" s="750">
        <v>9400</v>
      </c>
      <c r="T148" s="750">
        <v>3347680.5756147532</v>
      </c>
    </row>
    <row r="149" spans="1:20">
      <c r="A149" s="160">
        <v>7014</v>
      </c>
      <c r="B149" s="133">
        <v>103605</v>
      </c>
      <c r="C149" s="133" t="s">
        <v>820</v>
      </c>
      <c r="D149" s="133" t="s">
        <v>821</v>
      </c>
      <c r="E149" s="159" t="s">
        <v>553</v>
      </c>
      <c r="F149" s="161" t="s">
        <v>535</v>
      </c>
      <c r="H149" s="750">
        <v>3194793.5065217391</v>
      </c>
      <c r="I149" s="750">
        <v>28140.096738792461</v>
      </c>
      <c r="J149" s="750">
        <v>5634089.2318736725</v>
      </c>
      <c r="K149" s="750">
        <v>181110</v>
      </c>
      <c r="L149" s="750">
        <v>37431.64</v>
      </c>
      <c r="M149" s="750">
        <v>0</v>
      </c>
      <c r="N149" s="750">
        <v>0</v>
      </c>
      <c r="O149" s="750">
        <v>0</v>
      </c>
      <c r="P149" s="750">
        <v>0</v>
      </c>
      <c r="Q149" s="750">
        <v>-7209</v>
      </c>
      <c r="R149" s="750">
        <v>0</v>
      </c>
      <c r="S149" s="750">
        <v>18124.38</v>
      </c>
      <c r="T149" s="750">
        <v>9086479.8551342059</v>
      </c>
    </row>
    <row r="150" spans="1:20">
      <c r="A150" s="160">
        <v>7009</v>
      </c>
      <c r="B150" s="133">
        <v>103601</v>
      </c>
      <c r="C150" s="133" t="s">
        <v>822</v>
      </c>
      <c r="D150" s="133" t="s">
        <v>823</v>
      </c>
      <c r="E150" s="159" t="s">
        <v>553</v>
      </c>
      <c r="F150" s="161" t="s">
        <v>535</v>
      </c>
      <c r="H150" s="750">
        <v>2511635.291304348</v>
      </c>
      <c r="I150" s="750">
        <v>38510.704199766471</v>
      </c>
      <c r="J150" s="750">
        <v>4128856.340089797</v>
      </c>
      <c r="K150" s="750">
        <v>125190</v>
      </c>
      <c r="L150" s="750">
        <v>27418.29</v>
      </c>
      <c r="M150" s="750">
        <v>0</v>
      </c>
      <c r="N150" s="750">
        <v>0</v>
      </c>
      <c r="O150" s="750">
        <v>0</v>
      </c>
      <c r="P150" s="750">
        <v>0</v>
      </c>
      <c r="Q150" s="750">
        <v>-6237</v>
      </c>
      <c r="R150" s="750">
        <v>0</v>
      </c>
      <c r="S150" s="750">
        <v>15122.31</v>
      </c>
      <c r="T150" s="750">
        <v>6840495.9355939105</v>
      </c>
    </row>
    <row r="151" spans="1:20">
      <c r="A151" s="160">
        <v>5203</v>
      </c>
      <c r="B151" s="133">
        <v>103544</v>
      </c>
      <c r="C151" s="133" t="s">
        <v>824</v>
      </c>
      <c r="D151" s="133" t="s">
        <v>825</v>
      </c>
      <c r="E151" s="159" t="s">
        <v>538</v>
      </c>
      <c r="F151" s="161" t="s">
        <v>535</v>
      </c>
      <c r="H151" s="750">
        <v>1676895.894228993</v>
      </c>
      <c r="I151" s="750">
        <v>0</v>
      </c>
      <c r="J151" s="750">
        <v>79440.183333333334</v>
      </c>
      <c r="K151" s="750">
        <v>26870</v>
      </c>
      <c r="L151" s="750">
        <v>120992</v>
      </c>
      <c r="M151" s="750">
        <v>0</v>
      </c>
      <c r="N151" s="750">
        <v>0</v>
      </c>
      <c r="O151" s="750">
        <v>-6271.1699999999992</v>
      </c>
      <c r="P151" s="750">
        <v>0</v>
      </c>
      <c r="Q151" s="750">
        <v>-5139.75</v>
      </c>
      <c r="R151" s="750">
        <v>-6885.1200000000017</v>
      </c>
      <c r="S151" s="750">
        <v>7685.5</v>
      </c>
      <c r="T151" s="750">
        <v>1893587.5375623263</v>
      </c>
    </row>
    <row r="152" spans="1:20">
      <c r="A152" s="160">
        <v>5202</v>
      </c>
      <c r="B152" s="133">
        <v>103543</v>
      </c>
      <c r="C152" s="133" t="s">
        <v>826</v>
      </c>
      <c r="D152" s="133" t="s">
        <v>827</v>
      </c>
      <c r="E152" s="159" t="s">
        <v>538</v>
      </c>
      <c r="F152" s="161" t="s">
        <v>535</v>
      </c>
      <c r="H152" s="750">
        <v>1839883.4700000004</v>
      </c>
      <c r="I152" s="750">
        <v>0</v>
      </c>
      <c r="J152" s="750">
        <v>112846.99333333332</v>
      </c>
      <c r="K152" s="750">
        <v>93130</v>
      </c>
      <c r="L152" s="750">
        <v>21204.93</v>
      </c>
      <c r="M152" s="750">
        <v>0</v>
      </c>
      <c r="N152" s="750">
        <v>0</v>
      </c>
      <c r="O152" s="750">
        <v>-4213.47</v>
      </c>
      <c r="P152" s="750">
        <v>0</v>
      </c>
      <c r="Q152" s="750">
        <v>0</v>
      </c>
      <c r="R152" s="750">
        <v>-9388.7999999999975</v>
      </c>
      <c r="S152" s="750">
        <v>8027.5</v>
      </c>
      <c r="T152" s="750">
        <v>2061490.6233333338</v>
      </c>
    </row>
    <row r="153" spans="1:20">
      <c r="A153" s="160">
        <v>2108</v>
      </c>
      <c r="B153" s="133">
        <v>103217</v>
      </c>
      <c r="C153" s="133" t="s">
        <v>828</v>
      </c>
      <c r="D153" s="133" t="s">
        <v>829</v>
      </c>
      <c r="E153" s="159" t="s">
        <v>538</v>
      </c>
      <c r="F153" s="161" t="s">
        <v>535</v>
      </c>
      <c r="H153" s="750">
        <v>5226735.5124850953</v>
      </c>
      <c r="I153" s="750">
        <v>0</v>
      </c>
      <c r="J153" s="750">
        <v>461413.36666666658</v>
      </c>
      <c r="K153" s="750">
        <v>542370</v>
      </c>
      <c r="L153" s="750">
        <v>154862.17000000001</v>
      </c>
      <c r="M153" s="750">
        <v>0</v>
      </c>
      <c r="N153" s="750">
        <v>54341.944669999903</v>
      </c>
      <c r="O153" s="750">
        <v>-75170.080000000002</v>
      </c>
      <c r="P153" s="750">
        <v>-11.23</v>
      </c>
      <c r="Q153" s="750">
        <v>-24312.75</v>
      </c>
      <c r="R153" s="750">
        <v>-21802.879999999994</v>
      </c>
      <c r="S153" s="750">
        <v>13981</v>
      </c>
      <c r="T153" s="750">
        <v>6332407.0538217612</v>
      </c>
    </row>
    <row r="154" spans="1:20">
      <c r="A154" s="160">
        <v>2306</v>
      </c>
      <c r="B154" s="133">
        <v>103326</v>
      </c>
      <c r="C154" s="133" t="s">
        <v>830</v>
      </c>
      <c r="D154" s="133" t="s">
        <v>831</v>
      </c>
      <c r="E154" s="159" t="s">
        <v>538</v>
      </c>
      <c r="F154" s="161" t="s">
        <v>535</v>
      </c>
      <c r="H154" s="750">
        <v>1346355.4418285023</v>
      </c>
      <c r="I154" s="750">
        <v>0</v>
      </c>
      <c r="J154" s="750">
        <v>25338.666666666664</v>
      </c>
      <c r="K154" s="750">
        <v>137865</v>
      </c>
      <c r="L154" s="750">
        <v>45947.090000000004</v>
      </c>
      <c r="M154" s="750">
        <v>0</v>
      </c>
      <c r="N154" s="750">
        <v>12740.237299999964</v>
      </c>
      <c r="O154" s="750">
        <v>-19886.79</v>
      </c>
      <c r="P154" s="750">
        <v>-73.559999999999988</v>
      </c>
      <c r="Q154" s="750">
        <v>-5139.75</v>
      </c>
      <c r="R154" s="750">
        <v>-5502.880000000001</v>
      </c>
      <c r="S154" s="750">
        <v>6340</v>
      </c>
      <c r="T154" s="750">
        <v>1543983.4557951691</v>
      </c>
    </row>
    <row r="155" spans="1:20">
      <c r="A155" s="160">
        <v>2308</v>
      </c>
      <c r="B155" s="133">
        <v>103328</v>
      </c>
      <c r="C155" s="133" t="s">
        <v>832</v>
      </c>
      <c r="D155" s="133" t="s">
        <v>833</v>
      </c>
      <c r="E155" s="159" t="s">
        <v>538</v>
      </c>
      <c r="F155" s="161" t="s">
        <v>535</v>
      </c>
      <c r="H155" s="750">
        <v>2714760.0418125554</v>
      </c>
      <c r="I155" s="750">
        <v>0</v>
      </c>
      <c r="J155" s="750">
        <v>162858.69000000003</v>
      </c>
      <c r="K155" s="750">
        <v>354510</v>
      </c>
      <c r="L155" s="750">
        <v>47980.93</v>
      </c>
      <c r="M155" s="750">
        <v>0</v>
      </c>
      <c r="N155" s="750">
        <v>0</v>
      </c>
      <c r="O155" s="750">
        <v>-36039.78</v>
      </c>
      <c r="P155" s="750">
        <v>0</v>
      </c>
      <c r="Q155" s="750">
        <v>-9471</v>
      </c>
      <c r="R155" s="750">
        <v>-10171.200000000003</v>
      </c>
      <c r="S155" s="750">
        <v>8790.25</v>
      </c>
      <c r="T155" s="750">
        <v>3233217.9318125555</v>
      </c>
    </row>
    <row r="156" spans="1:20">
      <c r="A156" s="160">
        <v>2245</v>
      </c>
      <c r="B156" s="133">
        <v>103295</v>
      </c>
      <c r="C156" s="133" t="s">
        <v>834</v>
      </c>
      <c r="D156" s="133" t="s">
        <v>835</v>
      </c>
      <c r="E156" s="159" t="s">
        <v>538</v>
      </c>
      <c r="F156" s="161" t="s">
        <v>535</v>
      </c>
      <c r="H156" s="750">
        <v>1734599.1754731305</v>
      </c>
      <c r="I156" s="750">
        <v>0</v>
      </c>
      <c r="J156" s="750">
        <v>186400.76666666663</v>
      </c>
      <c r="K156" s="750">
        <v>230280</v>
      </c>
      <c r="L156" s="750">
        <v>30440.93</v>
      </c>
      <c r="M156" s="750">
        <v>0</v>
      </c>
      <c r="N156" s="750">
        <v>5406.1549299999515</v>
      </c>
      <c r="O156" s="750">
        <v>-18595.430000000004</v>
      </c>
      <c r="P156" s="750">
        <v>-79.550000000000011</v>
      </c>
      <c r="Q156" s="750">
        <v>-5139.75</v>
      </c>
      <c r="R156" s="750">
        <v>-5502.880000000001</v>
      </c>
      <c r="S156" s="750">
        <v>6532.38</v>
      </c>
      <c r="T156" s="750">
        <v>2164341.7970697968</v>
      </c>
    </row>
    <row r="157" spans="1:20">
      <c r="A157" s="160">
        <v>1014</v>
      </c>
      <c r="B157" s="133">
        <v>103127</v>
      </c>
      <c r="C157" s="133" t="s">
        <v>836</v>
      </c>
      <c r="D157" s="133" t="s">
        <v>837</v>
      </c>
      <c r="E157" s="159" t="s">
        <v>534</v>
      </c>
      <c r="F157" s="161" t="s">
        <v>535</v>
      </c>
      <c r="H157" s="750">
        <v>752719.91944727115</v>
      </c>
      <c r="I157" s="750">
        <v>0</v>
      </c>
      <c r="J157" s="750">
        <v>27692.398794459834</v>
      </c>
      <c r="K157" s="750">
        <v>0</v>
      </c>
      <c r="L157" s="750">
        <v>0</v>
      </c>
      <c r="M157" s="750">
        <v>0</v>
      </c>
      <c r="N157" s="750">
        <v>0</v>
      </c>
      <c r="O157" s="750">
        <v>0</v>
      </c>
      <c r="P157" s="750">
        <v>0</v>
      </c>
      <c r="Q157" s="750">
        <v>-3291.75</v>
      </c>
      <c r="R157" s="750">
        <v>0</v>
      </c>
      <c r="S157" s="750">
        <v>4985.5</v>
      </c>
      <c r="T157" s="750">
        <v>782106.06824173103</v>
      </c>
    </row>
    <row r="158" spans="1:20">
      <c r="A158" s="160">
        <v>2011</v>
      </c>
      <c r="B158" s="133">
        <v>134099</v>
      </c>
      <c r="C158" s="133" t="s">
        <v>838</v>
      </c>
      <c r="D158" s="133" t="s">
        <v>839</v>
      </c>
      <c r="E158" s="159" t="s">
        <v>538</v>
      </c>
      <c r="F158" s="161" t="s">
        <v>535</v>
      </c>
      <c r="H158" s="750">
        <v>3622508.3447204684</v>
      </c>
      <c r="I158" s="750">
        <v>0</v>
      </c>
      <c r="J158" s="750">
        <v>278431.45333333337</v>
      </c>
      <c r="K158" s="750">
        <v>348315</v>
      </c>
      <c r="L158" s="750">
        <v>93787.53</v>
      </c>
      <c r="M158" s="750">
        <v>0</v>
      </c>
      <c r="N158" s="750">
        <v>0</v>
      </c>
      <c r="O158" s="750">
        <v>-93050.07</v>
      </c>
      <c r="P158" s="750">
        <v>0</v>
      </c>
      <c r="Q158" s="750">
        <v>-18745.650000000001</v>
      </c>
      <c r="R158" s="750">
        <v>-15908.800000000001</v>
      </c>
      <c r="S158" s="750">
        <v>11204.5</v>
      </c>
      <c r="T158" s="750">
        <v>4226542.3080538018</v>
      </c>
    </row>
    <row r="159" spans="1:20">
      <c r="A159" s="160">
        <v>4193</v>
      </c>
      <c r="B159" s="133">
        <v>103501</v>
      </c>
      <c r="C159" s="133" t="s">
        <v>840</v>
      </c>
      <c r="D159" s="133" t="s">
        <v>841</v>
      </c>
      <c r="E159" s="159" t="s">
        <v>564</v>
      </c>
      <c r="F159" s="161" t="s">
        <v>535</v>
      </c>
      <c r="H159" s="750">
        <v>5321838.016861164</v>
      </c>
      <c r="I159" s="750">
        <v>0</v>
      </c>
      <c r="J159" s="750">
        <v>194364.88999999998</v>
      </c>
      <c r="K159" s="750">
        <v>272430</v>
      </c>
      <c r="L159" s="750">
        <v>1533</v>
      </c>
      <c r="M159" s="750">
        <v>0</v>
      </c>
      <c r="N159" s="750">
        <v>0</v>
      </c>
      <c r="O159" s="750">
        <v>-126037.06</v>
      </c>
      <c r="P159" s="750">
        <v>0</v>
      </c>
      <c r="Q159" s="750">
        <v>-18745.650000000001</v>
      </c>
      <c r="R159" s="750">
        <v>-13587.75</v>
      </c>
      <c r="S159" s="750">
        <v>15432.81</v>
      </c>
      <c r="T159" s="750">
        <v>5647228.2568611633</v>
      </c>
    </row>
    <row r="160" spans="1:20">
      <c r="A160" s="160">
        <v>2478</v>
      </c>
      <c r="B160" s="133">
        <v>132007</v>
      </c>
      <c r="C160" s="133" t="s">
        <v>842</v>
      </c>
      <c r="D160" s="133" t="s">
        <v>843</v>
      </c>
      <c r="E160" s="159" t="s">
        <v>538</v>
      </c>
      <c r="F160" s="161" t="s">
        <v>535</v>
      </c>
      <c r="H160" s="750">
        <v>2336589.6273684208</v>
      </c>
      <c r="I160" s="750">
        <v>0</v>
      </c>
      <c r="J160" s="750">
        <v>56491.33</v>
      </c>
      <c r="K160" s="750">
        <v>60915</v>
      </c>
      <c r="L160" s="750">
        <v>101063</v>
      </c>
      <c r="M160" s="750">
        <v>0</v>
      </c>
      <c r="N160" s="750">
        <v>0</v>
      </c>
      <c r="O160" s="750">
        <v>-47099.579999999987</v>
      </c>
      <c r="P160" s="750">
        <v>0</v>
      </c>
      <c r="Q160" s="750">
        <v>-11934</v>
      </c>
      <c r="R160" s="750">
        <v>-11057.920000000004</v>
      </c>
      <c r="S160" s="750">
        <v>9121</v>
      </c>
      <c r="T160" s="750">
        <v>2494088.4573684209</v>
      </c>
    </row>
    <row r="161" spans="1:20">
      <c r="A161" s="160">
        <v>2293</v>
      </c>
      <c r="B161" s="133">
        <v>103317</v>
      </c>
      <c r="C161" s="133" t="s">
        <v>844</v>
      </c>
      <c r="D161" s="133" t="s">
        <v>845</v>
      </c>
      <c r="E161" s="159" t="s">
        <v>538</v>
      </c>
      <c r="F161" s="161" t="s">
        <v>535</v>
      </c>
      <c r="H161" s="750">
        <v>3631607.1168743148</v>
      </c>
      <c r="I161" s="750">
        <v>0</v>
      </c>
      <c r="J161" s="750">
        <v>125466.9</v>
      </c>
      <c r="K161" s="750">
        <v>403340</v>
      </c>
      <c r="L161" s="750">
        <v>88487</v>
      </c>
      <c r="M161" s="750">
        <v>0</v>
      </c>
      <c r="N161" s="750">
        <v>0</v>
      </c>
      <c r="O161" s="750">
        <v>-41074.75</v>
      </c>
      <c r="P161" s="750">
        <v>0</v>
      </c>
      <c r="Q161" s="750">
        <v>-12566.4</v>
      </c>
      <c r="R161" s="750">
        <v>-14917.760000000002</v>
      </c>
      <c r="S161" s="750">
        <v>10894</v>
      </c>
      <c r="T161" s="750">
        <v>4191236.1068743151</v>
      </c>
    </row>
    <row r="162" spans="1:20">
      <c r="A162" s="160">
        <v>2278</v>
      </c>
      <c r="B162" s="133">
        <v>103310</v>
      </c>
      <c r="C162" s="133" t="s">
        <v>846</v>
      </c>
      <c r="D162" s="133" t="s">
        <v>847</v>
      </c>
      <c r="E162" s="159" t="s">
        <v>538</v>
      </c>
      <c r="F162" s="161" t="s">
        <v>535</v>
      </c>
      <c r="H162" s="750">
        <v>2567155.6818283945</v>
      </c>
      <c r="I162" s="750">
        <v>0</v>
      </c>
      <c r="J162" s="750">
        <v>340885.03666666668</v>
      </c>
      <c r="K162" s="750">
        <v>380180</v>
      </c>
      <c r="L162" s="750">
        <v>57676.93</v>
      </c>
      <c r="M162" s="750">
        <v>0</v>
      </c>
      <c r="N162" s="750">
        <v>22613.815225000006</v>
      </c>
      <c r="O162" s="750">
        <v>-24535.639999999996</v>
      </c>
      <c r="P162" s="750">
        <v>-147.51</v>
      </c>
      <c r="Q162" s="750">
        <v>-9471</v>
      </c>
      <c r="R162" s="750">
        <v>-10458.079999999996</v>
      </c>
      <c r="S162" s="750">
        <v>8623.75</v>
      </c>
      <c r="T162" s="750">
        <v>3332522.9837200614</v>
      </c>
    </row>
    <row r="163" spans="1:20">
      <c r="A163" s="160">
        <v>2314</v>
      </c>
      <c r="B163" s="133">
        <v>103334</v>
      </c>
      <c r="C163" s="133" t="s">
        <v>848</v>
      </c>
      <c r="D163" s="133" t="s">
        <v>849</v>
      </c>
      <c r="E163" s="159" t="s">
        <v>538</v>
      </c>
      <c r="F163" s="161" t="s">
        <v>583</v>
      </c>
      <c r="H163" s="750">
        <v>485935.33066962636</v>
      </c>
      <c r="I163" s="750">
        <v>0</v>
      </c>
      <c r="J163" s="750">
        <v>22498.12</v>
      </c>
      <c r="K163" s="750">
        <v>34350</v>
      </c>
      <c r="L163" s="750">
        <v>41940.93</v>
      </c>
      <c r="M163" s="750">
        <v>0</v>
      </c>
      <c r="N163" s="750">
        <v>1376.3400000000001</v>
      </c>
      <c r="O163" s="750">
        <v>-18595.429999999997</v>
      </c>
      <c r="P163" s="750">
        <v>-4.6900000000000004</v>
      </c>
      <c r="Q163" s="750">
        <v>-2141.5625</v>
      </c>
      <c r="R163" s="750">
        <v>-2249.3999999999996</v>
      </c>
      <c r="S163" s="750">
        <v>6385</v>
      </c>
      <c r="T163" s="750">
        <v>569494.63816962636</v>
      </c>
    </row>
    <row r="164" spans="1:20">
      <c r="A164" s="160">
        <v>2317</v>
      </c>
      <c r="B164" s="133">
        <v>103337</v>
      </c>
      <c r="C164" s="133" t="s">
        <v>850</v>
      </c>
      <c r="D164" s="133" t="s">
        <v>851</v>
      </c>
      <c r="E164" s="159" t="s">
        <v>538</v>
      </c>
      <c r="F164" s="161" t="s">
        <v>535</v>
      </c>
      <c r="H164" s="750">
        <v>1825022.5158814637</v>
      </c>
      <c r="I164" s="750">
        <v>0</v>
      </c>
      <c r="J164" s="750">
        <v>160773.28444444446</v>
      </c>
      <c r="K164" s="750">
        <v>124545</v>
      </c>
      <c r="L164" s="750">
        <v>97105.48</v>
      </c>
      <c r="M164" s="750">
        <v>0</v>
      </c>
      <c r="N164" s="750">
        <v>2892.0099999999998</v>
      </c>
      <c r="O164" s="750">
        <v>-15383.15</v>
      </c>
      <c r="P164" s="750">
        <v>-124.16000000000001</v>
      </c>
      <c r="Q164" s="750">
        <v>-5139.75</v>
      </c>
      <c r="R164" s="750">
        <v>-6546.0799999999981</v>
      </c>
      <c r="S164" s="750">
        <v>7429</v>
      </c>
      <c r="T164" s="750">
        <v>2190574.1503259079</v>
      </c>
    </row>
    <row r="165" spans="1:20">
      <c r="A165" s="160">
        <v>2225</v>
      </c>
      <c r="B165" s="133">
        <v>103279</v>
      </c>
      <c r="C165" s="133" t="s">
        <v>852</v>
      </c>
      <c r="D165" s="133" t="s">
        <v>853</v>
      </c>
      <c r="E165" s="159" t="s">
        <v>538</v>
      </c>
      <c r="F165" s="161" t="s">
        <v>535</v>
      </c>
      <c r="H165" s="750">
        <v>2287657.4927828242</v>
      </c>
      <c r="I165" s="750">
        <v>0</v>
      </c>
      <c r="J165" s="750">
        <v>233508.95333333337</v>
      </c>
      <c r="K165" s="750">
        <v>282140</v>
      </c>
      <c r="L165" s="750">
        <v>47895.92</v>
      </c>
      <c r="M165" s="750">
        <v>0</v>
      </c>
      <c r="N165" s="750">
        <v>0</v>
      </c>
      <c r="O165" s="750">
        <v>-20391.630000000005</v>
      </c>
      <c r="P165" s="750">
        <v>0</v>
      </c>
      <c r="Q165" s="750">
        <v>-9747</v>
      </c>
      <c r="R165" s="750">
        <v>-9414.880000000001</v>
      </c>
      <c r="S165" s="750">
        <v>8140</v>
      </c>
      <c r="T165" s="750">
        <v>2819788.856116158</v>
      </c>
    </row>
    <row r="166" spans="1:20">
      <c r="A166" s="160">
        <v>2412</v>
      </c>
      <c r="B166" s="133">
        <v>103349</v>
      </c>
      <c r="C166" s="133" t="s">
        <v>854</v>
      </c>
      <c r="D166" s="133" t="s">
        <v>855</v>
      </c>
      <c r="E166" s="159" t="s">
        <v>538</v>
      </c>
      <c r="F166" s="161" t="s">
        <v>535</v>
      </c>
      <c r="H166" s="750">
        <v>2215764.3643996087</v>
      </c>
      <c r="I166" s="750">
        <v>0</v>
      </c>
      <c r="J166" s="750">
        <v>216619.76666666666</v>
      </c>
      <c r="K166" s="750">
        <v>184345</v>
      </c>
      <c r="L166" s="750">
        <v>79230.2</v>
      </c>
      <c r="M166" s="750">
        <v>0</v>
      </c>
      <c r="N166" s="750">
        <v>0</v>
      </c>
      <c r="O166" s="750">
        <v>-32064.810000000009</v>
      </c>
      <c r="P166" s="750">
        <v>0</v>
      </c>
      <c r="Q166" s="750">
        <v>-9471</v>
      </c>
      <c r="R166" s="750">
        <v>-10692.8</v>
      </c>
      <c r="S166" s="750">
        <v>8725</v>
      </c>
      <c r="T166" s="750">
        <v>2652455.7210662756</v>
      </c>
    </row>
    <row r="167" spans="1:20">
      <c r="A167" s="160">
        <v>3421</v>
      </c>
      <c r="B167" s="133">
        <v>133996</v>
      </c>
      <c r="C167" s="133" t="s">
        <v>856</v>
      </c>
      <c r="D167" s="133" t="s">
        <v>857</v>
      </c>
      <c r="E167" s="159" t="s">
        <v>538</v>
      </c>
      <c r="F167" s="161" t="s">
        <v>535</v>
      </c>
      <c r="H167" s="750">
        <v>4564559.4898238098</v>
      </c>
      <c r="I167" s="750">
        <v>0</v>
      </c>
      <c r="J167" s="750">
        <v>239092.12866666669</v>
      </c>
      <c r="K167" s="750">
        <v>510155</v>
      </c>
      <c r="L167" s="750">
        <v>132410.72</v>
      </c>
      <c r="M167" s="750">
        <v>0</v>
      </c>
      <c r="N167" s="750">
        <v>13694.902825000067</v>
      </c>
      <c r="O167" s="750">
        <v>-32542.019999999993</v>
      </c>
      <c r="P167" s="750">
        <v>-140.32999999999998</v>
      </c>
      <c r="Q167" s="750">
        <v>-24312.75</v>
      </c>
      <c r="R167" s="750">
        <v>-21828.959999999999</v>
      </c>
      <c r="S167" s="750">
        <v>13393.75</v>
      </c>
      <c r="T167" s="750">
        <v>5394481.9313154761</v>
      </c>
    </row>
    <row r="168" spans="1:20">
      <c r="A168" s="160">
        <v>2227</v>
      </c>
      <c r="B168" s="133">
        <v>103281</v>
      </c>
      <c r="C168" s="133" t="s">
        <v>858</v>
      </c>
      <c r="D168" s="133" t="s">
        <v>859</v>
      </c>
      <c r="E168" s="159" t="s">
        <v>538</v>
      </c>
      <c r="F168" s="161" t="s">
        <v>535</v>
      </c>
      <c r="H168" s="750">
        <v>2849298.7815727475</v>
      </c>
      <c r="I168" s="750">
        <v>0</v>
      </c>
      <c r="J168" s="750">
        <v>183405.65666666668</v>
      </c>
      <c r="K168" s="750">
        <v>356655</v>
      </c>
      <c r="L168" s="750">
        <v>49571</v>
      </c>
      <c r="M168" s="750">
        <v>0</v>
      </c>
      <c r="N168" s="750">
        <v>22311.547163232779</v>
      </c>
      <c r="O168" s="750">
        <v>-20919.869999999995</v>
      </c>
      <c r="P168" s="750">
        <v>-65.409999999999982</v>
      </c>
      <c r="Q168" s="750">
        <v>-9471</v>
      </c>
      <c r="R168" s="750">
        <v>-10588.479999999998</v>
      </c>
      <c r="S168" s="750">
        <v>9172.75</v>
      </c>
      <c r="T168" s="750">
        <v>3429369.9754026467</v>
      </c>
    </row>
    <row r="169" spans="1:20">
      <c r="A169" s="160">
        <v>2231</v>
      </c>
      <c r="B169" s="133">
        <v>103284</v>
      </c>
      <c r="C169" s="133" t="s">
        <v>860</v>
      </c>
      <c r="D169" s="133" t="s">
        <v>861</v>
      </c>
      <c r="E169" s="159" t="s">
        <v>538</v>
      </c>
      <c r="F169" s="161" t="s">
        <v>535</v>
      </c>
      <c r="H169" s="750">
        <v>2656620.6288642175</v>
      </c>
      <c r="I169" s="750">
        <v>0</v>
      </c>
      <c r="J169" s="750">
        <v>61042.920000000006</v>
      </c>
      <c r="K169" s="750">
        <v>320780</v>
      </c>
      <c r="L169" s="750">
        <v>59494</v>
      </c>
      <c r="M169" s="750">
        <v>0</v>
      </c>
      <c r="N169" s="750">
        <v>14878.225315000027</v>
      </c>
      <c r="O169" s="750">
        <v>-25697.860000000004</v>
      </c>
      <c r="P169" s="750">
        <v>-47.660000000000011</v>
      </c>
      <c r="Q169" s="750">
        <v>-9471</v>
      </c>
      <c r="R169" s="750">
        <v>-11188.320000000002</v>
      </c>
      <c r="S169" s="750">
        <v>9094</v>
      </c>
      <c r="T169" s="750">
        <v>3075504.9341792176</v>
      </c>
    </row>
    <row r="170" spans="1:20">
      <c r="A170" s="160">
        <v>1001</v>
      </c>
      <c r="B170" s="133">
        <v>103120</v>
      </c>
      <c r="C170" s="133" t="s">
        <v>862</v>
      </c>
      <c r="D170" s="133" t="s">
        <v>863</v>
      </c>
      <c r="E170" s="159" t="s">
        <v>534</v>
      </c>
      <c r="F170" s="161" t="s">
        <v>535</v>
      </c>
      <c r="H170" s="750">
        <v>538535.8611483518</v>
      </c>
      <c r="I170" s="750">
        <v>0</v>
      </c>
      <c r="J170" s="750">
        <v>7662.4963988919662</v>
      </c>
      <c r="K170" s="750">
        <v>0</v>
      </c>
      <c r="L170" s="750">
        <v>3256.93</v>
      </c>
      <c r="M170" s="750">
        <v>0</v>
      </c>
      <c r="N170" s="750">
        <v>168.87</v>
      </c>
      <c r="O170" s="750">
        <v>0</v>
      </c>
      <c r="P170" s="750">
        <v>-163.02999999999997</v>
      </c>
      <c r="Q170" s="750">
        <v>-3291.75</v>
      </c>
      <c r="R170" s="750">
        <v>0</v>
      </c>
      <c r="S170" s="750">
        <v>4573.75</v>
      </c>
      <c r="T170" s="750">
        <v>550743.12754724384</v>
      </c>
    </row>
    <row r="171" spans="1:20">
      <c r="A171" s="160">
        <v>2464</v>
      </c>
      <c r="B171" s="133">
        <v>103390</v>
      </c>
      <c r="C171" s="133" t="s">
        <v>864</v>
      </c>
      <c r="D171" s="133" t="s">
        <v>865</v>
      </c>
      <c r="E171" s="159" t="s">
        <v>538</v>
      </c>
      <c r="F171" s="161" t="s">
        <v>535</v>
      </c>
      <c r="H171" s="750">
        <v>2123676.8099999996</v>
      </c>
      <c r="I171" s="750">
        <v>0</v>
      </c>
      <c r="J171" s="750">
        <v>85254.536666666667</v>
      </c>
      <c r="K171" s="750">
        <v>55255</v>
      </c>
      <c r="L171" s="750">
        <v>87185</v>
      </c>
      <c r="M171" s="750">
        <v>0</v>
      </c>
      <c r="N171" s="750">
        <v>5194.43</v>
      </c>
      <c r="O171" s="750">
        <v>-32064.810000000009</v>
      </c>
      <c r="P171" s="750">
        <v>-96.909999999999968</v>
      </c>
      <c r="Q171" s="750">
        <v>-11097</v>
      </c>
      <c r="R171" s="750">
        <v>-10718.88</v>
      </c>
      <c r="S171" s="750">
        <v>8691.25</v>
      </c>
      <c r="T171" s="750">
        <v>2311279.4266666663</v>
      </c>
    </row>
    <row r="172" spans="1:20">
      <c r="A172" s="160">
        <v>2189</v>
      </c>
      <c r="B172" s="133">
        <v>103265</v>
      </c>
      <c r="C172" s="133" t="s">
        <v>866</v>
      </c>
      <c r="D172" s="133" t="s">
        <v>867</v>
      </c>
      <c r="E172" s="159" t="s">
        <v>538</v>
      </c>
      <c r="F172" s="161" t="s">
        <v>535</v>
      </c>
      <c r="H172" s="750">
        <v>1581906.1980181492</v>
      </c>
      <c r="I172" s="750">
        <v>0</v>
      </c>
      <c r="J172" s="750">
        <v>66088.796666666662</v>
      </c>
      <c r="K172" s="750">
        <v>181800</v>
      </c>
      <c r="L172" s="750">
        <v>49365.57</v>
      </c>
      <c r="M172" s="750">
        <v>0</v>
      </c>
      <c r="N172" s="750">
        <v>637.57000000000005</v>
      </c>
      <c r="O172" s="750">
        <v>-31534.81</v>
      </c>
      <c r="P172" s="750">
        <v>-139</v>
      </c>
      <c r="Q172" s="750">
        <v>-5139.75</v>
      </c>
      <c r="R172" s="750">
        <v>-5737.5999999999995</v>
      </c>
      <c r="S172" s="750">
        <v>6724.75</v>
      </c>
      <c r="T172" s="750">
        <v>1843971.7246848159</v>
      </c>
    </row>
    <row r="173" spans="1:20">
      <c r="A173" s="160">
        <v>7060</v>
      </c>
      <c r="B173" s="133">
        <v>103630</v>
      </c>
      <c r="C173" s="133" t="s">
        <v>868</v>
      </c>
      <c r="D173" s="133" t="s">
        <v>869</v>
      </c>
      <c r="E173" s="159" t="s">
        <v>553</v>
      </c>
      <c r="F173" s="161" t="s">
        <v>535</v>
      </c>
      <c r="H173" s="750">
        <v>1376632.2884782609</v>
      </c>
      <c r="I173" s="750">
        <v>0</v>
      </c>
      <c r="J173" s="750">
        <v>2298655.8765342683</v>
      </c>
      <c r="K173" s="750">
        <v>104535</v>
      </c>
      <c r="L173" s="750">
        <v>90374.3</v>
      </c>
      <c r="M173" s="750">
        <v>0</v>
      </c>
      <c r="N173" s="750">
        <v>11063.74</v>
      </c>
      <c r="O173" s="750">
        <v>0</v>
      </c>
      <c r="P173" s="750">
        <v>-73.109999999999985</v>
      </c>
      <c r="Q173" s="750">
        <v>-3375</v>
      </c>
      <c r="R173" s="750">
        <v>0</v>
      </c>
      <c r="S173" s="750">
        <v>9214.3799999999992</v>
      </c>
      <c r="T173" s="750">
        <v>3887027.4750125292</v>
      </c>
    </row>
    <row r="174" spans="1:20">
      <c r="A174" s="160">
        <v>3380</v>
      </c>
      <c r="B174" s="133">
        <v>103465</v>
      </c>
      <c r="C174" s="133" t="s">
        <v>870</v>
      </c>
      <c r="D174" s="133" t="s">
        <v>871</v>
      </c>
      <c r="E174" s="159" t="s">
        <v>538</v>
      </c>
      <c r="F174" s="161" t="s">
        <v>583</v>
      </c>
      <c r="H174" s="750">
        <v>468962.04396231892</v>
      </c>
      <c r="I174" s="750">
        <v>0</v>
      </c>
      <c r="J174" s="750">
        <v>36555.593333333338</v>
      </c>
      <c r="K174" s="750">
        <v>33587.5</v>
      </c>
      <c r="L174" s="750">
        <v>40235</v>
      </c>
      <c r="M174" s="750">
        <v>0</v>
      </c>
      <c r="N174" s="750">
        <v>0</v>
      </c>
      <c r="O174" s="750">
        <v>-3338.9799999999996</v>
      </c>
      <c r="P174" s="750">
        <v>0</v>
      </c>
      <c r="Q174" s="750">
        <v>0</v>
      </c>
      <c r="R174" s="750">
        <v>-2238.5333333333297</v>
      </c>
      <c r="S174" s="750">
        <v>0</v>
      </c>
      <c r="T174" s="750">
        <v>573762.62396231887</v>
      </c>
    </row>
    <row r="175" spans="1:20">
      <c r="A175" s="160">
        <v>1019</v>
      </c>
      <c r="B175" s="133">
        <v>103132</v>
      </c>
      <c r="C175" s="133" t="s">
        <v>872</v>
      </c>
      <c r="D175" s="133" t="s">
        <v>873</v>
      </c>
      <c r="E175" s="159" t="s">
        <v>534</v>
      </c>
      <c r="F175" s="161" t="s">
        <v>535</v>
      </c>
      <c r="H175" s="750">
        <v>734404.62367411307</v>
      </c>
      <c r="I175" s="750">
        <v>0</v>
      </c>
      <c r="J175" s="750">
        <v>4580.2242659279782</v>
      </c>
      <c r="K175" s="750">
        <v>0</v>
      </c>
      <c r="L175" s="750">
        <v>876</v>
      </c>
      <c r="M175" s="750">
        <v>0</v>
      </c>
      <c r="N175" s="750">
        <v>544.3900000000001</v>
      </c>
      <c r="O175" s="750">
        <v>0</v>
      </c>
      <c r="P175" s="750">
        <v>-74.95</v>
      </c>
      <c r="Q175" s="750">
        <v>-3291.75</v>
      </c>
      <c r="R175" s="750">
        <v>0</v>
      </c>
      <c r="S175" s="750">
        <v>5026</v>
      </c>
      <c r="T175" s="750">
        <v>742064.53794004116</v>
      </c>
    </row>
    <row r="176" spans="1:20">
      <c r="A176" s="160">
        <v>2445</v>
      </c>
      <c r="B176" s="133">
        <v>103372</v>
      </c>
      <c r="C176" s="133" t="s">
        <v>874</v>
      </c>
      <c r="D176" s="133" t="s">
        <v>875</v>
      </c>
      <c r="E176" s="159" t="s">
        <v>538</v>
      </c>
      <c r="F176" s="161" t="s">
        <v>535</v>
      </c>
      <c r="H176" s="750">
        <v>1444120.5447175885</v>
      </c>
      <c r="I176" s="750">
        <v>0</v>
      </c>
      <c r="J176" s="750">
        <v>137470.60666666669</v>
      </c>
      <c r="K176" s="750">
        <v>216160</v>
      </c>
      <c r="L176" s="750">
        <v>33035</v>
      </c>
      <c r="M176" s="750">
        <v>0</v>
      </c>
      <c r="N176" s="750">
        <v>552.73456999998007</v>
      </c>
      <c r="O176" s="750">
        <v>-24535.639999999996</v>
      </c>
      <c r="P176" s="750">
        <v>0</v>
      </c>
      <c r="Q176" s="750">
        <v>-5139.75</v>
      </c>
      <c r="R176" s="750">
        <v>-5320.32</v>
      </c>
      <c r="S176" s="750">
        <v>6283.75</v>
      </c>
      <c r="T176" s="750">
        <v>1802626.9259542553</v>
      </c>
    </row>
    <row r="177" spans="1:20">
      <c r="A177" s="160">
        <v>2014</v>
      </c>
      <c r="B177" s="133">
        <v>103162</v>
      </c>
      <c r="C177" s="133" t="s">
        <v>876</v>
      </c>
      <c r="D177" s="133" t="s">
        <v>877</v>
      </c>
      <c r="E177" s="159" t="s">
        <v>538</v>
      </c>
      <c r="F177" s="161" t="s">
        <v>535</v>
      </c>
      <c r="H177" s="750">
        <v>2533578.0856182668</v>
      </c>
      <c r="I177" s="750">
        <v>0</v>
      </c>
      <c r="J177" s="750">
        <v>61531.33666666667</v>
      </c>
      <c r="K177" s="750">
        <v>254520</v>
      </c>
      <c r="L177" s="750">
        <v>63567.86</v>
      </c>
      <c r="M177" s="750">
        <v>0</v>
      </c>
      <c r="N177" s="750">
        <v>3754.7700000000004</v>
      </c>
      <c r="O177" s="750">
        <v>-34184.789999999994</v>
      </c>
      <c r="P177" s="750">
        <v>-10.4</v>
      </c>
      <c r="Q177" s="750">
        <v>-11070</v>
      </c>
      <c r="R177" s="750">
        <v>-10223.359999999999</v>
      </c>
      <c r="S177" s="750">
        <v>8682.25</v>
      </c>
      <c r="T177" s="750">
        <v>2870145.7522849338</v>
      </c>
    </row>
    <row r="178" spans="1:20">
      <c r="A178" s="160">
        <v>7052</v>
      </c>
      <c r="B178" s="133">
        <v>103627</v>
      </c>
      <c r="C178" s="133" t="s">
        <v>878</v>
      </c>
      <c r="D178" s="133" t="s">
        <v>879</v>
      </c>
      <c r="E178" s="159" t="s">
        <v>553</v>
      </c>
      <c r="F178" s="161" t="s">
        <v>535</v>
      </c>
      <c r="H178" s="750">
        <v>1035227.4886956522</v>
      </c>
      <c r="I178" s="750">
        <v>0</v>
      </c>
      <c r="J178" s="750">
        <v>1759124.8585535192</v>
      </c>
      <c r="K178" s="750">
        <v>75350</v>
      </c>
      <c r="L178" s="750">
        <v>20511.29</v>
      </c>
      <c r="M178" s="750">
        <v>0</v>
      </c>
      <c r="N178" s="750">
        <v>9372.93</v>
      </c>
      <c r="O178" s="750">
        <v>0</v>
      </c>
      <c r="P178" s="750">
        <v>-21.309999999999988</v>
      </c>
      <c r="Q178" s="750">
        <v>-3291.75</v>
      </c>
      <c r="R178" s="750">
        <v>0</v>
      </c>
      <c r="S178" s="750">
        <v>8784.06</v>
      </c>
      <c r="T178" s="750">
        <v>2905057.5672491719</v>
      </c>
    </row>
    <row r="179" spans="1:20">
      <c r="A179" s="160">
        <v>2456</v>
      </c>
      <c r="B179" s="133">
        <v>103383</v>
      </c>
      <c r="C179" s="133" t="s">
        <v>880</v>
      </c>
      <c r="D179" s="133" t="s">
        <v>881</v>
      </c>
      <c r="E179" s="159" t="s">
        <v>538</v>
      </c>
      <c r="F179" s="161" t="s">
        <v>535</v>
      </c>
      <c r="H179" s="750">
        <v>1371481.1628200002</v>
      </c>
      <c r="I179" s="750">
        <v>0</v>
      </c>
      <c r="J179" s="750">
        <v>117973.5</v>
      </c>
      <c r="K179" s="750">
        <v>124545</v>
      </c>
      <c r="L179" s="750">
        <v>43280</v>
      </c>
      <c r="M179" s="750">
        <v>0</v>
      </c>
      <c r="N179" s="750">
        <v>1694.0600000000002</v>
      </c>
      <c r="O179" s="750">
        <v>-43724.74</v>
      </c>
      <c r="P179" s="750">
        <v>-71.650000000000006</v>
      </c>
      <c r="Q179" s="750">
        <v>-5427</v>
      </c>
      <c r="R179" s="750">
        <v>-5242.0800000000008</v>
      </c>
      <c r="S179" s="750">
        <v>6283.75</v>
      </c>
      <c r="T179" s="750">
        <v>1610792.0028200003</v>
      </c>
    </row>
    <row r="180" spans="1:20">
      <c r="A180" s="160">
        <v>2254</v>
      </c>
      <c r="B180" s="133">
        <v>103300</v>
      </c>
      <c r="C180" s="133" t="s">
        <v>882</v>
      </c>
      <c r="D180" s="133" t="s">
        <v>883</v>
      </c>
      <c r="E180" s="159" t="s">
        <v>538</v>
      </c>
      <c r="F180" s="161" t="s">
        <v>535</v>
      </c>
      <c r="H180" s="750">
        <v>3421343.5844809846</v>
      </c>
      <c r="I180" s="750">
        <v>0</v>
      </c>
      <c r="J180" s="750">
        <v>248180</v>
      </c>
      <c r="K180" s="750">
        <v>384410</v>
      </c>
      <c r="L180" s="750">
        <v>62644</v>
      </c>
      <c r="M180" s="750">
        <v>0</v>
      </c>
      <c r="N180" s="750">
        <v>7062.05</v>
      </c>
      <c r="O180" s="750">
        <v>-77430.84</v>
      </c>
      <c r="P180" s="750">
        <v>-45.330000000000005</v>
      </c>
      <c r="Q180" s="750">
        <v>-12566.4</v>
      </c>
      <c r="R180" s="750">
        <v>-13613.759999999997</v>
      </c>
      <c r="S180" s="750">
        <v>10052.5</v>
      </c>
      <c r="T180" s="750">
        <v>4030035.8044809848</v>
      </c>
    </row>
    <row r="181" spans="1:20">
      <c r="A181" s="160">
        <v>1802</v>
      </c>
      <c r="B181" s="133">
        <v>103150</v>
      </c>
      <c r="C181" s="133" t="s">
        <v>884</v>
      </c>
      <c r="D181" s="133" t="s">
        <v>885</v>
      </c>
      <c r="E181" s="159" t="s">
        <v>534</v>
      </c>
      <c r="F181" s="161" t="s">
        <v>535</v>
      </c>
      <c r="H181" s="750">
        <v>614899.02638829884</v>
      </c>
      <c r="I181" s="750">
        <v>0</v>
      </c>
      <c r="J181" s="750">
        <v>20845.097599261313</v>
      </c>
      <c r="K181" s="750">
        <v>0</v>
      </c>
      <c r="L181" s="750">
        <v>0</v>
      </c>
      <c r="M181" s="750">
        <v>0</v>
      </c>
      <c r="N181" s="750">
        <v>4978.5755000000008</v>
      </c>
      <c r="O181" s="750">
        <v>0</v>
      </c>
      <c r="P181" s="750">
        <v>-70.959999999999994</v>
      </c>
      <c r="Q181" s="750">
        <v>-3291.75</v>
      </c>
      <c r="R181" s="750">
        <v>0</v>
      </c>
      <c r="S181" s="750">
        <v>4621</v>
      </c>
      <c r="T181" s="750">
        <v>641980.98948756023</v>
      </c>
    </row>
    <row r="182" spans="1:20">
      <c r="A182" s="160">
        <v>2079</v>
      </c>
      <c r="B182" s="133">
        <v>103200</v>
      </c>
      <c r="C182" s="133" t="s">
        <v>886</v>
      </c>
      <c r="D182" s="133" t="s">
        <v>887</v>
      </c>
      <c r="E182" s="159" t="s">
        <v>538</v>
      </c>
      <c r="F182" s="161" t="s">
        <v>535</v>
      </c>
      <c r="H182" s="750">
        <v>2006182.8603706395</v>
      </c>
      <c r="I182" s="750">
        <v>0</v>
      </c>
      <c r="J182" s="750">
        <v>189631.15266666666</v>
      </c>
      <c r="K182" s="750">
        <v>218160</v>
      </c>
      <c r="L182" s="750">
        <v>47077</v>
      </c>
      <c r="M182" s="750">
        <v>0</v>
      </c>
      <c r="N182" s="750">
        <v>6679.4929149999662</v>
      </c>
      <c r="O182" s="750">
        <v>-23115.159999999993</v>
      </c>
      <c r="P182" s="750">
        <v>-6.209999999999992</v>
      </c>
      <c r="Q182" s="750">
        <v>-8775</v>
      </c>
      <c r="R182" s="750">
        <v>-8475.9999999999982</v>
      </c>
      <c r="S182" s="750">
        <v>7948.75</v>
      </c>
      <c r="T182" s="750">
        <v>2435306.885952306</v>
      </c>
    </row>
    <row r="183" spans="1:20">
      <c r="A183" s="160">
        <v>2091</v>
      </c>
      <c r="B183" s="133">
        <v>103208</v>
      </c>
      <c r="C183" s="133" t="s">
        <v>888</v>
      </c>
      <c r="D183" s="133" t="s">
        <v>889</v>
      </c>
      <c r="E183" s="159" t="s">
        <v>538</v>
      </c>
      <c r="F183" s="161" t="s">
        <v>535</v>
      </c>
      <c r="H183" s="750">
        <v>1229242.6831729088</v>
      </c>
      <c r="I183" s="750">
        <v>0</v>
      </c>
      <c r="J183" s="750">
        <v>182190.65333333332</v>
      </c>
      <c r="K183" s="750">
        <v>138980</v>
      </c>
      <c r="L183" s="750">
        <v>36846.86</v>
      </c>
      <c r="M183" s="750">
        <v>0</v>
      </c>
      <c r="N183" s="750">
        <v>1068.3800000000001</v>
      </c>
      <c r="O183" s="750">
        <v>-16916.68</v>
      </c>
      <c r="P183" s="750">
        <v>-73.019999999999982</v>
      </c>
      <c r="Q183" s="750">
        <v>-5139.75</v>
      </c>
      <c r="R183" s="750">
        <v>-4850.8799999999992</v>
      </c>
      <c r="S183" s="750">
        <v>6120.63</v>
      </c>
      <c r="T183" s="750">
        <v>1567468.8765062422</v>
      </c>
    </row>
    <row r="184" spans="1:20">
      <c r="A184" s="160">
        <v>2477</v>
      </c>
      <c r="B184" s="133">
        <v>132261</v>
      </c>
      <c r="C184" s="133" t="s">
        <v>890</v>
      </c>
      <c r="D184" s="133" t="s">
        <v>891</v>
      </c>
      <c r="E184" s="159" t="s">
        <v>538</v>
      </c>
      <c r="F184" s="161" t="s">
        <v>535</v>
      </c>
      <c r="H184" s="750">
        <v>4350806.79</v>
      </c>
      <c r="I184" s="750">
        <v>0</v>
      </c>
      <c r="J184" s="750">
        <v>279543.75</v>
      </c>
      <c r="K184" s="750">
        <v>157825</v>
      </c>
      <c r="L184" s="750">
        <v>187900.15</v>
      </c>
      <c r="M184" s="750">
        <v>0</v>
      </c>
      <c r="N184" s="750">
        <v>7498.07</v>
      </c>
      <c r="O184" s="750">
        <v>-33389.800000000003</v>
      </c>
      <c r="P184" s="750">
        <v>-96.34</v>
      </c>
      <c r="Q184" s="750">
        <v>-24312.75</v>
      </c>
      <c r="R184" s="750">
        <v>-21724.639999999999</v>
      </c>
      <c r="S184" s="750">
        <v>13067.5</v>
      </c>
      <c r="T184" s="750">
        <v>4917117.7300000014</v>
      </c>
    </row>
    <row r="185" spans="1:20">
      <c r="A185" s="160">
        <v>3436</v>
      </c>
      <c r="B185" s="133">
        <v>136440</v>
      </c>
      <c r="C185" s="133" t="s">
        <v>892</v>
      </c>
      <c r="D185" s="133" t="s">
        <v>893</v>
      </c>
      <c r="E185" s="159" t="s">
        <v>538</v>
      </c>
      <c r="F185" s="161" t="s">
        <v>535</v>
      </c>
      <c r="H185" s="750">
        <v>1170832.3994420457</v>
      </c>
      <c r="I185" s="750">
        <v>0</v>
      </c>
      <c r="J185" s="750">
        <v>40920</v>
      </c>
      <c r="K185" s="750">
        <v>99590</v>
      </c>
      <c r="L185" s="750">
        <v>40733.64</v>
      </c>
      <c r="M185" s="750">
        <v>0</v>
      </c>
      <c r="N185" s="750">
        <v>901.71</v>
      </c>
      <c r="O185" s="750">
        <v>-6677.9600000000019</v>
      </c>
      <c r="P185" s="750">
        <v>-2.2800000000000114</v>
      </c>
      <c r="Q185" s="750">
        <v>-3500.38</v>
      </c>
      <c r="R185" s="750">
        <v>-4407.5199999999986</v>
      </c>
      <c r="S185" s="750">
        <v>0</v>
      </c>
      <c r="T185" s="750">
        <v>1338389.6094420457</v>
      </c>
    </row>
    <row r="186" spans="1:20">
      <c r="A186" s="160">
        <v>2474</v>
      </c>
      <c r="B186" s="133">
        <v>131672</v>
      </c>
      <c r="C186" s="133" t="s">
        <v>894</v>
      </c>
      <c r="D186" s="133" t="s">
        <v>895</v>
      </c>
      <c r="E186" s="159" t="s">
        <v>538</v>
      </c>
      <c r="F186" s="161" t="s">
        <v>535</v>
      </c>
      <c r="H186" s="750">
        <v>2267713.0705624702</v>
      </c>
      <c r="I186" s="750">
        <v>0</v>
      </c>
      <c r="J186" s="750">
        <v>44320.263333333336</v>
      </c>
      <c r="K186" s="750">
        <v>205240</v>
      </c>
      <c r="L186" s="750">
        <v>71696</v>
      </c>
      <c r="M186" s="750">
        <v>0</v>
      </c>
      <c r="N186" s="750">
        <v>2399.4499999999998</v>
      </c>
      <c r="O186" s="750">
        <v>-33857.499999999993</v>
      </c>
      <c r="P186" s="750">
        <v>-115.16</v>
      </c>
      <c r="Q186" s="750">
        <v>-11151</v>
      </c>
      <c r="R186" s="750">
        <v>-10771.039999999995</v>
      </c>
      <c r="S186" s="750">
        <v>8668.75</v>
      </c>
      <c r="T186" s="750">
        <v>2544142.8338958034</v>
      </c>
    </row>
    <row r="187" spans="1:20">
      <c r="A187" s="160">
        <v>3352</v>
      </c>
      <c r="B187" s="133">
        <v>103444</v>
      </c>
      <c r="C187" s="133" t="s">
        <v>896</v>
      </c>
      <c r="D187" s="133" t="s">
        <v>897</v>
      </c>
      <c r="E187" s="159" t="s">
        <v>538</v>
      </c>
      <c r="F187" s="161" t="s">
        <v>535</v>
      </c>
      <c r="H187" s="750">
        <v>1003303.6823757245</v>
      </c>
      <c r="I187" s="750">
        <v>0</v>
      </c>
      <c r="J187" s="750">
        <v>75034.263333333336</v>
      </c>
      <c r="K187" s="750">
        <v>74235</v>
      </c>
      <c r="L187" s="750">
        <v>33898</v>
      </c>
      <c r="M187" s="750">
        <v>0</v>
      </c>
      <c r="N187" s="750">
        <v>838.70999999999992</v>
      </c>
      <c r="O187" s="750">
        <v>-7207.9599999999982</v>
      </c>
      <c r="P187" s="750">
        <v>-3.3200000000000003</v>
      </c>
      <c r="Q187" s="750">
        <v>-5139.75</v>
      </c>
      <c r="R187" s="750">
        <v>-3938.0799999999995</v>
      </c>
      <c r="S187" s="750">
        <v>0</v>
      </c>
      <c r="T187" s="750">
        <v>1171020.5457090577</v>
      </c>
    </row>
    <row r="188" spans="1:20">
      <c r="A188" s="160">
        <v>2005</v>
      </c>
      <c r="B188" s="133">
        <v>134098</v>
      </c>
      <c r="C188" s="133" t="s">
        <v>898</v>
      </c>
      <c r="D188" s="133" t="s">
        <v>899</v>
      </c>
      <c r="E188" s="159" t="s">
        <v>538</v>
      </c>
      <c r="F188" s="161" t="s">
        <v>535</v>
      </c>
      <c r="H188" s="750">
        <v>3367924.1474803332</v>
      </c>
      <c r="I188" s="750">
        <v>0</v>
      </c>
      <c r="J188" s="750">
        <v>125484.553</v>
      </c>
      <c r="K188" s="750">
        <v>235985</v>
      </c>
      <c r="L188" s="750">
        <v>117735.2</v>
      </c>
      <c r="M188" s="750">
        <v>0</v>
      </c>
      <c r="N188" s="750">
        <v>7962.457290000084</v>
      </c>
      <c r="O188" s="750">
        <v>-59344.80000000001</v>
      </c>
      <c r="P188" s="750">
        <v>-96.740000000000009</v>
      </c>
      <c r="Q188" s="750">
        <v>-18745.650000000001</v>
      </c>
      <c r="R188" s="750">
        <v>-16326.079999999996</v>
      </c>
      <c r="S188" s="750">
        <v>11383.38</v>
      </c>
      <c r="T188" s="750">
        <v>3771961.4677703334</v>
      </c>
    </row>
    <row r="189" spans="1:20">
      <c r="A189" s="160">
        <v>1024</v>
      </c>
      <c r="B189" s="133">
        <v>103137</v>
      </c>
      <c r="C189" s="133" t="s">
        <v>900</v>
      </c>
      <c r="D189" s="133" t="s">
        <v>901</v>
      </c>
      <c r="E189" s="159" t="s">
        <v>534</v>
      </c>
      <c r="F189" s="161" t="s">
        <v>535</v>
      </c>
      <c r="H189" s="750">
        <v>602975.22846703755</v>
      </c>
      <c r="I189" s="750">
        <v>0</v>
      </c>
      <c r="J189" s="750">
        <v>9337.1633999999995</v>
      </c>
      <c r="K189" s="750">
        <v>0</v>
      </c>
      <c r="L189" s="750">
        <v>0</v>
      </c>
      <c r="M189" s="750">
        <v>0</v>
      </c>
      <c r="N189" s="750">
        <v>0</v>
      </c>
      <c r="O189" s="750">
        <v>0</v>
      </c>
      <c r="P189" s="750">
        <v>0</v>
      </c>
      <c r="Q189" s="750">
        <v>-3291.75</v>
      </c>
      <c r="R189" s="750">
        <v>0</v>
      </c>
      <c r="S189" s="750">
        <v>4556.88</v>
      </c>
      <c r="T189" s="750">
        <v>613577.52186703752</v>
      </c>
    </row>
    <row r="190" spans="1:20">
      <c r="A190" s="160">
        <v>2004</v>
      </c>
      <c r="B190" s="133">
        <v>134094</v>
      </c>
      <c r="C190" s="133" t="s">
        <v>902</v>
      </c>
      <c r="D190" s="133" t="s">
        <v>903</v>
      </c>
      <c r="E190" s="159" t="s">
        <v>538</v>
      </c>
      <c r="F190" s="161" t="s">
        <v>535</v>
      </c>
      <c r="H190" s="750">
        <v>1830615.0869879385</v>
      </c>
      <c r="I190" s="750">
        <v>0</v>
      </c>
      <c r="J190" s="750">
        <v>58664.673333333325</v>
      </c>
      <c r="K190" s="750">
        <v>190490</v>
      </c>
      <c r="L190" s="750">
        <v>74880.350000000006</v>
      </c>
      <c r="M190" s="750">
        <v>0</v>
      </c>
      <c r="N190" s="750">
        <v>4190.21</v>
      </c>
      <c r="O190" s="750">
        <v>-23631.700000000008</v>
      </c>
      <c r="P190" s="750">
        <v>-78.79000000000002</v>
      </c>
      <c r="Q190" s="750">
        <v>-5139.75</v>
      </c>
      <c r="R190" s="750">
        <v>-7797.920000000001</v>
      </c>
      <c r="S190" s="750">
        <v>7633.75</v>
      </c>
      <c r="T190" s="750">
        <v>2129825.9103212715</v>
      </c>
    </row>
    <row r="191" spans="1:20">
      <c r="A191" s="160">
        <v>3431</v>
      </c>
      <c r="B191" s="133">
        <v>134774</v>
      </c>
      <c r="C191" s="133" t="s">
        <v>904</v>
      </c>
      <c r="D191" s="133" t="s">
        <v>905</v>
      </c>
      <c r="E191" s="159" t="s">
        <v>538</v>
      </c>
      <c r="F191" s="161" t="s">
        <v>583</v>
      </c>
      <c r="H191" s="750">
        <v>1478844.2957894735</v>
      </c>
      <c r="I191" s="750">
        <v>0</v>
      </c>
      <c r="J191" s="750">
        <v>102201.65</v>
      </c>
      <c r="K191" s="750">
        <v>78537.5</v>
      </c>
      <c r="L191" s="750">
        <v>109035</v>
      </c>
      <c r="M191" s="750">
        <v>0</v>
      </c>
      <c r="N191" s="750">
        <v>1080.04</v>
      </c>
      <c r="O191" s="750">
        <v>-117089.25</v>
      </c>
      <c r="P191" s="750">
        <v>-1.5999999999999943</v>
      </c>
      <c r="Q191" s="750">
        <v>-7810.6875</v>
      </c>
      <c r="R191" s="750">
        <v>-6693.8666666666668</v>
      </c>
      <c r="S191" s="750">
        <v>11553.25</v>
      </c>
      <c r="T191" s="750">
        <v>1649656.3316228066</v>
      </c>
    </row>
    <row r="192" spans="1:20">
      <c r="A192" s="160">
        <v>1028</v>
      </c>
      <c r="B192" s="133">
        <v>103141</v>
      </c>
      <c r="C192" s="133" t="s">
        <v>906</v>
      </c>
      <c r="D192" s="133" t="s">
        <v>907</v>
      </c>
      <c r="E192" s="159" t="s">
        <v>534</v>
      </c>
      <c r="F192" s="161" t="s">
        <v>535</v>
      </c>
      <c r="H192" s="750">
        <v>626171.61383012799</v>
      </c>
      <c r="I192" s="750">
        <v>0</v>
      </c>
      <c r="J192" s="750">
        <v>26529.489196675902</v>
      </c>
      <c r="K192" s="750">
        <v>0</v>
      </c>
      <c r="L192" s="750">
        <v>876</v>
      </c>
      <c r="M192" s="750">
        <v>0</v>
      </c>
      <c r="N192" s="750">
        <v>0</v>
      </c>
      <c r="O192" s="750">
        <v>0</v>
      </c>
      <c r="P192" s="750">
        <v>0</v>
      </c>
      <c r="Q192" s="750">
        <v>-3291.75</v>
      </c>
      <c r="R192" s="750">
        <v>0</v>
      </c>
      <c r="S192" s="750">
        <v>4567</v>
      </c>
      <c r="T192" s="750">
        <v>654852.35302680393</v>
      </c>
    </row>
    <row r="193" spans="1:20">
      <c r="A193" s="160">
        <v>2150</v>
      </c>
      <c r="B193" s="133">
        <v>103241</v>
      </c>
      <c r="C193" s="133" t="s">
        <v>908</v>
      </c>
      <c r="D193" s="133" t="s">
        <v>909</v>
      </c>
      <c r="E193" s="159" t="s">
        <v>538</v>
      </c>
      <c r="F193" s="161" t="s">
        <v>535</v>
      </c>
      <c r="H193" s="750">
        <v>1658431.4373479388</v>
      </c>
      <c r="I193" s="750">
        <v>0</v>
      </c>
      <c r="J193" s="750">
        <v>129763.01</v>
      </c>
      <c r="K193" s="750">
        <v>176855</v>
      </c>
      <c r="L193" s="750">
        <v>44442</v>
      </c>
      <c r="M193" s="750">
        <v>0</v>
      </c>
      <c r="N193" s="750">
        <v>2470.69</v>
      </c>
      <c r="O193" s="750">
        <v>-35244.79</v>
      </c>
      <c r="P193" s="750">
        <v>-281.52</v>
      </c>
      <c r="Q193" s="750">
        <v>-5139.75</v>
      </c>
      <c r="R193" s="750">
        <v>-6728.64</v>
      </c>
      <c r="S193" s="750">
        <v>7240</v>
      </c>
      <c r="T193" s="750">
        <v>1971807.4373479388</v>
      </c>
    </row>
    <row r="194" spans="1:20">
      <c r="A194" s="160">
        <v>2425</v>
      </c>
      <c r="B194" s="133">
        <v>103356</v>
      </c>
      <c r="C194" s="133" t="s">
        <v>910</v>
      </c>
      <c r="D194" s="133" t="s">
        <v>911</v>
      </c>
      <c r="E194" s="159" t="s">
        <v>538</v>
      </c>
      <c r="F194" s="161" t="s">
        <v>535</v>
      </c>
      <c r="H194" s="750">
        <v>1139903.1488526065</v>
      </c>
      <c r="I194" s="750">
        <v>0</v>
      </c>
      <c r="J194" s="750">
        <v>89456.533333333326</v>
      </c>
      <c r="K194" s="750">
        <v>45765</v>
      </c>
      <c r="L194" s="750">
        <v>55219</v>
      </c>
      <c r="M194" s="750">
        <v>0</v>
      </c>
      <c r="N194" s="750">
        <v>3352.64</v>
      </c>
      <c r="O194" s="750">
        <v>-15625.330000000004</v>
      </c>
      <c r="P194" s="750">
        <v>-42.930000000000014</v>
      </c>
      <c r="Q194" s="750">
        <v>-5139.75</v>
      </c>
      <c r="R194" s="750">
        <v>-5450.7199999999984</v>
      </c>
      <c r="S194" s="750">
        <v>6373.75</v>
      </c>
      <c r="T194" s="750">
        <v>1313811.3421859399</v>
      </c>
    </row>
    <row r="195" spans="1:20">
      <c r="A195" s="160">
        <v>7034</v>
      </c>
      <c r="B195" s="133">
        <v>103614</v>
      </c>
      <c r="C195" s="133" t="s">
        <v>912</v>
      </c>
      <c r="D195" s="133" t="s">
        <v>913</v>
      </c>
      <c r="E195" s="159" t="s">
        <v>553</v>
      </c>
      <c r="F195" s="161" t="s">
        <v>535</v>
      </c>
      <c r="H195" s="750">
        <v>991269.24130434787</v>
      </c>
      <c r="I195" s="750">
        <v>12198.468821780953</v>
      </c>
      <c r="J195" s="750">
        <v>1490887.9937196181</v>
      </c>
      <c r="K195" s="750">
        <v>45545</v>
      </c>
      <c r="L195" s="750">
        <v>19791.93</v>
      </c>
      <c r="M195" s="750">
        <v>0</v>
      </c>
      <c r="N195" s="750">
        <v>19307.13177500002</v>
      </c>
      <c r="O195" s="750">
        <v>0</v>
      </c>
      <c r="P195" s="750">
        <v>-177.11</v>
      </c>
      <c r="Q195" s="750">
        <v>-3291.75</v>
      </c>
      <c r="R195" s="750">
        <v>0</v>
      </c>
      <c r="S195" s="750">
        <v>8206.94</v>
      </c>
      <c r="T195" s="750">
        <v>2583737.8456207472</v>
      </c>
    </row>
    <row r="196" spans="1:20">
      <c r="A196" s="160">
        <v>2157</v>
      </c>
      <c r="B196" s="133">
        <v>103246</v>
      </c>
      <c r="C196" s="133" t="s">
        <v>914</v>
      </c>
      <c r="D196" s="133" t="s">
        <v>915</v>
      </c>
      <c r="E196" s="159" t="s">
        <v>538</v>
      </c>
      <c r="F196" s="161" t="s">
        <v>535</v>
      </c>
      <c r="H196" s="750">
        <v>2179353.8135492201</v>
      </c>
      <c r="I196" s="750">
        <v>0</v>
      </c>
      <c r="J196" s="750">
        <v>57533.259999999995</v>
      </c>
      <c r="K196" s="750">
        <v>153730</v>
      </c>
      <c r="L196" s="750">
        <v>81712.329999999987</v>
      </c>
      <c r="M196" s="750">
        <v>0</v>
      </c>
      <c r="N196" s="750">
        <v>3628.63</v>
      </c>
      <c r="O196" s="750">
        <v>-27559.83</v>
      </c>
      <c r="P196" s="750">
        <v>-54.46</v>
      </c>
      <c r="Q196" s="750">
        <v>-9471</v>
      </c>
      <c r="R196" s="750">
        <v>-10040.800000000001</v>
      </c>
      <c r="S196" s="750">
        <v>8623.75</v>
      </c>
      <c r="T196" s="750">
        <v>2437455.69354922</v>
      </c>
    </row>
    <row r="197" spans="1:20">
      <c r="A197" s="160">
        <v>1000</v>
      </c>
      <c r="B197" s="133">
        <v>137796</v>
      </c>
      <c r="C197" s="133" t="s">
        <v>916</v>
      </c>
      <c r="D197" s="133" t="s">
        <v>917</v>
      </c>
      <c r="E197" s="159" t="s">
        <v>534</v>
      </c>
      <c r="F197" s="161" t="s">
        <v>535</v>
      </c>
      <c r="H197" s="750">
        <v>443838.89759282471</v>
      </c>
      <c r="I197" s="750">
        <v>0</v>
      </c>
      <c r="J197" s="750">
        <v>8345.9999318559567</v>
      </c>
      <c r="K197" s="750">
        <v>0</v>
      </c>
      <c r="L197" s="750">
        <v>0</v>
      </c>
      <c r="M197" s="750">
        <v>0</v>
      </c>
      <c r="N197" s="750">
        <v>1109.3670849999955</v>
      </c>
      <c r="O197" s="750">
        <v>0</v>
      </c>
      <c r="P197" s="750">
        <v>0</v>
      </c>
      <c r="Q197" s="750">
        <v>-1107</v>
      </c>
      <c r="R197" s="750">
        <v>0</v>
      </c>
      <c r="S197" s="750">
        <v>4689.8500000000004</v>
      </c>
      <c r="T197" s="750">
        <v>456877.1146096806</v>
      </c>
    </row>
    <row r="198" spans="1:20">
      <c r="A198" s="160">
        <v>3329</v>
      </c>
      <c r="B198" s="133">
        <v>103431</v>
      </c>
      <c r="C198" s="133" t="s">
        <v>918</v>
      </c>
      <c r="D198" s="133" t="s">
        <v>919</v>
      </c>
      <c r="E198" s="159" t="s">
        <v>538</v>
      </c>
      <c r="F198" s="161" t="s">
        <v>583</v>
      </c>
      <c r="H198" s="750">
        <v>570174.06684625498</v>
      </c>
      <c r="I198" s="750">
        <v>0</v>
      </c>
      <c r="J198" s="750">
        <v>46933.33</v>
      </c>
      <c r="K198" s="750">
        <v>58706.25</v>
      </c>
      <c r="L198" s="750">
        <v>37351</v>
      </c>
      <c r="M198" s="750">
        <v>0</v>
      </c>
      <c r="N198" s="750">
        <v>0</v>
      </c>
      <c r="O198" s="750">
        <v>-3444.9800000000005</v>
      </c>
      <c r="P198" s="750">
        <v>0</v>
      </c>
      <c r="Q198" s="750">
        <v>-2141.5625</v>
      </c>
      <c r="R198" s="750">
        <v>-2195.0666666666698</v>
      </c>
      <c r="S198" s="750">
        <v>0</v>
      </c>
      <c r="T198" s="750">
        <v>705383.03767958831</v>
      </c>
    </row>
    <row r="199" spans="1:20">
      <c r="A199" s="160">
        <v>3406</v>
      </c>
      <c r="B199" s="133">
        <v>103476</v>
      </c>
      <c r="C199" s="133" t="s">
        <v>920</v>
      </c>
      <c r="D199" s="133" t="s">
        <v>921</v>
      </c>
      <c r="E199" s="159" t="s">
        <v>538</v>
      </c>
      <c r="F199" s="161" t="s">
        <v>583</v>
      </c>
      <c r="H199" s="750">
        <v>611896.49141925434</v>
      </c>
      <c r="I199" s="750">
        <v>0</v>
      </c>
      <c r="J199" s="750">
        <v>13933.116666666667</v>
      </c>
      <c r="K199" s="750">
        <v>89470.83</v>
      </c>
      <c r="L199" s="750">
        <v>17606</v>
      </c>
      <c r="M199" s="750">
        <v>0</v>
      </c>
      <c r="N199" s="750">
        <v>0</v>
      </c>
      <c r="O199" s="750">
        <v>-3842.4800000000009</v>
      </c>
      <c r="P199" s="750">
        <v>0</v>
      </c>
      <c r="Q199" s="750">
        <v>0</v>
      </c>
      <c r="R199" s="750">
        <v>-2238.5333333333297</v>
      </c>
      <c r="S199" s="750">
        <v>0</v>
      </c>
      <c r="T199" s="750">
        <v>726825.42475258769</v>
      </c>
    </row>
    <row r="200" spans="1:20">
      <c r="A200" s="160">
        <v>3342</v>
      </c>
      <c r="B200" s="133">
        <v>103437</v>
      </c>
      <c r="C200" s="133" t="s">
        <v>922</v>
      </c>
      <c r="D200" s="133" t="s">
        <v>923</v>
      </c>
      <c r="E200" s="159" t="s">
        <v>538</v>
      </c>
      <c r="F200" s="161" t="s">
        <v>583</v>
      </c>
      <c r="H200" s="750">
        <v>986000.58138582669</v>
      </c>
      <c r="I200" s="750">
        <v>0</v>
      </c>
      <c r="J200" s="750">
        <v>67350.403599999991</v>
      </c>
      <c r="K200" s="750">
        <v>134456.25</v>
      </c>
      <c r="L200" s="750">
        <v>50853</v>
      </c>
      <c r="M200" s="750">
        <v>0</v>
      </c>
      <c r="N200" s="750">
        <v>0</v>
      </c>
      <c r="O200" s="750">
        <v>-7949.9499999999989</v>
      </c>
      <c r="P200" s="750">
        <v>0</v>
      </c>
      <c r="Q200" s="750">
        <v>0</v>
      </c>
      <c r="R200" s="750">
        <v>-4053.2666666666701</v>
      </c>
      <c r="S200" s="750">
        <v>0</v>
      </c>
      <c r="T200" s="750">
        <v>1226657.0183191602</v>
      </c>
    </row>
    <row r="201" spans="1:20">
      <c r="A201" s="160">
        <v>3382</v>
      </c>
      <c r="B201" s="133">
        <v>103467</v>
      </c>
      <c r="C201" s="133" t="s">
        <v>924</v>
      </c>
      <c r="D201" s="133" t="s">
        <v>925</v>
      </c>
      <c r="E201" s="159" t="s">
        <v>538</v>
      </c>
      <c r="F201" s="161" t="s">
        <v>535</v>
      </c>
      <c r="H201" s="750">
        <v>1284145.8869547979</v>
      </c>
      <c r="I201" s="750">
        <v>0</v>
      </c>
      <c r="J201" s="750">
        <v>86460.66333333333</v>
      </c>
      <c r="K201" s="750">
        <v>114690</v>
      </c>
      <c r="L201" s="750">
        <v>42219</v>
      </c>
      <c r="M201" s="750">
        <v>0</v>
      </c>
      <c r="N201" s="750">
        <v>961.08607999998628</v>
      </c>
      <c r="O201" s="750">
        <v>-4557.9799999999996</v>
      </c>
      <c r="P201" s="750">
        <v>0</v>
      </c>
      <c r="Q201" s="750">
        <v>0</v>
      </c>
      <c r="R201" s="750">
        <v>-5476.7999999999984</v>
      </c>
      <c r="S201" s="750">
        <v>0</v>
      </c>
      <c r="T201" s="750">
        <v>1518441.8563681312</v>
      </c>
    </row>
    <row r="202" spans="1:20">
      <c r="A202" s="160">
        <v>3346</v>
      </c>
      <c r="B202" s="133">
        <v>103439</v>
      </c>
      <c r="C202" s="133" t="s">
        <v>926</v>
      </c>
      <c r="D202" s="133" t="s">
        <v>927</v>
      </c>
      <c r="E202" s="159" t="s">
        <v>538</v>
      </c>
      <c r="F202" s="161" t="s">
        <v>535</v>
      </c>
      <c r="H202" s="750">
        <v>2444223.3771132822</v>
      </c>
      <c r="I202" s="750">
        <v>0</v>
      </c>
      <c r="J202" s="750">
        <v>176158.22999999998</v>
      </c>
      <c r="K202" s="750">
        <v>238520</v>
      </c>
      <c r="L202" s="750">
        <v>88710.69</v>
      </c>
      <c r="M202" s="750">
        <v>0</v>
      </c>
      <c r="N202" s="750">
        <v>4017.54</v>
      </c>
      <c r="O202" s="750">
        <v>-7128.4500000000016</v>
      </c>
      <c r="P202" s="750">
        <v>-128.76999999999998</v>
      </c>
      <c r="Q202" s="750">
        <v>-9471</v>
      </c>
      <c r="R202" s="750">
        <v>-9284.4800000000014</v>
      </c>
      <c r="S202" s="750">
        <v>0</v>
      </c>
      <c r="T202" s="750">
        <v>2925617.137113282</v>
      </c>
    </row>
    <row r="203" spans="1:20">
      <c r="A203" s="160">
        <v>3365</v>
      </c>
      <c r="B203" s="133">
        <v>103456</v>
      </c>
      <c r="C203" s="133" t="s">
        <v>928</v>
      </c>
      <c r="D203" s="133" t="s">
        <v>929</v>
      </c>
      <c r="E203" s="159" t="s">
        <v>538</v>
      </c>
      <c r="F203" s="161" t="s">
        <v>583</v>
      </c>
      <c r="H203" s="750">
        <v>499792.77744536672</v>
      </c>
      <c r="I203" s="750">
        <v>0</v>
      </c>
      <c r="J203" s="750">
        <v>52339.5</v>
      </c>
      <c r="K203" s="750">
        <v>31693.75</v>
      </c>
      <c r="L203" s="750">
        <v>33320</v>
      </c>
      <c r="M203" s="750">
        <v>0</v>
      </c>
      <c r="N203" s="750">
        <v>0</v>
      </c>
      <c r="O203" s="750">
        <v>-3736.4799999999996</v>
      </c>
      <c r="P203" s="750">
        <v>0</v>
      </c>
      <c r="Q203" s="750">
        <v>-2141.5625</v>
      </c>
      <c r="R203" s="750">
        <v>-2271.1333333333291</v>
      </c>
      <c r="S203" s="750">
        <v>0</v>
      </c>
      <c r="T203" s="750">
        <v>608996.85161203344</v>
      </c>
    </row>
    <row r="204" spans="1:20">
      <c r="A204" s="160">
        <v>1009</v>
      </c>
      <c r="B204" s="133">
        <v>103124</v>
      </c>
      <c r="C204" s="133" t="s">
        <v>930</v>
      </c>
      <c r="D204" s="133" t="s">
        <v>931</v>
      </c>
      <c r="E204" s="159" t="s">
        <v>534</v>
      </c>
      <c r="F204" s="161" t="s">
        <v>535</v>
      </c>
      <c r="H204" s="750">
        <v>713504.15031338995</v>
      </c>
      <c r="I204" s="750">
        <v>0</v>
      </c>
      <c r="J204" s="750">
        <v>32251.733199999999</v>
      </c>
      <c r="K204" s="750">
        <v>0</v>
      </c>
      <c r="L204" s="750">
        <v>0</v>
      </c>
      <c r="M204" s="750">
        <v>0</v>
      </c>
      <c r="N204" s="750">
        <v>0</v>
      </c>
      <c r="O204" s="750">
        <v>0</v>
      </c>
      <c r="P204" s="750">
        <v>0</v>
      </c>
      <c r="Q204" s="750">
        <v>-3291.75</v>
      </c>
      <c r="R204" s="750">
        <v>0</v>
      </c>
      <c r="S204" s="750">
        <v>4823.5</v>
      </c>
      <c r="T204" s="750">
        <v>747287.63351338997</v>
      </c>
    </row>
    <row r="205" spans="1:20">
      <c r="A205" s="160">
        <v>3310</v>
      </c>
      <c r="B205" s="133">
        <v>103417</v>
      </c>
      <c r="C205" s="133" t="s">
        <v>932</v>
      </c>
      <c r="D205" s="133" t="s">
        <v>933</v>
      </c>
      <c r="E205" s="159" t="s">
        <v>538</v>
      </c>
      <c r="F205" s="161" t="s">
        <v>583</v>
      </c>
      <c r="H205" s="750">
        <v>604738.68048118742</v>
      </c>
      <c r="I205" s="750">
        <v>0</v>
      </c>
      <c r="J205" s="750">
        <v>26291.466666666667</v>
      </c>
      <c r="K205" s="750">
        <v>87743.75</v>
      </c>
      <c r="L205" s="750">
        <v>23492</v>
      </c>
      <c r="M205" s="750">
        <v>0</v>
      </c>
      <c r="N205" s="750">
        <v>0</v>
      </c>
      <c r="O205" s="750">
        <v>-3974.9799999999996</v>
      </c>
      <c r="P205" s="750">
        <v>0</v>
      </c>
      <c r="Q205" s="750">
        <v>-2345.625</v>
      </c>
      <c r="R205" s="750">
        <v>-2173.3333333333298</v>
      </c>
      <c r="S205" s="750">
        <v>0</v>
      </c>
      <c r="T205" s="750">
        <v>733771.95881452074</v>
      </c>
    </row>
    <row r="206" spans="1:20">
      <c r="A206" s="160">
        <v>2246</v>
      </c>
      <c r="B206" s="133">
        <v>103296</v>
      </c>
      <c r="C206" s="133" t="s">
        <v>934</v>
      </c>
      <c r="D206" s="133" t="s">
        <v>935</v>
      </c>
      <c r="E206" s="159" t="s">
        <v>538</v>
      </c>
      <c r="F206" s="161" t="s">
        <v>583</v>
      </c>
      <c r="H206" s="750">
        <v>269490.77645082166</v>
      </c>
      <c r="I206" s="750">
        <v>0</v>
      </c>
      <c r="J206" s="750">
        <v>17750.5425</v>
      </c>
      <c r="K206" s="750">
        <v>63492</v>
      </c>
      <c r="L206" s="750">
        <v>8733</v>
      </c>
      <c r="M206" s="750">
        <v>0</v>
      </c>
      <c r="N206" s="750">
        <v>0</v>
      </c>
      <c r="O206" s="750">
        <v>-27029.84</v>
      </c>
      <c r="P206" s="750">
        <v>0</v>
      </c>
      <c r="Q206" s="750">
        <v>-1047.2</v>
      </c>
      <c r="R206" s="750">
        <v>-5259.466666666669</v>
      </c>
      <c r="S206" s="750">
        <v>0</v>
      </c>
      <c r="T206" s="750">
        <v>326129.81228415493</v>
      </c>
    </row>
    <row r="207" spans="1:20">
      <c r="A207" s="160">
        <v>1020</v>
      </c>
      <c r="B207" s="133">
        <v>103133</v>
      </c>
      <c r="C207" s="133" t="s">
        <v>936</v>
      </c>
      <c r="D207" s="133" t="s">
        <v>937</v>
      </c>
      <c r="E207" s="159" t="s">
        <v>534</v>
      </c>
      <c r="F207" s="161" t="s">
        <v>535</v>
      </c>
      <c r="H207" s="750">
        <v>1284547.7264143531</v>
      </c>
      <c r="I207" s="750">
        <v>0</v>
      </c>
      <c r="J207" s="750">
        <v>82990.760657433042</v>
      </c>
      <c r="K207" s="750">
        <v>0</v>
      </c>
      <c r="L207" s="750">
        <v>0</v>
      </c>
      <c r="M207" s="750">
        <v>0</v>
      </c>
      <c r="N207" s="750">
        <v>2934.62</v>
      </c>
      <c r="O207" s="750">
        <v>0</v>
      </c>
      <c r="P207" s="750">
        <v>-59.910000000000025</v>
      </c>
      <c r="Q207" s="750">
        <v>-3291.75</v>
      </c>
      <c r="R207" s="750">
        <v>0</v>
      </c>
      <c r="S207" s="750">
        <v>5424.25</v>
      </c>
      <c r="T207" s="750">
        <v>1372545.6970717863</v>
      </c>
    </row>
    <row r="208" spans="1:20">
      <c r="A208" s="160">
        <v>2019</v>
      </c>
      <c r="B208" s="133">
        <v>134279</v>
      </c>
      <c r="C208" s="133" t="s">
        <v>938</v>
      </c>
      <c r="D208" s="133" t="s">
        <v>939</v>
      </c>
      <c r="E208" s="159" t="s">
        <v>538</v>
      </c>
      <c r="F208" s="161" t="s">
        <v>535</v>
      </c>
      <c r="H208" s="750">
        <v>2452821.7722999994</v>
      </c>
      <c r="I208" s="750">
        <v>0</v>
      </c>
      <c r="J208" s="750">
        <v>261907.77999999997</v>
      </c>
      <c r="K208" s="750">
        <v>302950</v>
      </c>
      <c r="L208" s="750">
        <v>74977.929999999993</v>
      </c>
      <c r="M208" s="750">
        <v>0</v>
      </c>
      <c r="N208" s="750">
        <v>5776.2502849999692</v>
      </c>
      <c r="O208" s="750">
        <v>-61406.259999999987</v>
      </c>
      <c r="P208" s="750">
        <v>-8.82</v>
      </c>
      <c r="Q208" s="750">
        <v>-9471</v>
      </c>
      <c r="R208" s="750">
        <v>-10562.400000000001</v>
      </c>
      <c r="S208" s="750">
        <v>8578.75</v>
      </c>
      <c r="T208" s="750">
        <v>3025564.0025849999</v>
      </c>
    </row>
    <row r="209" spans="1:7">
      <c r="A209" s="160"/>
      <c r="B209" s="133"/>
      <c r="C209" s="133"/>
      <c r="D209" s="133"/>
      <c r="E209" s="159"/>
      <c r="F209" s="161"/>
    </row>
    <row r="210" spans="1:7">
      <c r="A210" s="160"/>
      <c r="B210" s="133"/>
      <c r="C210" s="133"/>
      <c r="D210" s="133"/>
      <c r="E210" s="159"/>
      <c r="F210" s="161"/>
    </row>
    <row r="211" spans="1:7">
      <c r="A211" s="160"/>
      <c r="B211" s="133"/>
      <c r="C211" s="133"/>
      <c r="D211" s="133"/>
      <c r="E211" s="159"/>
      <c r="F211" s="161"/>
    </row>
    <row r="212" spans="1:7">
      <c r="A212" s="160"/>
      <c r="B212" s="133"/>
      <c r="C212" s="133"/>
      <c r="D212" s="133"/>
      <c r="E212" s="159"/>
      <c r="F212" s="161"/>
    </row>
    <row r="213" spans="1:7">
      <c r="A213" s="160"/>
      <c r="B213" s="133"/>
      <c r="C213" s="133"/>
      <c r="D213" s="133"/>
      <c r="E213" s="159"/>
      <c r="F213" s="161"/>
    </row>
    <row r="214" spans="1:7">
      <c r="A214" s="160"/>
      <c r="B214" s="133"/>
      <c r="C214" s="133"/>
      <c r="D214" s="133"/>
      <c r="E214" s="159"/>
      <c r="F214" s="161"/>
    </row>
    <row r="215" spans="1:7">
      <c r="A215" s="160"/>
      <c r="B215" s="133"/>
      <c r="C215" s="133"/>
      <c r="D215" s="133"/>
      <c r="E215" s="159"/>
      <c r="F215" s="161"/>
    </row>
    <row r="216" spans="1:7">
      <c r="A216" s="160"/>
      <c r="B216" s="133"/>
      <c r="C216" s="133"/>
      <c r="D216" s="133"/>
      <c r="E216" s="159"/>
      <c r="F216" s="161"/>
    </row>
    <row r="217" spans="1:7">
      <c r="A217" s="160"/>
      <c r="B217" s="133"/>
      <c r="C217" s="133"/>
      <c r="D217" s="133"/>
      <c r="E217" s="159"/>
      <c r="F217" s="161"/>
    </row>
    <row r="219" spans="1:7">
      <c r="G219" s="749"/>
    </row>
  </sheetData>
  <sheetProtection autoFilter="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0D932-C4F3-417F-A178-AE9B71FA1729}">
  <sheetPr>
    <tabColor rgb="FFFF0000"/>
  </sheetPr>
  <dimension ref="A1:AA209"/>
  <sheetViews>
    <sheetView topLeftCell="A2" zoomScale="80" zoomScaleNormal="80" workbookViewId="0">
      <selection activeCell="V210" sqref="V210"/>
    </sheetView>
  </sheetViews>
  <sheetFormatPr defaultRowHeight="14.4"/>
  <cols>
    <col min="1" max="1" width="5.44140625" bestFit="1" customWidth="1"/>
    <col min="2" max="2" width="7.6640625" bestFit="1" customWidth="1"/>
    <col min="3" max="3" width="7.5546875" bestFit="1" customWidth="1"/>
    <col min="4" max="4" width="37.33203125" customWidth="1"/>
    <col min="5" max="5" width="19" customWidth="1"/>
    <col min="6" max="7" width="15.109375" customWidth="1"/>
    <col min="8" max="8" width="3.5546875" customWidth="1"/>
    <col min="9" max="11" width="16.6640625" bestFit="1" customWidth="1"/>
    <col min="12" max="12" width="3.5546875" customWidth="1"/>
    <col min="13" max="13" width="14.33203125" customWidth="1"/>
    <col min="14" max="14" width="3.5546875" customWidth="1"/>
    <col min="15" max="16" width="12.109375" customWidth="1"/>
    <col min="17" max="17" width="13" bestFit="1" customWidth="1"/>
    <col min="18" max="25" width="12.109375" customWidth="1"/>
    <col min="26" max="26" width="13.44140625" bestFit="1" customWidth="1"/>
    <col min="27" max="27" width="15" customWidth="1"/>
  </cols>
  <sheetData>
    <row r="1" spans="1:27">
      <c r="A1" s="76" t="s">
        <v>940</v>
      </c>
    </row>
    <row r="2" spans="1:27" ht="39" customHeight="1">
      <c r="N2" s="751" t="s">
        <v>941</v>
      </c>
      <c r="O2" s="752" t="s">
        <v>942</v>
      </c>
      <c r="P2" s="752" t="s">
        <v>943</v>
      </c>
      <c r="Q2" s="752" t="s">
        <v>944</v>
      </c>
      <c r="R2" s="752" t="s">
        <v>945</v>
      </c>
      <c r="S2" s="753"/>
      <c r="T2" s="753"/>
      <c r="U2" s="753"/>
      <c r="V2" s="753"/>
      <c r="W2" s="753"/>
      <c r="X2" s="753"/>
      <c r="Y2" s="753"/>
      <c r="Z2" s="753"/>
      <c r="AA2" s="753"/>
    </row>
    <row r="3" spans="1:27" ht="43.8" thickBot="1">
      <c r="M3" s="754" t="s">
        <v>946</v>
      </c>
      <c r="O3" s="755" t="s">
        <v>947</v>
      </c>
      <c r="P3" s="756"/>
      <c r="Q3" s="756"/>
      <c r="R3" s="756"/>
      <c r="S3" s="756"/>
      <c r="T3" s="756"/>
      <c r="U3" s="756"/>
      <c r="V3" s="756"/>
      <c r="W3" s="756"/>
      <c r="X3" s="756"/>
      <c r="Y3" s="756"/>
      <c r="Z3" s="756"/>
      <c r="AA3" s="757"/>
    </row>
    <row r="4" spans="1:27" ht="43.2">
      <c r="A4" s="758" t="s">
        <v>524</v>
      </c>
      <c r="B4" s="759" t="s">
        <v>525</v>
      </c>
      <c r="C4" s="759" t="s">
        <v>474</v>
      </c>
      <c r="D4" s="759" t="s">
        <v>526</v>
      </c>
      <c r="E4" s="759" t="s">
        <v>527</v>
      </c>
      <c r="F4" s="759" t="s">
        <v>528</v>
      </c>
      <c r="G4" s="760" t="s">
        <v>948</v>
      </c>
      <c r="I4" s="761" t="s">
        <v>949</v>
      </c>
      <c r="J4" s="761" t="s">
        <v>950</v>
      </c>
      <c r="K4" s="761" t="s">
        <v>951</v>
      </c>
      <c r="M4" s="761" t="s">
        <v>952</v>
      </c>
      <c r="O4" s="762">
        <v>45748</v>
      </c>
      <c r="P4" s="762">
        <v>45778</v>
      </c>
      <c r="Q4" s="762">
        <v>45809</v>
      </c>
      <c r="R4" s="762">
        <v>45839</v>
      </c>
      <c r="S4" s="762">
        <v>45870</v>
      </c>
      <c r="T4" s="762">
        <v>45901</v>
      </c>
      <c r="U4" s="762">
        <v>45931</v>
      </c>
      <c r="V4" s="762">
        <v>45962</v>
      </c>
      <c r="W4" s="762">
        <v>45992</v>
      </c>
      <c r="X4" s="762">
        <v>46023</v>
      </c>
      <c r="Y4" s="762">
        <v>46054</v>
      </c>
      <c r="Z4" s="762">
        <v>46082</v>
      </c>
      <c r="AA4" s="762" t="s">
        <v>953</v>
      </c>
    </row>
    <row r="5" spans="1:27">
      <c r="A5" s="162">
        <v>1027</v>
      </c>
      <c r="B5" s="164">
        <v>103140</v>
      </c>
      <c r="C5" s="164" t="s">
        <v>532</v>
      </c>
      <c r="D5" s="164" t="s">
        <v>533</v>
      </c>
      <c r="E5" s="763" t="s">
        <v>534</v>
      </c>
      <c r="F5" s="763" t="s">
        <v>535</v>
      </c>
      <c r="G5" s="166" t="s">
        <v>954</v>
      </c>
      <c r="I5" s="764">
        <v>311817.20999999996</v>
      </c>
      <c r="J5" s="764">
        <v>4145.2700000000004</v>
      </c>
      <c r="K5" s="764">
        <f>I5+J5</f>
        <v>315962.48</v>
      </c>
      <c r="M5" s="764"/>
      <c r="O5" s="764">
        <v>0</v>
      </c>
      <c r="P5" s="764">
        <v>0</v>
      </c>
      <c r="Q5" s="764">
        <v>0</v>
      </c>
      <c r="R5" s="764">
        <v>0</v>
      </c>
      <c r="S5" s="764"/>
      <c r="T5" s="764"/>
      <c r="U5" s="764"/>
      <c r="V5" s="764"/>
      <c r="W5" s="764"/>
      <c r="X5" s="764"/>
      <c r="Y5" s="764"/>
      <c r="Z5" s="764"/>
      <c r="AA5" s="764">
        <f>(-M5)+SUM(O5:Z5)</f>
        <v>0</v>
      </c>
    </row>
    <row r="6" spans="1:27">
      <c r="A6" s="160">
        <v>2010</v>
      </c>
      <c r="B6" s="133">
        <v>103159</v>
      </c>
      <c r="C6" s="133" t="s">
        <v>536</v>
      </c>
      <c r="D6" s="133" t="s">
        <v>537</v>
      </c>
      <c r="E6" s="763" t="s">
        <v>538</v>
      </c>
      <c r="F6" s="763" t="s">
        <v>535</v>
      </c>
      <c r="G6" s="166">
        <v>0</v>
      </c>
      <c r="I6" s="764">
        <v>543637.66999999958</v>
      </c>
      <c r="J6" s="764">
        <v>145977.87</v>
      </c>
      <c r="K6" s="764">
        <f t="shared" ref="K6:K69" si="0">I6+J6</f>
        <v>689615.53999999957</v>
      </c>
      <c r="M6" s="764"/>
      <c r="O6" s="764">
        <v>0</v>
      </c>
      <c r="P6" s="764">
        <v>0</v>
      </c>
      <c r="Q6" s="764">
        <v>0</v>
      </c>
      <c r="R6" s="764">
        <v>0</v>
      </c>
      <c r="S6" s="764"/>
      <c r="T6" s="764"/>
      <c r="U6" s="764"/>
      <c r="V6" s="764"/>
      <c r="W6" s="764"/>
      <c r="X6" s="764"/>
      <c r="Y6" s="764"/>
      <c r="Z6" s="764"/>
      <c r="AA6" s="764">
        <f t="shared" ref="AA6:AA69" si="1">(-M6)+SUM(O6:Z6)</f>
        <v>0</v>
      </c>
    </row>
    <row r="7" spans="1:27">
      <c r="A7" s="160">
        <v>5949</v>
      </c>
      <c r="B7" s="133">
        <v>131465</v>
      </c>
      <c r="C7" s="133" t="s">
        <v>539</v>
      </c>
      <c r="D7" s="133" t="s">
        <v>540</v>
      </c>
      <c r="E7" s="763" t="s">
        <v>538</v>
      </c>
      <c r="F7" s="763" t="s">
        <v>535</v>
      </c>
      <c r="G7" s="166" t="s">
        <v>955</v>
      </c>
      <c r="I7" s="764">
        <v>1036768.3400000057</v>
      </c>
      <c r="J7" s="764">
        <v>11065</v>
      </c>
      <c r="K7" s="764">
        <f t="shared" si="0"/>
        <v>1047833.3400000057</v>
      </c>
      <c r="M7" s="764"/>
      <c r="O7" s="764">
        <v>0</v>
      </c>
      <c r="P7" s="764">
        <v>0</v>
      </c>
      <c r="Q7" s="764">
        <v>0</v>
      </c>
      <c r="R7" s="764">
        <v>0</v>
      </c>
      <c r="S7" s="764"/>
      <c r="T7" s="764"/>
      <c r="U7" s="764"/>
      <c r="V7" s="764"/>
      <c r="W7" s="764"/>
      <c r="X7" s="764"/>
      <c r="Y7" s="764"/>
      <c r="Z7" s="764"/>
      <c r="AA7" s="764">
        <f t="shared" si="1"/>
        <v>0</v>
      </c>
    </row>
    <row r="8" spans="1:27">
      <c r="A8" s="160">
        <v>1017</v>
      </c>
      <c r="B8" s="133">
        <v>103130</v>
      </c>
      <c r="C8" s="133" t="s">
        <v>541</v>
      </c>
      <c r="D8" s="133" t="s">
        <v>542</v>
      </c>
      <c r="E8" s="763" t="s">
        <v>534</v>
      </c>
      <c r="F8" s="763" t="s">
        <v>535</v>
      </c>
      <c r="G8" s="166">
        <v>0</v>
      </c>
      <c r="I8" s="764">
        <v>33765.819999999803</v>
      </c>
      <c r="J8" s="764">
        <v>11243.269999999995</v>
      </c>
      <c r="K8" s="764">
        <f t="shared" si="0"/>
        <v>45009.0899999998</v>
      </c>
      <c r="M8" s="764"/>
      <c r="O8" s="764">
        <v>0</v>
      </c>
      <c r="P8" s="764">
        <v>0</v>
      </c>
      <c r="Q8" s="764">
        <v>0</v>
      </c>
      <c r="R8" s="764">
        <v>0</v>
      </c>
      <c r="S8" s="764"/>
      <c r="T8" s="764"/>
      <c r="U8" s="764"/>
      <c r="V8" s="764"/>
      <c r="W8" s="764"/>
      <c r="X8" s="764"/>
      <c r="Y8" s="764"/>
      <c r="Z8" s="764"/>
      <c r="AA8" s="764">
        <f t="shared" si="1"/>
        <v>0</v>
      </c>
    </row>
    <row r="9" spans="1:27">
      <c r="A9" s="160">
        <v>2153</v>
      </c>
      <c r="B9" s="133">
        <v>103243</v>
      </c>
      <c r="C9" s="133" t="s">
        <v>543</v>
      </c>
      <c r="D9" s="133" t="s">
        <v>544</v>
      </c>
      <c r="E9" s="763" t="s">
        <v>538</v>
      </c>
      <c r="F9" s="763" t="s">
        <v>535</v>
      </c>
      <c r="G9" s="166" t="s">
        <v>955</v>
      </c>
      <c r="I9" s="764">
        <v>458200.9799999987</v>
      </c>
      <c r="J9" s="764">
        <v>17202.5</v>
      </c>
      <c r="K9" s="764">
        <f t="shared" si="0"/>
        <v>475403.4799999987</v>
      </c>
      <c r="M9" s="764"/>
      <c r="O9" s="764">
        <v>0</v>
      </c>
      <c r="P9" s="764">
        <v>0</v>
      </c>
      <c r="Q9" s="764">
        <v>0</v>
      </c>
      <c r="R9" s="764">
        <v>0</v>
      </c>
      <c r="S9" s="764"/>
      <c r="T9" s="764"/>
      <c r="U9" s="764"/>
      <c r="V9" s="764"/>
      <c r="W9" s="764"/>
      <c r="X9" s="764"/>
      <c r="Y9" s="764"/>
      <c r="Z9" s="764"/>
      <c r="AA9" s="764">
        <f t="shared" si="1"/>
        <v>0</v>
      </c>
    </row>
    <row r="10" spans="1:27">
      <c r="A10" s="160">
        <v>2062</v>
      </c>
      <c r="B10" s="133">
        <v>103192</v>
      </c>
      <c r="C10" s="133" t="s">
        <v>545</v>
      </c>
      <c r="D10" s="133" t="s">
        <v>546</v>
      </c>
      <c r="E10" s="763" t="s">
        <v>538</v>
      </c>
      <c r="F10" s="763" t="s">
        <v>535</v>
      </c>
      <c r="G10" s="166" t="s">
        <v>955</v>
      </c>
      <c r="I10" s="764">
        <v>405486.94000000099</v>
      </c>
      <c r="J10" s="764">
        <v>25844.01</v>
      </c>
      <c r="K10" s="764">
        <f t="shared" si="0"/>
        <v>431330.950000001</v>
      </c>
      <c r="M10" s="764"/>
      <c r="O10" s="764">
        <v>0</v>
      </c>
      <c r="P10" s="764">
        <v>0</v>
      </c>
      <c r="Q10" s="764">
        <v>0</v>
      </c>
      <c r="R10" s="764">
        <v>0</v>
      </c>
      <c r="S10" s="764"/>
      <c r="T10" s="764"/>
      <c r="U10" s="764"/>
      <c r="V10" s="764"/>
      <c r="W10" s="764"/>
      <c r="X10" s="764"/>
      <c r="Y10" s="764"/>
      <c r="Z10" s="764"/>
      <c r="AA10" s="764">
        <f t="shared" si="1"/>
        <v>0</v>
      </c>
    </row>
    <row r="11" spans="1:27">
      <c r="A11" s="160">
        <v>2479</v>
      </c>
      <c r="B11" s="133">
        <v>132074</v>
      </c>
      <c r="C11" s="133" t="s">
        <v>547</v>
      </c>
      <c r="D11" s="133" t="s">
        <v>548</v>
      </c>
      <c r="E11" s="763" t="s">
        <v>538</v>
      </c>
      <c r="F11" s="763" t="s">
        <v>535</v>
      </c>
      <c r="G11" s="166" t="s">
        <v>955</v>
      </c>
      <c r="I11" s="764">
        <v>105093.84999999334</v>
      </c>
      <c r="J11" s="764">
        <v>26835.650000000005</v>
      </c>
      <c r="K11" s="764">
        <f t="shared" si="0"/>
        <v>131929.49999999334</v>
      </c>
      <c r="M11" s="764"/>
      <c r="O11" s="764">
        <v>0</v>
      </c>
      <c r="P11" s="764">
        <v>0</v>
      </c>
      <c r="Q11" s="764">
        <v>0</v>
      </c>
      <c r="R11" s="764">
        <v>0</v>
      </c>
      <c r="S11" s="764"/>
      <c r="T11" s="764"/>
      <c r="U11" s="764"/>
      <c r="V11" s="764"/>
      <c r="W11" s="764"/>
      <c r="X11" s="764"/>
      <c r="Y11" s="764"/>
      <c r="Z11" s="764"/>
      <c r="AA11" s="764">
        <f t="shared" si="1"/>
        <v>0</v>
      </c>
    </row>
    <row r="12" spans="1:27">
      <c r="A12" s="160">
        <v>2300</v>
      </c>
      <c r="B12" s="133">
        <v>103324</v>
      </c>
      <c r="C12" s="133" t="s">
        <v>549</v>
      </c>
      <c r="D12" s="133" t="s">
        <v>550</v>
      </c>
      <c r="E12" s="763" t="s">
        <v>538</v>
      </c>
      <c r="F12" s="763" t="s">
        <v>535</v>
      </c>
      <c r="G12" s="166">
        <v>0</v>
      </c>
      <c r="I12" s="764">
        <v>257409.12000000023</v>
      </c>
      <c r="J12" s="764">
        <v>57514.54</v>
      </c>
      <c r="K12" s="764">
        <f t="shared" si="0"/>
        <v>314923.66000000021</v>
      </c>
      <c r="M12" s="764"/>
      <c r="O12" s="764">
        <v>0</v>
      </c>
      <c r="P12" s="764">
        <v>0</v>
      </c>
      <c r="Q12" s="764">
        <v>0</v>
      </c>
      <c r="R12" s="764">
        <v>0</v>
      </c>
      <c r="S12" s="764"/>
      <c r="T12" s="764"/>
      <c r="U12" s="764"/>
      <c r="V12" s="764"/>
      <c r="W12" s="764"/>
      <c r="X12" s="764"/>
      <c r="Y12" s="764"/>
      <c r="Z12" s="764"/>
      <c r="AA12" s="764">
        <f t="shared" si="1"/>
        <v>0</v>
      </c>
    </row>
    <row r="13" spans="1:27">
      <c r="A13" s="160">
        <v>7016</v>
      </c>
      <c r="B13" s="133">
        <v>103606</v>
      </c>
      <c r="C13" s="133" t="s">
        <v>551</v>
      </c>
      <c r="D13" s="133" t="s">
        <v>552</v>
      </c>
      <c r="E13" s="763" t="s">
        <v>553</v>
      </c>
      <c r="F13" s="763" t="s">
        <v>535</v>
      </c>
      <c r="G13" s="166">
        <v>0</v>
      </c>
      <c r="I13" s="764">
        <v>375429</v>
      </c>
      <c r="J13" s="764">
        <v>70303</v>
      </c>
      <c r="K13" s="764">
        <f t="shared" si="0"/>
        <v>445732</v>
      </c>
      <c r="M13" s="764"/>
      <c r="O13" s="764">
        <v>0</v>
      </c>
      <c r="P13" s="764">
        <v>0</v>
      </c>
      <c r="Q13" s="764">
        <v>0</v>
      </c>
      <c r="R13" s="764">
        <v>0</v>
      </c>
      <c r="S13" s="764"/>
      <c r="T13" s="764"/>
      <c r="U13" s="764"/>
      <c r="V13" s="764"/>
      <c r="W13" s="764"/>
      <c r="X13" s="764"/>
      <c r="Y13" s="764"/>
      <c r="Z13" s="764"/>
      <c r="AA13" s="764">
        <f t="shared" si="1"/>
        <v>0</v>
      </c>
    </row>
    <row r="14" spans="1:27">
      <c r="A14" s="160">
        <v>2017</v>
      </c>
      <c r="B14" s="133">
        <v>103164</v>
      </c>
      <c r="C14" s="133" t="s">
        <v>554</v>
      </c>
      <c r="D14" s="133" t="s">
        <v>555</v>
      </c>
      <c r="E14" s="763" t="s">
        <v>538</v>
      </c>
      <c r="F14" s="763" t="s">
        <v>535</v>
      </c>
      <c r="G14" s="166" t="s">
        <v>955</v>
      </c>
      <c r="I14" s="764">
        <v>-100361.40999999945</v>
      </c>
      <c r="J14" s="764">
        <v>13294.82</v>
      </c>
      <c r="K14" s="764">
        <f t="shared" si="0"/>
        <v>-87066.589999999444</v>
      </c>
      <c r="M14" s="764"/>
      <c r="O14" s="764">
        <v>0</v>
      </c>
      <c r="P14" s="764">
        <v>0</v>
      </c>
      <c r="Q14" s="764">
        <v>0</v>
      </c>
      <c r="R14" s="764">
        <v>0</v>
      </c>
      <c r="S14" s="764"/>
      <c r="T14" s="764"/>
      <c r="U14" s="764"/>
      <c r="V14" s="764"/>
      <c r="W14" s="764"/>
      <c r="X14" s="764"/>
      <c r="Y14" s="764"/>
      <c r="Z14" s="764"/>
      <c r="AA14" s="764">
        <f t="shared" si="1"/>
        <v>0</v>
      </c>
    </row>
    <row r="15" spans="1:27">
      <c r="A15" s="160">
        <v>2016</v>
      </c>
      <c r="B15" s="133">
        <v>103163</v>
      </c>
      <c r="C15" s="133" t="s">
        <v>556</v>
      </c>
      <c r="D15" s="133" t="s">
        <v>557</v>
      </c>
      <c r="E15" s="763" t="s">
        <v>538</v>
      </c>
      <c r="F15" s="763" t="s">
        <v>535</v>
      </c>
      <c r="G15" s="166" t="s">
        <v>955</v>
      </c>
      <c r="I15" s="764">
        <v>154984</v>
      </c>
      <c r="J15" s="764">
        <v>8039</v>
      </c>
      <c r="K15" s="764">
        <f t="shared" si="0"/>
        <v>163023</v>
      </c>
      <c r="M15" s="764"/>
      <c r="O15" s="764">
        <v>0</v>
      </c>
      <c r="P15" s="764">
        <v>0</v>
      </c>
      <c r="Q15" s="764">
        <v>0</v>
      </c>
      <c r="R15" s="764">
        <v>0</v>
      </c>
      <c r="S15" s="764"/>
      <c r="T15" s="764"/>
      <c r="U15" s="764"/>
      <c r="V15" s="764"/>
      <c r="W15" s="764"/>
      <c r="X15" s="764"/>
      <c r="Y15" s="764"/>
      <c r="Z15" s="764"/>
      <c r="AA15" s="764">
        <f t="shared" si="1"/>
        <v>0</v>
      </c>
    </row>
    <row r="16" spans="1:27">
      <c r="A16" s="160">
        <v>2239</v>
      </c>
      <c r="B16" s="133">
        <v>103289</v>
      </c>
      <c r="C16" s="133" t="s">
        <v>558</v>
      </c>
      <c r="D16" s="133" t="s">
        <v>559</v>
      </c>
      <c r="E16" s="763" t="s">
        <v>538</v>
      </c>
      <c r="F16" s="763" t="s">
        <v>535</v>
      </c>
      <c r="G16" s="166" t="s">
        <v>955</v>
      </c>
      <c r="I16" s="764">
        <v>4803.1600000000617</v>
      </c>
      <c r="J16" s="764">
        <v>8871.6699999999983</v>
      </c>
      <c r="K16" s="764">
        <f t="shared" si="0"/>
        <v>13674.83000000006</v>
      </c>
      <c r="M16" s="764"/>
      <c r="O16" s="764">
        <v>0</v>
      </c>
      <c r="P16" s="764">
        <v>0</v>
      </c>
      <c r="Q16" s="764">
        <v>0</v>
      </c>
      <c r="R16" s="764">
        <v>0</v>
      </c>
      <c r="S16" s="764"/>
      <c r="T16" s="764"/>
      <c r="U16" s="764"/>
      <c r="V16" s="764"/>
      <c r="W16" s="764"/>
      <c r="X16" s="764"/>
      <c r="Y16" s="764"/>
      <c r="Z16" s="764"/>
      <c r="AA16" s="764">
        <f t="shared" si="1"/>
        <v>0</v>
      </c>
    </row>
    <row r="17" spans="1:27">
      <c r="A17" s="160">
        <v>2241</v>
      </c>
      <c r="B17" s="133">
        <v>103291</v>
      </c>
      <c r="C17" s="133" t="s">
        <v>560</v>
      </c>
      <c r="D17" s="133" t="s">
        <v>561</v>
      </c>
      <c r="E17" s="763" t="s">
        <v>538</v>
      </c>
      <c r="F17" s="763" t="s">
        <v>535</v>
      </c>
      <c r="G17" s="166" t="s">
        <v>954</v>
      </c>
      <c r="I17" s="764">
        <v>-58421.729999999807</v>
      </c>
      <c r="J17" s="764">
        <v>12725.869999999999</v>
      </c>
      <c r="K17" s="764">
        <f t="shared" si="0"/>
        <v>-45695.859999999811</v>
      </c>
      <c r="M17" s="764"/>
      <c r="O17" s="764">
        <v>0</v>
      </c>
      <c r="P17" s="764">
        <v>0</v>
      </c>
      <c r="Q17" s="765">
        <v>58421.73</v>
      </c>
      <c r="R17" s="764">
        <v>280000</v>
      </c>
      <c r="S17" s="764"/>
      <c r="T17" s="764"/>
      <c r="U17" s="764"/>
      <c r="V17" s="764"/>
      <c r="W17" s="764"/>
      <c r="X17" s="764"/>
      <c r="Y17" s="764"/>
      <c r="Z17" s="764"/>
      <c r="AA17" s="764">
        <f t="shared" si="1"/>
        <v>338421.73</v>
      </c>
    </row>
    <row r="18" spans="1:27">
      <c r="A18" s="160">
        <v>5413</v>
      </c>
      <c r="B18" s="133">
        <v>103560</v>
      </c>
      <c r="C18" s="133" t="s">
        <v>562</v>
      </c>
      <c r="D18" s="133" t="s">
        <v>563</v>
      </c>
      <c r="E18" s="763" t="s">
        <v>564</v>
      </c>
      <c r="F18" s="763" t="s">
        <v>535</v>
      </c>
      <c r="G18" s="166">
        <v>0</v>
      </c>
      <c r="I18" s="764">
        <v>248128.38000000076</v>
      </c>
      <c r="J18" s="764">
        <v>0</v>
      </c>
      <c r="K18" s="764">
        <f t="shared" si="0"/>
        <v>248128.38000000076</v>
      </c>
      <c r="M18" s="764"/>
      <c r="O18" s="764">
        <v>0</v>
      </c>
      <c r="P18" s="764">
        <v>0</v>
      </c>
      <c r="Q18" s="764">
        <v>0</v>
      </c>
      <c r="R18" s="764">
        <v>0</v>
      </c>
      <c r="S18" s="764"/>
      <c r="T18" s="764"/>
      <c r="U18" s="764"/>
      <c r="V18" s="764"/>
      <c r="W18" s="764"/>
      <c r="X18" s="764"/>
      <c r="Y18" s="764"/>
      <c r="Z18" s="764"/>
      <c r="AA18" s="764">
        <f t="shared" si="1"/>
        <v>0</v>
      </c>
    </row>
    <row r="19" spans="1:27">
      <c r="A19" s="160">
        <v>1025</v>
      </c>
      <c r="B19" s="133">
        <v>103138</v>
      </c>
      <c r="C19" s="133" t="s">
        <v>565</v>
      </c>
      <c r="D19" s="133" t="s">
        <v>566</v>
      </c>
      <c r="E19" s="763" t="s">
        <v>534</v>
      </c>
      <c r="F19" s="763" t="s">
        <v>535</v>
      </c>
      <c r="G19" s="166" t="s">
        <v>955</v>
      </c>
      <c r="I19" s="764">
        <v>636711.52000000025</v>
      </c>
      <c r="J19" s="764">
        <v>27676.25</v>
      </c>
      <c r="K19" s="764">
        <f t="shared" si="0"/>
        <v>664387.77000000025</v>
      </c>
      <c r="M19" s="764"/>
      <c r="O19" s="764">
        <v>0</v>
      </c>
      <c r="P19" s="764">
        <v>0</v>
      </c>
      <c r="Q19" s="764">
        <v>0</v>
      </c>
      <c r="R19" s="764">
        <v>0</v>
      </c>
      <c r="S19" s="764"/>
      <c r="T19" s="764"/>
      <c r="U19" s="764"/>
      <c r="V19" s="764"/>
      <c r="W19" s="764"/>
      <c r="X19" s="764"/>
      <c r="Y19" s="764"/>
      <c r="Z19" s="764"/>
      <c r="AA19" s="764">
        <f t="shared" si="1"/>
        <v>0</v>
      </c>
    </row>
    <row r="20" spans="1:27">
      <c r="A20" s="160">
        <v>2402</v>
      </c>
      <c r="B20" s="133">
        <v>103342</v>
      </c>
      <c r="C20" s="133" t="s">
        <v>567</v>
      </c>
      <c r="D20" s="133" t="s">
        <v>568</v>
      </c>
      <c r="E20" s="763" t="s">
        <v>538</v>
      </c>
      <c r="F20" s="763" t="s">
        <v>535</v>
      </c>
      <c r="G20" s="166">
        <v>0</v>
      </c>
      <c r="I20" s="764">
        <v>-86751.580000000249</v>
      </c>
      <c r="J20" s="764">
        <v>56294.36</v>
      </c>
      <c r="K20" s="764">
        <f t="shared" si="0"/>
        <v>-30457.220000000249</v>
      </c>
      <c r="M20" s="764"/>
      <c r="O20" s="764">
        <v>0</v>
      </c>
      <c r="P20" s="764">
        <v>0</v>
      </c>
      <c r="Q20" s="765">
        <v>86751.58</v>
      </c>
      <c r="R20" s="764">
        <v>0</v>
      </c>
      <c r="S20" s="764"/>
      <c r="T20" s="764"/>
      <c r="U20" s="764"/>
      <c r="V20" s="764"/>
      <c r="W20" s="764">
        <v>193614</v>
      </c>
      <c r="X20" s="764"/>
      <c r="Y20" s="764"/>
      <c r="Z20" s="764"/>
      <c r="AA20" s="764">
        <f t="shared" si="1"/>
        <v>280365.58</v>
      </c>
    </row>
    <row r="21" spans="1:27">
      <c r="A21" s="160">
        <v>2401</v>
      </c>
      <c r="B21" s="133">
        <v>103341</v>
      </c>
      <c r="C21" s="133" t="s">
        <v>569</v>
      </c>
      <c r="D21" s="133" t="s">
        <v>570</v>
      </c>
      <c r="E21" s="763" t="s">
        <v>538</v>
      </c>
      <c r="F21" s="763" t="s">
        <v>535</v>
      </c>
      <c r="G21" s="166">
        <v>0</v>
      </c>
      <c r="I21" s="764">
        <v>21873.179999999993</v>
      </c>
      <c r="J21" s="764">
        <v>58954.69</v>
      </c>
      <c r="K21" s="764">
        <f t="shared" si="0"/>
        <v>80827.87</v>
      </c>
      <c r="M21" s="764"/>
      <c r="O21" s="764">
        <v>0</v>
      </c>
      <c r="P21" s="764">
        <v>0</v>
      </c>
      <c r="Q21" s="764">
        <v>0</v>
      </c>
      <c r="R21" s="764">
        <v>0</v>
      </c>
      <c r="S21" s="764"/>
      <c r="T21" s="764"/>
      <c r="U21" s="764"/>
      <c r="V21" s="764"/>
      <c r="W21" s="764">
        <v>62100</v>
      </c>
      <c r="X21" s="764"/>
      <c r="Y21" s="764"/>
      <c r="Z21" s="764"/>
      <c r="AA21" s="764">
        <f t="shared" si="1"/>
        <v>62100</v>
      </c>
    </row>
    <row r="22" spans="1:27">
      <c r="A22" s="160">
        <v>4115</v>
      </c>
      <c r="B22" s="133">
        <v>103493</v>
      </c>
      <c r="C22" s="133" t="s">
        <v>571</v>
      </c>
      <c r="D22" s="133" t="s">
        <v>572</v>
      </c>
      <c r="E22" s="763" t="s">
        <v>564</v>
      </c>
      <c r="F22" s="763" t="s">
        <v>535</v>
      </c>
      <c r="G22" s="166">
        <v>0</v>
      </c>
      <c r="I22" s="764">
        <v>2250261.4399999981</v>
      </c>
      <c r="J22" s="764">
        <v>0</v>
      </c>
      <c r="K22" s="764">
        <f t="shared" si="0"/>
        <v>2250261.4399999981</v>
      </c>
      <c r="M22" s="764"/>
      <c r="O22" s="764">
        <v>0</v>
      </c>
      <c r="P22" s="764">
        <v>0</v>
      </c>
      <c r="Q22" s="764">
        <v>0</v>
      </c>
      <c r="R22" s="764">
        <v>0</v>
      </c>
      <c r="S22" s="764"/>
      <c r="T22" s="764"/>
      <c r="U22" s="764"/>
      <c r="V22" s="764"/>
      <c r="W22" s="764"/>
      <c r="X22" s="764"/>
      <c r="Y22" s="764"/>
      <c r="Z22" s="764"/>
      <c r="AA22" s="764">
        <f t="shared" si="1"/>
        <v>0</v>
      </c>
    </row>
    <row r="23" spans="1:27">
      <c r="A23" s="160">
        <v>2030</v>
      </c>
      <c r="B23" s="133">
        <v>103172</v>
      </c>
      <c r="C23" s="133" t="s">
        <v>573</v>
      </c>
      <c r="D23" s="133" t="s">
        <v>574</v>
      </c>
      <c r="E23" s="763" t="s">
        <v>538</v>
      </c>
      <c r="F23" s="763" t="s">
        <v>535</v>
      </c>
      <c r="G23" s="166">
        <v>0</v>
      </c>
      <c r="I23" s="764">
        <v>542567.29999999877</v>
      </c>
      <c r="J23" s="764">
        <v>52009.5</v>
      </c>
      <c r="K23" s="764">
        <f t="shared" si="0"/>
        <v>594576.79999999877</v>
      </c>
      <c r="M23" s="764"/>
      <c r="O23" s="764">
        <v>0</v>
      </c>
      <c r="P23" s="764">
        <v>0</v>
      </c>
      <c r="Q23" s="764">
        <v>0</v>
      </c>
      <c r="R23" s="764">
        <v>0</v>
      </c>
      <c r="S23" s="764"/>
      <c r="T23" s="764"/>
      <c r="U23" s="764"/>
      <c r="V23" s="764"/>
      <c r="W23" s="764"/>
      <c r="X23" s="764"/>
      <c r="Y23" s="764"/>
      <c r="Z23" s="764"/>
      <c r="AA23" s="764">
        <f t="shared" si="1"/>
        <v>0</v>
      </c>
    </row>
    <row r="24" spans="1:27">
      <c r="A24" s="160">
        <v>3353</v>
      </c>
      <c r="B24" s="133">
        <v>103445</v>
      </c>
      <c r="C24" s="133" t="s">
        <v>575</v>
      </c>
      <c r="D24" s="133" t="s">
        <v>576</v>
      </c>
      <c r="E24" s="763" t="s">
        <v>538</v>
      </c>
      <c r="F24" s="763" t="s">
        <v>535</v>
      </c>
      <c r="G24" s="166" t="s">
        <v>954</v>
      </c>
      <c r="I24" s="764">
        <v>148846.70000000601</v>
      </c>
      <c r="J24" s="764">
        <v>0</v>
      </c>
      <c r="K24" s="764">
        <f t="shared" si="0"/>
        <v>148846.70000000601</v>
      </c>
      <c r="M24" s="764"/>
      <c r="O24" s="764">
        <v>0</v>
      </c>
      <c r="P24" s="764">
        <v>0</v>
      </c>
      <c r="Q24" s="764">
        <v>0</v>
      </c>
      <c r="R24" s="764">
        <v>0</v>
      </c>
      <c r="S24" s="764"/>
      <c r="T24" s="764"/>
      <c r="U24" s="764"/>
      <c r="V24" s="764"/>
      <c r="W24" s="764"/>
      <c r="X24" s="764"/>
      <c r="Y24" s="764"/>
      <c r="Z24" s="764"/>
      <c r="AA24" s="764">
        <f t="shared" si="1"/>
        <v>0</v>
      </c>
    </row>
    <row r="25" spans="1:27">
      <c r="A25" s="160">
        <v>7030</v>
      </c>
      <c r="B25" s="133">
        <v>103611</v>
      </c>
      <c r="C25" s="133" t="s">
        <v>577</v>
      </c>
      <c r="D25" s="133" t="s">
        <v>578</v>
      </c>
      <c r="E25" s="763" t="s">
        <v>553</v>
      </c>
      <c r="F25" s="763" t="s">
        <v>535</v>
      </c>
      <c r="G25" s="166" t="s">
        <v>955</v>
      </c>
      <c r="I25" s="764">
        <v>555829.35000000219</v>
      </c>
      <c r="J25" s="764">
        <v>7543.75</v>
      </c>
      <c r="K25" s="764">
        <f t="shared" si="0"/>
        <v>563373.10000000219</v>
      </c>
      <c r="M25" s="764"/>
      <c r="O25" s="764">
        <v>0</v>
      </c>
      <c r="P25" s="764">
        <v>0</v>
      </c>
      <c r="Q25" s="764">
        <v>0</v>
      </c>
      <c r="R25" s="764">
        <v>0</v>
      </c>
      <c r="S25" s="764"/>
      <c r="T25" s="764"/>
      <c r="U25" s="764"/>
      <c r="V25" s="764"/>
      <c r="W25" s="764"/>
      <c r="X25" s="764"/>
      <c r="Y25" s="764"/>
      <c r="Z25" s="764"/>
      <c r="AA25" s="764">
        <f t="shared" si="1"/>
        <v>0</v>
      </c>
    </row>
    <row r="26" spans="1:27">
      <c r="A26" s="160">
        <v>1002</v>
      </c>
      <c r="B26" s="133">
        <v>103121</v>
      </c>
      <c r="C26" s="133" t="s">
        <v>579</v>
      </c>
      <c r="D26" s="133" t="s">
        <v>580</v>
      </c>
      <c r="E26" s="763" t="s">
        <v>534</v>
      </c>
      <c r="F26" s="763" t="s">
        <v>535</v>
      </c>
      <c r="G26" s="166" t="s">
        <v>955</v>
      </c>
      <c r="I26" s="764">
        <v>293856.1900000007</v>
      </c>
      <c r="J26" s="764">
        <v>45276.25</v>
      </c>
      <c r="K26" s="764">
        <f t="shared" si="0"/>
        <v>339132.4400000007</v>
      </c>
      <c r="M26" s="764"/>
      <c r="O26" s="764">
        <v>0</v>
      </c>
      <c r="P26" s="764">
        <v>0</v>
      </c>
      <c r="Q26" s="764">
        <v>0</v>
      </c>
      <c r="R26" s="764">
        <v>0</v>
      </c>
      <c r="S26" s="764"/>
      <c r="T26" s="764"/>
      <c r="U26" s="764"/>
      <c r="V26" s="764"/>
      <c r="W26" s="764"/>
      <c r="X26" s="764"/>
      <c r="Y26" s="764"/>
      <c r="Z26" s="764"/>
      <c r="AA26" s="764">
        <f t="shared" si="1"/>
        <v>0</v>
      </c>
    </row>
    <row r="27" spans="1:27">
      <c r="A27" s="160">
        <v>2238</v>
      </c>
      <c r="B27" s="133">
        <v>103288</v>
      </c>
      <c r="C27" s="133" t="s">
        <v>581</v>
      </c>
      <c r="D27" s="133" t="s">
        <v>582</v>
      </c>
      <c r="E27" s="763" t="s">
        <v>538</v>
      </c>
      <c r="F27" s="763" t="s">
        <v>535</v>
      </c>
      <c r="G27" s="166">
        <v>0</v>
      </c>
      <c r="I27" s="764">
        <v>-238455.4800000001</v>
      </c>
      <c r="J27" s="764">
        <v>17017.650000000001</v>
      </c>
      <c r="K27" s="764">
        <f t="shared" si="0"/>
        <v>-221437.8300000001</v>
      </c>
      <c r="M27" s="764"/>
      <c r="O27" s="764">
        <v>0</v>
      </c>
      <c r="P27" s="764">
        <v>0</v>
      </c>
      <c r="Q27" s="765">
        <v>238455.48</v>
      </c>
      <c r="R27" s="764">
        <v>55192</v>
      </c>
      <c r="S27" s="764"/>
      <c r="T27" s="764"/>
      <c r="U27" s="764"/>
      <c r="V27" s="764"/>
      <c r="W27" s="764"/>
      <c r="X27" s="764"/>
      <c r="Y27" s="764"/>
      <c r="Z27" s="764"/>
      <c r="AA27" s="764">
        <f t="shared" si="1"/>
        <v>293647.48</v>
      </c>
    </row>
    <row r="28" spans="1:27">
      <c r="A28" s="160">
        <v>2236</v>
      </c>
      <c r="B28" s="133">
        <v>103286</v>
      </c>
      <c r="C28" s="133" t="s">
        <v>584</v>
      </c>
      <c r="D28" s="133" t="s">
        <v>585</v>
      </c>
      <c r="E28" s="763" t="s">
        <v>538</v>
      </c>
      <c r="F28" s="763" t="s">
        <v>535</v>
      </c>
      <c r="G28" s="166">
        <v>0</v>
      </c>
      <c r="I28" s="764">
        <v>306976.73000000056</v>
      </c>
      <c r="J28" s="764">
        <v>12958.300000000003</v>
      </c>
      <c r="K28" s="764">
        <f t="shared" si="0"/>
        <v>319935.03000000055</v>
      </c>
      <c r="M28" s="764"/>
      <c r="O28" s="764">
        <v>0</v>
      </c>
      <c r="P28" s="764">
        <v>0</v>
      </c>
      <c r="Q28" s="764">
        <v>0</v>
      </c>
      <c r="R28" s="764">
        <v>0</v>
      </c>
      <c r="S28" s="764"/>
      <c r="T28" s="764"/>
      <c r="U28" s="764"/>
      <c r="V28" s="764"/>
      <c r="W28" s="764"/>
      <c r="X28" s="764"/>
      <c r="Y28" s="764"/>
      <c r="Z28" s="764"/>
      <c r="AA28" s="764">
        <f t="shared" si="1"/>
        <v>0</v>
      </c>
    </row>
    <row r="29" spans="1:27">
      <c r="A29" s="160">
        <v>2465</v>
      </c>
      <c r="B29" s="133">
        <v>103391</v>
      </c>
      <c r="C29" s="133" t="s">
        <v>586</v>
      </c>
      <c r="D29" s="133" t="s">
        <v>587</v>
      </c>
      <c r="E29" s="763" t="s">
        <v>538</v>
      </c>
      <c r="F29" s="763" t="s">
        <v>535</v>
      </c>
      <c r="G29" s="166" t="s">
        <v>955</v>
      </c>
      <c r="I29" s="764">
        <v>144626.78999999963</v>
      </c>
      <c r="J29" s="764">
        <v>17371.989999999998</v>
      </c>
      <c r="K29" s="764">
        <f t="shared" si="0"/>
        <v>161998.77999999962</v>
      </c>
      <c r="M29" s="764"/>
      <c r="O29" s="764">
        <v>0</v>
      </c>
      <c r="P29" s="764">
        <v>0</v>
      </c>
      <c r="Q29" s="764">
        <v>0</v>
      </c>
      <c r="R29" s="764">
        <v>0</v>
      </c>
      <c r="S29" s="764"/>
      <c r="T29" s="764"/>
      <c r="U29" s="764"/>
      <c r="V29" s="764"/>
      <c r="W29" s="764"/>
      <c r="X29" s="764"/>
      <c r="Y29" s="764"/>
      <c r="Z29" s="764"/>
      <c r="AA29" s="764">
        <f t="shared" si="1"/>
        <v>0</v>
      </c>
    </row>
    <row r="30" spans="1:27">
      <c r="A30" s="160">
        <v>4801</v>
      </c>
      <c r="B30" s="133">
        <v>103539</v>
      </c>
      <c r="C30" s="133" t="s">
        <v>588</v>
      </c>
      <c r="D30" s="133" t="s">
        <v>589</v>
      </c>
      <c r="E30" s="763" t="s">
        <v>564</v>
      </c>
      <c r="F30" s="763" t="s">
        <v>535</v>
      </c>
      <c r="G30" s="166">
        <v>0</v>
      </c>
      <c r="I30" s="764">
        <v>228168.13000000006</v>
      </c>
      <c r="J30" s="764">
        <v>0</v>
      </c>
      <c r="K30" s="764">
        <f t="shared" si="0"/>
        <v>228168.13000000006</v>
      </c>
      <c r="M30" s="764"/>
      <c r="O30" s="764">
        <v>0</v>
      </c>
      <c r="P30" s="764">
        <v>0</v>
      </c>
      <c r="Q30" s="764">
        <v>0</v>
      </c>
      <c r="R30" s="764">
        <v>0</v>
      </c>
      <c r="S30" s="764"/>
      <c r="T30" s="764"/>
      <c r="U30" s="764"/>
      <c r="V30" s="764"/>
      <c r="W30" s="764"/>
      <c r="X30" s="764"/>
      <c r="Y30" s="764"/>
      <c r="Z30" s="764"/>
      <c r="AA30" s="764">
        <f t="shared" si="1"/>
        <v>0</v>
      </c>
    </row>
    <row r="31" spans="1:27">
      <c r="A31" s="160">
        <v>1048</v>
      </c>
      <c r="B31" s="133">
        <v>103144</v>
      </c>
      <c r="C31" s="133" t="s">
        <v>590</v>
      </c>
      <c r="D31" s="133" t="s">
        <v>591</v>
      </c>
      <c r="E31" s="763" t="s">
        <v>534</v>
      </c>
      <c r="F31" s="763" t="s">
        <v>535</v>
      </c>
      <c r="G31" s="166" t="s">
        <v>955</v>
      </c>
      <c r="I31" s="764">
        <v>196971.08000000066</v>
      </c>
      <c r="J31" s="764">
        <v>36877.43</v>
      </c>
      <c r="K31" s="764">
        <f t="shared" si="0"/>
        <v>233848.51000000065</v>
      </c>
      <c r="M31" s="764"/>
      <c r="O31" s="764">
        <v>0</v>
      </c>
      <c r="P31" s="764">
        <v>0</v>
      </c>
      <c r="Q31" s="764">
        <v>0</v>
      </c>
      <c r="R31" s="764">
        <v>0</v>
      </c>
      <c r="S31" s="764"/>
      <c r="T31" s="764"/>
      <c r="U31" s="764"/>
      <c r="V31" s="764"/>
      <c r="W31" s="764"/>
      <c r="X31" s="764"/>
      <c r="Y31" s="764"/>
      <c r="Z31" s="764"/>
      <c r="AA31" s="764">
        <f t="shared" si="1"/>
        <v>0</v>
      </c>
    </row>
    <row r="32" spans="1:27">
      <c r="A32" s="160">
        <v>2312</v>
      </c>
      <c r="B32" s="133">
        <v>103332</v>
      </c>
      <c r="C32" s="133" t="s">
        <v>592</v>
      </c>
      <c r="D32" s="133" t="s">
        <v>593</v>
      </c>
      <c r="E32" s="763" t="s">
        <v>538</v>
      </c>
      <c r="F32" s="763" t="s">
        <v>535</v>
      </c>
      <c r="G32" s="166">
        <v>0</v>
      </c>
      <c r="I32" s="764">
        <v>-338161.9600000002</v>
      </c>
      <c r="J32" s="764">
        <v>20443.61</v>
      </c>
      <c r="K32" s="764">
        <f t="shared" si="0"/>
        <v>-317718.35000000021</v>
      </c>
      <c r="M32" s="764"/>
      <c r="O32" s="764">
        <v>0</v>
      </c>
      <c r="P32" s="764">
        <v>0</v>
      </c>
      <c r="Q32" s="765">
        <v>338161.96</v>
      </c>
      <c r="R32" s="764">
        <v>0</v>
      </c>
      <c r="S32" s="764"/>
      <c r="T32" s="764"/>
      <c r="U32" s="764"/>
      <c r="V32" s="764"/>
      <c r="W32" s="764"/>
      <c r="X32" s="764"/>
      <c r="Y32" s="764"/>
      <c r="Z32" s="764"/>
      <c r="AA32" s="764">
        <f t="shared" si="1"/>
        <v>338161.96</v>
      </c>
    </row>
    <row r="33" spans="1:27">
      <c r="A33" s="160">
        <v>7051</v>
      </c>
      <c r="B33" s="133">
        <v>103626</v>
      </c>
      <c r="C33" s="133" t="s">
        <v>594</v>
      </c>
      <c r="D33" s="133" t="s">
        <v>595</v>
      </c>
      <c r="E33" s="763" t="s">
        <v>553</v>
      </c>
      <c r="F33" s="763" t="s">
        <v>535</v>
      </c>
      <c r="G33" s="166">
        <v>0</v>
      </c>
      <c r="I33" s="764">
        <v>1103640.2800000003</v>
      </c>
      <c r="J33" s="764">
        <v>2119</v>
      </c>
      <c r="K33" s="764">
        <f t="shared" si="0"/>
        <v>1105759.2800000003</v>
      </c>
      <c r="M33" s="764"/>
      <c r="O33" s="764">
        <v>0</v>
      </c>
      <c r="P33" s="764">
        <v>0</v>
      </c>
      <c r="Q33" s="764">
        <v>0</v>
      </c>
      <c r="R33" s="764">
        <v>0</v>
      </c>
      <c r="S33" s="764"/>
      <c r="T33" s="764"/>
      <c r="U33" s="764"/>
      <c r="V33" s="764"/>
      <c r="W33" s="764"/>
      <c r="X33" s="764"/>
      <c r="Y33" s="764"/>
      <c r="Z33" s="764"/>
      <c r="AA33" s="764">
        <f t="shared" si="1"/>
        <v>0</v>
      </c>
    </row>
    <row r="34" spans="1:27">
      <c r="A34" s="160">
        <v>2040</v>
      </c>
      <c r="B34" s="133">
        <v>103178</v>
      </c>
      <c r="C34" s="133" t="s">
        <v>596</v>
      </c>
      <c r="D34" s="133" t="s">
        <v>597</v>
      </c>
      <c r="E34" s="763" t="s">
        <v>538</v>
      </c>
      <c r="F34" s="763" t="s">
        <v>535</v>
      </c>
      <c r="G34" s="166" t="s">
        <v>955</v>
      </c>
      <c r="I34" s="764">
        <v>296517.50999999978</v>
      </c>
      <c r="J34" s="764">
        <v>0</v>
      </c>
      <c r="K34" s="764">
        <f t="shared" si="0"/>
        <v>296517.50999999978</v>
      </c>
      <c r="M34" s="764"/>
      <c r="O34" s="764">
        <v>0</v>
      </c>
      <c r="P34" s="764">
        <v>0</v>
      </c>
      <c r="Q34" s="764">
        <v>0</v>
      </c>
      <c r="R34" s="764">
        <v>0</v>
      </c>
      <c r="S34" s="764"/>
      <c r="T34" s="764"/>
      <c r="U34" s="764"/>
      <c r="V34" s="764"/>
      <c r="W34" s="764"/>
      <c r="X34" s="764"/>
      <c r="Y34" s="764"/>
      <c r="Z34" s="764"/>
      <c r="AA34" s="764">
        <f t="shared" si="1"/>
        <v>0</v>
      </c>
    </row>
    <row r="35" spans="1:27">
      <c r="A35" s="160">
        <v>2251</v>
      </c>
      <c r="B35" s="133">
        <v>103298</v>
      </c>
      <c r="C35" s="133" t="s">
        <v>598</v>
      </c>
      <c r="D35" s="133" t="s">
        <v>599</v>
      </c>
      <c r="E35" s="763" t="s">
        <v>538</v>
      </c>
      <c r="F35" s="763" t="s">
        <v>535</v>
      </c>
      <c r="G35" s="166">
        <v>0</v>
      </c>
      <c r="I35" s="764">
        <v>338588.01999999781</v>
      </c>
      <c r="J35" s="764">
        <v>17030.799999999996</v>
      </c>
      <c r="K35" s="764">
        <f t="shared" si="0"/>
        <v>355618.8199999978</v>
      </c>
      <c r="M35" s="764"/>
      <c r="O35" s="764">
        <v>0</v>
      </c>
      <c r="P35" s="764">
        <v>0</v>
      </c>
      <c r="Q35" s="764">
        <v>0</v>
      </c>
      <c r="R35" s="764">
        <v>0</v>
      </c>
      <c r="S35" s="764"/>
      <c r="T35" s="764"/>
      <c r="U35" s="764"/>
      <c r="V35" s="764"/>
      <c r="W35" s="764"/>
      <c r="X35" s="764"/>
      <c r="Y35" s="764"/>
      <c r="Z35" s="764"/>
      <c r="AA35" s="764">
        <f t="shared" si="1"/>
        <v>0</v>
      </c>
    </row>
    <row r="36" spans="1:27">
      <c r="A36" s="160">
        <v>3002</v>
      </c>
      <c r="B36" s="133">
        <v>103397</v>
      </c>
      <c r="C36" s="133" t="s">
        <v>600</v>
      </c>
      <c r="D36" s="133" t="s">
        <v>601</v>
      </c>
      <c r="E36" s="763" t="s">
        <v>538</v>
      </c>
      <c r="F36" s="763" t="s">
        <v>535</v>
      </c>
      <c r="G36" s="166">
        <v>0</v>
      </c>
      <c r="I36" s="764">
        <v>256325.70999999985</v>
      </c>
      <c r="J36" s="764">
        <v>40180.06</v>
      </c>
      <c r="K36" s="764">
        <f t="shared" si="0"/>
        <v>296505.76999999984</v>
      </c>
      <c r="M36" s="764"/>
      <c r="O36" s="764">
        <v>0</v>
      </c>
      <c r="P36" s="764">
        <v>0</v>
      </c>
      <c r="Q36" s="764">
        <v>0</v>
      </c>
      <c r="R36" s="764">
        <v>0</v>
      </c>
      <c r="S36" s="764"/>
      <c r="T36" s="764"/>
      <c r="U36" s="764"/>
      <c r="V36" s="764"/>
      <c r="W36" s="764"/>
      <c r="X36" s="764"/>
      <c r="Y36" s="764"/>
      <c r="Z36" s="764"/>
      <c r="AA36" s="764">
        <f t="shared" si="1"/>
        <v>0</v>
      </c>
    </row>
    <row r="37" spans="1:27">
      <c r="A37" s="160">
        <v>3319</v>
      </c>
      <c r="B37" s="133">
        <v>103423</v>
      </c>
      <c r="C37" s="133" t="s">
        <v>602</v>
      </c>
      <c r="D37" s="133" t="s">
        <v>603</v>
      </c>
      <c r="E37" s="763" t="s">
        <v>538</v>
      </c>
      <c r="F37" s="763" t="s">
        <v>535</v>
      </c>
      <c r="G37" s="166">
        <v>0</v>
      </c>
      <c r="I37" s="764">
        <v>-116256.72000000047</v>
      </c>
      <c r="J37" s="764">
        <v>0</v>
      </c>
      <c r="K37" s="764">
        <f t="shared" si="0"/>
        <v>-116256.72000000047</v>
      </c>
      <c r="M37" s="764"/>
      <c r="O37" s="764">
        <v>0</v>
      </c>
      <c r="P37" s="764">
        <v>0</v>
      </c>
      <c r="Q37" s="765">
        <v>116256.72</v>
      </c>
      <c r="R37" s="764">
        <v>0</v>
      </c>
      <c r="S37" s="764"/>
      <c r="T37" s="764"/>
      <c r="U37" s="764"/>
      <c r="V37" s="764"/>
      <c r="W37" s="764"/>
      <c r="X37" s="764"/>
      <c r="Y37" s="764"/>
      <c r="Z37" s="764"/>
      <c r="AA37" s="764">
        <f t="shared" si="1"/>
        <v>116256.72</v>
      </c>
    </row>
    <row r="38" spans="1:27">
      <c r="A38" s="160">
        <v>1100</v>
      </c>
      <c r="B38" s="133">
        <v>103146</v>
      </c>
      <c r="C38" s="133" t="s">
        <v>604</v>
      </c>
      <c r="D38" s="133" t="s">
        <v>605</v>
      </c>
      <c r="E38" s="763" t="s">
        <v>606</v>
      </c>
      <c r="F38" s="763" t="s">
        <v>535</v>
      </c>
      <c r="G38" s="166" t="s">
        <v>955</v>
      </c>
      <c r="I38" s="764">
        <v>1082977.4099999464</v>
      </c>
      <c r="J38" s="764">
        <v>141457.74</v>
      </c>
      <c r="K38" s="764">
        <f t="shared" si="0"/>
        <v>1224435.1499999464</v>
      </c>
      <c r="M38" s="764"/>
      <c r="O38" s="764">
        <v>0</v>
      </c>
      <c r="P38" s="764">
        <v>0</v>
      </c>
      <c r="Q38" s="764">
        <v>0</v>
      </c>
      <c r="R38" s="764">
        <v>0</v>
      </c>
      <c r="S38" s="764"/>
      <c r="T38" s="764"/>
      <c r="U38" s="764"/>
      <c r="V38" s="764"/>
      <c r="W38" s="764"/>
      <c r="X38" s="764"/>
      <c r="Y38" s="764"/>
      <c r="Z38" s="764"/>
      <c r="AA38" s="764">
        <f t="shared" si="1"/>
        <v>0</v>
      </c>
    </row>
    <row r="39" spans="1:27">
      <c r="A39" s="160">
        <v>3432</v>
      </c>
      <c r="B39" s="133">
        <v>134840</v>
      </c>
      <c r="C39" s="133" t="s">
        <v>607</v>
      </c>
      <c r="D39" s="133" t="s">
        <v>608</v>
      </c>
      <c r="E39" s="763" t="s">
        <v>538</v>
      </c>
      <c r="F39" s="763" t="s">
        <v>535</v>
      </c>
      <c r="G39" s="166" t="s">
        <v>955</v>
      </c>
      <c r="I39" s="764">
        <v>684142.88999999687</v>
      </c>
      <c r="J39" s="764">
        <v>386.75</v>
      </c>
      <c r="K39" s="764">
        <f t="shared" si="0"/>
        <v>684529.63999999687</v>
      </c>
      <c r="M39" s="764"/>
      <c r="O39" s="764">
        <v>0</v>
      </c>
      <c r="P39" s="764">
        <v>0</v>
      </c>
      <c r="Q39" s="764">
        <v>0</v>
      </c>
      <c r="R39" s="764">
        <v>0</v>
      </c>
      <c r="S39" s="764"/>
      <c r="T39" s="764"/>
      <c r="U39" s="764"/>
      <c r="V39" s="764"/>
      <c r="W39" s="764"/>
      <c r="X39" s="764"/>
      <c r="Y39" s="764"/>
      <c r="Z39" s="764"/>
      <c r="AA39" s="764">
        <f t="shared" si="1"/>
        <v>0</v>
      </c>
    </row>
    <row r="40" spans="1:27">
      <c r="A40" s="160">
        <v>2289</v>
      </c>
      <c r="B40" s="133">
        <v>103315</v>
      </c>
      <c r="C40" s="133" t="s">
        <v>609</v>
      </c>
      <c r="D40" s="133" t="s">
        <v>610</v>
      </c>
      <c r="E40" s="763" t="s">
        <v>538</v>
      </c>
      <c r="F40" s="763" t="s">
        <v>535</v>
      </c>
      <c r="G40" s="166" t="s">
        <v>955</v>
      </c>
      <c r="I40" s="764">
        <v>17216.229999998824</v>
      </c>
      <c r="J40" s="764">
        <v>7659.3500000000022</v>
      </c>
      <c r="K40" s="764">
        <f t="shared" si="0"/>
        <v>24875.579999998827</v>
      </c>
      <c r="M40" s="764"/>
      <c r="O40" s="764">
        <v>0</v>
      </c>
      <c r="P40" s="764">
        <v>0</v>
      </c>
      <c r="Q40" s="764">
        <v>0</v>
      </c>
      <c r="R40" s="764">
        <v>0</v>
      </c>
      <c r="S40" s="764"/>
      <c r="T40" s="764"/>
      <c r="U40" s="764"/>
      <c r="V40" s="764"/>
      <c r="W40" s="764"/>
      <c r="X40" s="764"/>
      <c r="Y40" s="764"/>
      <c r="Z40" s="764"/>
      <c r="AA40" s="764">
        <f t="shared" si="1"/>
        <v>0</v>
      </c>
    </row>
    <row r="41" spans="1:27">
      <c r="A41" s="160">
        <v>2185</v>
      </c>
      <c r="B41" s="133">
        <v>103263</v>
      </c>
      <c r="C41" s="133" t="s">
        <v>611</v>
      </c>
      <c r="D41" s="133" t="s">
        <v>612</v>
      </c>
      <c r="E41" s="763" t="s">
        <v>538</v>
      </c>
      <c r="F41" s="763" t="s">
        <v>535</v>
      </c>
      <c r="G41" s="166" t="s">
        <v>955</v>
      </c>
      <c r="I41" s="764">
        <v>111403.51999999865</v>
      </c>
      <c r="J41" s="764">
        <v>0</v>
      </c>
      <c r="K41" s="764">
        <f t="shared" si="0"/>
        <v>111403.51999999865</v>
      </c>
      <c r="M41" s="764"/>
      <c r="O41" s="764">
        <v>0</v>
      </c>
      <c r="P41" s="764">
        <v>0</v>
      </c>
      <c r="Q41" s="764">
        <v>0</v>
      </c>
      <c r="R41" s="764">
        <v>0</v>
      </c>
      <c r="S41" s="764"/>
      <c r="T41" s="764"/>
      <c r="U41" s="764"/>
      <c r="V41" s="764"/>
      <c r="W41" s="764"/>
      <c r="X41" s="764"/>
      <c r="Y41" s="764"/>
      <c r="Z41" s="764"/>
      <c r="AA41" s="764">
        <f t="shared" si="1"/>
        <v>0</v>
      </c>
    </row>
    <row r="42" spans="1:27">
      <c r="A42" s="160">
        <v>5416</v>
      </c>
      <c r="B42" s="133">
        <v>103563</v>
      </c>
      <c r="C42" s="133" t="s">
        <v>613</v>
      </c>
      <c r="D42" s="133" t="s">
        <v>614</v>
      </c>
      <c r="E42" s="763" t="s">
        <v>564</v>
      </c>
      <c r="F42" s="763" t="s">
        <v>535</v>
      </c>
      <c r="G42" s="166">
        <v>0</v>
      </c>
      <c r="I42" s="764">
        <v>491994.42000000691</v>
      </c>
      <c r="J42" s="764">
        <v>6558.1699999999983</v>
      </c>
      <c r="K42" s="764">
        <f t="shared" si="0"/>
        <v>498552.59000000689</v>
      </c>
      <c r="M42" s="764"/>
      <c r="O42" s="764">
        <v>0</v>
      </c>
      <c r="P42" s="764">
        <v>0</v>
      </c>
      <c r="Q42" s="764">
        <v>0</v>
      </c>
      <c r="R42" s="764">
        <v>0</v>
      </c>
      <c r="S42" s="764"/>
      <c r="T42" s="764"/>
      <c r="U42" s="764"/>
      <c r="V42" s="764"/>
      <c r="W42" s="764"/>
      <c r="X42" s="764"/>
      <c r="Y42" s="764"/>
      <c r="Z42" s="764"/>
      <c r="AA42" s="764">
        <f t="shared" si="1"/>
        <v>0</v>
      </c>
    </row>
    <row r="43" spans="1:27">
      <c r="A43" s="160">
        <v>2054</v>
      </c>
      <c r="B43" s="133">
        <v>103189</v>
      </c>
      <c r="C43" s="133" t="s">
        <v>615</v>
      </c>
      <c r="D43" s="133" t="s">
        <v>616</v>
      </c>
      <c r="E43" s="763" t="s">
        <v>538</v>
      </c>
      <c r="F43" s="763" t="s">
        <v>535</v>
      </c>
      <c r="G43" s="166">
        <v>0</v>
      </c>
      <c r="I43" s="764">
        <v>136206.45000000054</v>
      </c>
      <c r="J43" s="764">
        <v>42930.64</v>
      </c>
      <c r="K43" s="764">
        <f t="shared" si="0"/>
        <v>179137.09000000055</v>
      </c>
      <c r="M43" s="764"/>
      <c r="O43" s="764">
        <v>0</v>
      </c>
      <c r="P43" s="764">
        <v>0</v>
      </c>
      <c r="Q43" s="764">
        <v>0</v>
      </c>
      <c r="R43" s="764">
        <v>0</v>
      </c>
      <c r="S43" s="764"/>
      <c r="T43" s="764"/>
      <c r="U43" s="764"/>
      <c r="V43" s="764"/>
      <c r="W43" s="764"/>
      <c r="X43" s="764"/>
      <c r="Y43" s="764"/>
      <c r="Z43" s="764"/>
      <c r="AA43" s="764">
        <f t="shared" si="1"/>
        <v>0</v>
      </c>
    </row>
    <row r="44" spans="1:27">
      <c r="A44" s="160">
        <v>2053</v>
      </c>
      <c r="B44" s="133">
        <v>103188</v>
      </c>
      <c r="C44" s="133" t="s">
        <v>617</v>
      </c>
      <c r="D44" s="133" t="s">
        <v>618</v>
      </c>
      <c r="E44" s="763" t="s">
        <v>538</v>
      </c>
      <c r="F44" s="763" t="s">
        <v>535</v>
      </c>
      <c r="G44" s="166">
        <v>0</v>
      </c>
      <c r="I44" s="764">
        <v>193096.06000000046</v>
      </c>
      <c r="J44" s="764">
        <v>35814.57</v>
      </c>
      <c r="K44" s="764">
        <f t="shared" si="0"/>
        <v>228910.63000000047</v>
      </c>
      <c r="M44" s="764"/>
      <c r="O44" s="764">
        <v>0</v>
      </c>
      <c r="P44" s="764">
        <v>0</v>
      </c>
      <c r="Q44" s="764">
        <v>0</v>
      </c>
      <c r="R44" s="764">
        <v>0</v>
      </c>
      <c r="S44" s="764"/>
      <c r="T44" s="764"/>
      <c r="U44" s="764"/>
      <c r="V44" s="764"/>
      <c r="W44" s="764"/>
      <c r="X44" s="764"/>
      <c r="Y44" s="764"/>
      <c r="Z44" s="764"/>
      <c r="AA44" s="764">
        <f t="shared" si="1"/>
        <v>0</v>
      </c>
    </row>
    <row r="45" spans="1:27">
      <c r="A45" s="160">
        <v>3320</v>
      </c>
      <c r="B45" s="133">
        <v>103424</v>
      </c>
      <c r="C45" s="133" t="s">
        <v>619</v>
      </c>
      <c r="D45" s="133" t="s">
        <v>620</v>
      </c>
      <c r="E45" s="763" t="s">
        <v>538</v>
      </c>
      <c r="F45" s="763" t="s">
        <v>535</v>
      </c>
      <c r="G45" s="166" t="s">
        <v>955</v>
      </c>
      <c r="I45" s="764">
        <v>1162447.1699999988</v>
      </c>
      <c r="J45" s="764">
        <v>0</v>
      </c>
      <c r="K45" s="764">
        <f t="shared" si="0"/>
        <v>1162447.1699999988</v>
      </c>
      <c r="M45" s="764"/>
      <c r="O45" s="764">
        <v>0</v>
      </c>
      <c r="P45" s="764">
        <v>0</v>
      </c>
      <c r="Q45" s="764">
        <v>0</v>
      </c>
      <c r="R45" s="764">
        <v>0</v>
      </c>
      <c r="S45" s="764"/>
      <c r="T45" s="764"/>
      <c r="U45" s="764"/>
      <c r="V45" s="764"/>
      <c r="W45" s="764"/>
      <c r="X45" s="764"/>
      <c r="Y45" s="764"/>
      <c r="Z45" s="764"/>
      <c r="AA45" s="764">
        <f t="shared" si="1"/>
        <v>0</v>
      </c>
    </row>
    <row r="46" spans="1:27">
      <c r="A46" s="160">
        <v>2055</v>
      </c>
      <c r="B46" s="133">
        <v>103190</v>
      </c>
      <c r="C46" s="133" t="s">
        <v>621</v>
      </c>
      <c r="D46" s="133" t="s">
        <v>622</v>
      </c>
      <c r="E46" s="763" t="s">
        <v>538</v>
      </c>
      <c r="F46" s="763" t="s">
        <v>535</v>
      </c>
      <c r="G46" s="166">
        <v>0</v>
      </c>
      <c r="I46" s="764">
        <v>432763.37000000017</v>
      </c>
      <c r="J46" s="764">
        <v>0</v>
      </c>
      <c r="K46" s="764">
        <f t="shared" si="0"/>
        <v>432763.37000000017</v>
      </c>
      <c r="M46" s="764"/>
      <c r="O46" s="764">
        <v>0</v>
      </c>
      <c r="P46" s="764">
        <v>0</v>
      </c>
      <c r="Q46" s="764">
        <v>0</v>
      </c>
      <c r="R46" s="764">
        <v>0</v>
      </c>
      <c r="S46" s="764"/>
      <c r="T46" s="764"/>
      <c r="U46" s="764"/>
      <c r="V46" s="764"/>
      <c r="W46" s="764"/>
      <c r="X46" s="764"/>
      <c r="Y46" s="764"/>
      <c r="Z46" s="764"/>
      <c r="AA46" s="764">
        <f t="shared" si="1"/>
        <v>0</v>
      </c>
    </row>
    <row r="47" spans="1:27">
      <c r="A47" s="160">
        <v>2454</v>
      </c>
      <c r="B47" s="133">
        <v>103381</v>
      </c>
      <c r="C47" s="133" t="s">
        <v>623</v>
      </c>
      <c r="D47" s="133" t="s">
        <v>624</v>
      </c>
      <c r="E47" s="763" t="s">
        <v>538</v>
      </c>
      <c r="F47" s="763" t="s">
        <v>535</v>
      </c>
      <c r="G47" s="166" t="s">
        <v>955</v>
      </c>
      <c r="I47" s="764">
        <v>483826.00000000029</v>
      </c>
      <c r="J47" s="764">
        <v>16647.25</v>
      </c>
      <c r="K47" s="764">
        <f t="shared" si="0"/>
        <v>500473.25000000029</v>
      </c>
      <c r="M47" s="764"/>
      <c r="O47" s="764">
        <v>0</v>
      </c>
      <c r="P47" s="764">
        <v>0</v>
      </c>
      <c r="Q47" s="764">
        <v>0</v>
      </c>
      <c r="R47" s="764">
        <v>0</v>
      </c>
      <c r="S47" s="764"/>
      <c r="T47" s="764"/>
      <c r="U47" s="764"/>
      <c r="V47" s="764"/>
      <c r="W47" s="764"/>
      <c r="X47" s="764"/>
      <c r="Y47" s="764"/>
      <c r="Z47" s="764"/>
      <c r="AA47" s="764">
        <f t="shared" si="1"/>
        <v>0</v>
      </c>
    </row>
    <row r="48" spans="1:27">
      <c r="A48" s="160">
        <v>3321</v>
      </c>
      <c r="B48" s="133">
        <v>103425</v>
      </c>
      <c r="C48" s="133" t="s">
        <v>625</v>
      </c>
      <c r="D48" s="133" t="s">
        <v>626</v>
      </c>
      <c r="E48" s="763" t="s">
        <v>538</v>
      </c>
      <c r="F48" s="763" t="s">
        <v>535</v>
      </c>
      <c r="G48" s="166" t="s">
        <v>955</v>
      </c>
      <c r="I48" s="764">
        <v>347111.54599999939</v>
      </c>
      <c r="J48" s="764">
        <v>0</v>
      </c>
      <c r="K48" s="764">
        <f t="shared" si="0"/>
        <v>347111.54599999939</v>
      </c>
      <c r="M48" s="764"/>
      <c r="O48" s="764">
        <v>0</v>
      </c>
      <c r="P48" s="764">
        <v>0</v>
      </c>
      <c r="Q48" s="764">
        <v>0</v>
      </c>
      <c r="R48" s="764">
        <v>0</v>
      </c>
      <c r="S48" s="764"/>
      <c r="T48" s="764"/>
      <c r="U48" s="764"/>
      <c r="V48" s="764"/>
      <c r="W48" s="764"/>
      <c r="X48" s="764"/>
      <c r="Y48" s="764"/>
      <c r="Z48" s="764"/>
      <c r="AA48" s="764">
        <f t="shared" si="1"/>
        <v>0</v>
      </c>
    </row>
    <row r="49" spans="1:27">
      <c r="A49" s="160">
        <v>1026</v>
      </c>
      <c r="B49" s="133">
        <v>103139</v>
      </c>
      <c r="C49" s="133" t="s">
        <v>627</v>
      </c>
      <c r="D49" s="133" t="s">
        <v>628</v>
      </c>
      <c r="E49" s="763" t="s">
        <v>534</v>
      </c>
      <c r="F49" s="763" t="s">
        <v>535</v>
      </c>
      <c r="G49" s="166" t="s">
        <v>954</v>
      </c>
      <c r="I49" s="764">
        <v>354863</v>
      </c>
      <c r="J49" s="764">
        <v>17313</v>
      </c>
      <c r="K49" s="764">
        <f t="shared" si="0"/>
        <v>372176</v>
      </c>
      <c r="M49" s="764"/>
      <c r="O49" s="764">
        <v>0</v>
      </c>
      <c r="P49" s="764">
        <v>0</v>
      </c>
      <c r="Q49" s="764">
        <v>0</v>
      </c>
      <c r="R49" s="764">
        <v>0</v>
      </c>
      <c r="S49" s="764"/>
      <c r="T49" s="764"/>
      <c r="U49" s="764"/>
      <c r="V49" s="764"/>
      <c r="W49" s="764"/>
      <c r="X49" s="764"/>
      <c r="Y49" s="764"/>
      <c r="Z49" s="764"/>
      <c r="AA49" s="764">
        <f t="shared" si="1"/>
        <v>0</v>
      </c>
    </row>
    <row r="50" spans="1:27">
      <c r="A50" s="160">
        <v>2294</v>
      </c>
      <c r="B50" s="133">
        <v>103318</v>
      </c>
      <c r="C50" s="133" t="s">
        <v>629</v>
      </c>
      <c r="D50" s="133" t="s">
        <v>630</v>
      </c>
      <c r="E50" s="763" t="s">
        <v>538</v>
      </c>
      <c r="F50" s="763" t="s">
        <v>535</v>
      </c>
      <c r="G50" s="166" t="s">
        <v>954</v>
      </c>
      <c r="I50" s="764">
        <v>624852.93000000017</v>
      </c>
      <c r="J50" s="764">
        <v>13520</v>
      </c>
      <c r="K50" s="764">
        <f t="shared" si="0"/>
        <v>638372.93000000017</v>
      </c>
      <c r="M50" s="764"/>
      <c r="O50" s="764">
        <v>0</v>
      </c>
      <c r="P50" s="764">
        <v>0</v>
      </c>
      <c r="Q50" s="764">
        <v>0</v>
      </c>
      <c r="R50" s="764">
        <v>0</v>
      </c>
      <c r="S50" s="764"/>
      <c r="T50" s="764"/>
      <c r="U50" s="764"/>
      <c r="V50" s="764"/>
      <c r="W50" s="764"/>
      <c r="X50" s="764"/>
      <c r="Y50" s="764"/>
      <c r="Z50" s="764"/>
      <c r="AA50" s="764">
        <f t="shared" si="1"/>
        <v>0</v>
      </c>
    </row>
    <row r="51" spans="1:27">
      <c r="A51" s="160">
        <v>2486</v>
      </c>
      <c r="B51" s="133">
        <v>133759</v>
      </c>
      <c r="C51" s="133" t="s">
        <v>631</v>
      </c>
      <c r="D51" s="133" t="s">
        <v>632</v>
      </c>
      <c r="E51" s="763" t="s">
        <v>538</v>
      </c>
      <c r="F51" s="763" t="s">
        <v>535</v>
      </c>
      <c r="G51" s="166">
        <v>0</v>
      </c>
      <c r="I51" s="764">
        <v>279307.1100000001</v>
      </c>
      <c r="J51" s="764">
        <v>4965.2000000000007</v>
      </c>
      <c r="K51" s="764">
        <f t="shared" si="0"/>
        <v>284272.31000000011</v>
      </c>
      <c r="M51" s="764"/>
      <c r="O51" s="764">
        <v>0</v>
      </c>
      <c r="P51" s="764">
        <v>0</v>
      </c>
      <c r="Q51" s="764">
        <v>0</v>
      </c>
      <c r="R51" s="764">
        <v>0</v>
      </c>
      <c r="S51" s="764"/>
      <c r="T51" s="764"/>
      <c r="U51" s="764"/>
      <c r="V51" s="764"/>
      <c r="W51" s="764"/>
      <c r="X51" s="764"/>
      <c r="Y51" s="764"/>
      <c r="Z51" s="764"/>
      <c r="AA51" s="764">
        <f t="shared" si="1"/>
        <v>0</v>
      </c>
    </row>
    <row r="52" spans="1:27">
      <c r="A52" s="160">
        <v>3435</v>
      </c>
      <c r="B52" s="133">
        <v>131920</v>
      </c>
      <c r="C52" s="133" t="s">
        <v>633</v>
      </c>
      <c r="D52" s="133" t="s">
        <v>634</v>
      </c>
      <c r="E52" s="763" t="s">
        <v>538</v>
      </c>
      <c r="F52" s="763" t="s">
        <v>535</v>
      </c>
      <c r="G52" s="166" t="s">
        <v>955</v>
      </c>
      <c r="I52" s="764">
        <v>158198.56000000075</v>
      </c>
      <c r="J52" s="764">
        <v>11219.919999999995</v>
      </c>
      <c r="K52" s="764">
        <f t="shared" si="0"/>
        <v>169418.48000000074</v>
      </c>
      <c r="M52" s="764"/>
      <c r="O52" s="764">
        <v>0</v>
      </c>
      <c r="P52" s="764">
        <v>0</v>
      </c>
      <c r="Q52" s="764">
        <v>0</v>
      </c>
      <c r="R52" s="764">
        <v>0</v>
      </c>
      <c r="S52" s="764"/>
      <c r="T52" s="764"/>
      <c r="U52" s="764"/>
      <c r="V52" s="764"/>
      <c r="W52" s="764"/>
      <c r="X52" s="764"/>
      <c r="Y52" s="764"/>
      <c r="Z52" s="764"/>
      <c r="AA52" s="764">
        <f t="shared" si="1"/>
        <v>0</v>
      </c>
    </row>
    <row r="53" spans="1:27">
      <c r="A53" s="160">
        <v>7050</v>
      </c>
      <c r="B53" s="133">
        <v>103625</v>
      </c>
      <c r="C53" s="133" t="s">
        <v>635</v>
      </c>
      <c r="D53" s="133" t="s">
        <v>636</v>
      </c>
      <c r="E53" s="763" t="s">
        <v>553</v>
      </c>
      <c r="F53" s="763" t="s">
        <v>535</v>
      </c>
      <c r="G53" s="166" t="s">
        <v>954</v>
      </c>
      <c r="I53" s="764">
        <v>900749.02000001026</v>
      </c>
      <c r="J53" s="764">
        <v>14690.21</v>
      </c>
      <c r="K53" s="764">
        <f t="shared" si="0"/>
        <v>915439.23000001023</v>
      </c>
      <c r="M53" s="764"/>
      <c r="O53" s="764">
        <v>0</v>
      </c>
      <c r="P53" s="764">
        <v>0</v>
      </c>
      <c r="Q53" s="764">
        <v>0</v>
      </c>
      <c r="R53" s="764">
        <v>0</v>
      </c>
      <c r="S53" s="764"/>
      <c r="T53" s="764"/>
      <c r="U53" s="764"/>
      <c r="V53" s="764"/>
      <c r="W53" s="764"/>
      <c r="X53" s="764"/>
      <c r="Y53" s="764"/>
      <c r="Z53" s="764"/>
      <c r="AA53" s="764">
        <f t="shared" si="1"/>
        <v>0</v>
      </c>
    </row>
    <row r="54" spans="1:27">
      <c r="A54" s="160">
        <v>1006</v>
      </c>
      <c r="B54" s="133">
        <v>103122</v>
      </c>
      <c r="C54" s="133" t="s">
        <v>637</v>
      </c>
      <c r="D54" s="133" t="s">
        <v>638</v>
      </c>
      <c r="E54" s="763" t="s">
        <v>534</v>
      </c>
      <c r="F54" s="763" t="s">
        <v>535</v>
      </c>
      <c r="G54" s="166" t="s">
        <v>955</v>
      </c>
      <c r="I54" s="764">
        <v>155120.17000000016</v>
      </c>
      <c r="J54" s="764">
        <v>8347.0000000000036</v>
      </c>
      <c r="K54" s="764">
        <f t="shared" si="0"/>
        <v>163467.17000000016</v>
      </c>
      <c r="M54" s="764"/>
      <c r="O54" s="764">
        <v>0</v>
      </c>
      <c r="P54" s="764">
        <v>0</v>
      </c>
      <c r="Q54" s="764">
        <v>0</v>
      </c>
      <c r="R54" s="764">
        <v>0</v>
      </c>
      <c r="S54" s="764"/>
      <c r="T54" s="764"/>
      <c r="U54" s="764"/>
      <c r="V54" s="764"/>
      <c r="W54" s="764"/>
      <c r="X54" s="764"/>
      <c r="Y54" s="764"/>
      <c r="Z54" s="764"/>
      <c r="AA54" s="764">
        <f t="shared" si="1"/>
        <v>0</v>
      </c>
    </row>
    <row r="55" spans="1:27">
      <c r="A55" s="160">
        <v>2081</v>
      </c>
      <c r="B55" s="133">
        <v>103201</v>
      </c>
      <c r="C55" s="133" t="s">
        <v>639</v>
      </c>
      <c r="D55" s="133" t="s">
        <v>640</v>
      </c>
      <c r="E55" s="763" t="s">
        <v>538</v>
      </c>
      <c r="F55" s="763" t="s">
        <v>535</v>
      </c>
      <c r="G55" s="166" t="s">
        <v>955</v>
      </c>
      <c r="I55" s="764">
        <v>53410.930000002991</v>
      </c>
      <c r="J55" s="764">
        <v>40011.79</v>
      </c>
      <c r="K55" s="764">
        <f t="shared" si="0"/>
        <v>93422.720000002999</v>
      </c>
      <c r="M55" s="764"/>
      <c r="O55" s="764">
        <v>0</v>
      </c>
      <c r="P55" s="764">
        <v>0</v>
      </c>
      <c r="Q55" s="764">
        <v>0</v>
      </c>
      <c r="R55" s="764">
        <v>0</v>
      </c>
      <c r="S55" s="764"/>
      <c r="T55" s="764"/>
      <c r="U55" s="764"/>
      <c r="V55" s="764"/>
      <c r="W55" s="764"/>
      <c r="X55" s="764"/>
      <c r="Y55" s="764"/>
      <c r="Z55" s="764"/>
      <c r="AA55" s="764">
        <f t="shared" si="1"/>
        <v>0</v>
      </c>
    </row>
    <row r="56" spans="1:27">
      <c r="A56" s="160">
        <v>2296</v>
      </c>
      <c r="B56" s="133">
        <v>103320</v>
      </c>
      <c r="C56" s="133" t="s">
        <v>641</v>
      </c>
      <c r="D56" s="133" t="s">
        <v>642</v>
      </c>
      <c r="E56" s="763" t="s">
        <v>538</v>
      </c>
      <c r="F56" s="763" t="s">
        <v>643</v>
      </c>
      <c r="G56" s="166">
        <v>0</v>
      </c>
      <c r="I56" s="764">
        <v>314590.01999999932</v>
      </c>
      <c r="J56" s="764">
        <v>20627.240000000002</v>
      </c>
      <c r="K56" s="764">
        <f t="shared" si="0"/>
        <v>335217.25999999931</v>
      </c>
      <c r="M56" s="764"/>
      <c r="O56" s="764">
        <v>0</v>
      </c>
      <c r="P56" s="764">
        <v>0</v>
      </c>
      <c r="Q56" s="764">
        <v>0</v>
      </c>
      <c r="R56" s="764">
        <v>0</v>
      </c>
      <c r="S56" s="764"/>
      <c r="T56" s="764"/>
      <c r="U56" s="764"/>
      <c r="V56" s="764"/>
      <c r="W56" s="764"/>
      <c r="X56" s="764"/>
      <c r="Y56" s="764"/>
      <c r="Z56" s="764"/>
      <c r="AA56" s="764">
        <f t="shared" si="1"/>
        <v>0</v>
      </c>
    </row>
    <row r="57" spans="1:27">
      <c r="A57" s="160">
        <v>1015</v>
      </c>
      <c r="B57" s="133">
        <v>103128</v>
      </c>
      <c r="C57" s="133" t="s">
        <v>644</v>
      </c>
      <c r="D57" s="133" t="s">
        <v>645</v>
      </c>
      <c r="E57" s="763" t="s">
        <v>534</v>
      </c>
      <c r="F57" s="763" t="s">
        <v>535</v>
      </c>
      <c r="G57" s="166" t="s">
        <v>955</v>
      </c>
      <c r="I57" s="764">
        <v>215031.71999999962</v>
      </c>
      <c r="J57" s="764">
        <v>17189.25</v>
      </c>
      <c r="K57" s="764">
        <f t="shared" si="0"/>
        <v>232220.96999999962</v>
      </c>
      <c r="M57" s="764"/>
      <c r="O57" s="764">
        <v>0</v>
      </c>
      <c r="P57" s="764">
        <v>0</v>
      </c>
      <c r="Q57" s="764">
        <v>0</v>
      </c>
      <c r="R57" s="764">
        <v>0</v>
      </c>
      <c r="S57" s="764"/>
      <c r="T57" s="764"/>
      <c r="U57" s="764"/>
      <c r="V57" s="764"/>
      <c r="W57" s="764"/>
      <c r="X57" s="764"/>
      <c r="Y57" s="764"/>
      <c r="Z57" s="764"/>
      <c r="AA57" s="764">
        <f t="shared" si="1"/>
        <v>0</v>
      </c>
    </row>
    <row r="58" spans="1:27">
      <c r="A58" s="160">
        <v>1022</v>
      </c>
      <c r="B58" s="133">
        <v>103135</v>
      </c>
      <c r="C58" s="133" t="s">
        <v>646</v>
      </c>
      <c r="D58" s="133" t="s">
        <v>647</v>
      </c>
      <c r="E58" s="763" t="s">
        <v>534</v>
      </c>
      <c r="F58" s="763" t="s">
        <v>535</v>
      </c>
      <c r="G58" s="166" t="s">
        <v>954</v>
      </c>
      <c r="I58" s="764">
        <v>349107.07999999984</v>
      </c>
      <c r="J58" s="764">
        <v>11925.339999999997</v>
      </c>
      <c r="K58" s="764">
        <f t="shared" si="0"/>
        <v>361032.41999999981</v>
      </c>
      <c r="M58" s="764"/>
      <c r="O58" s="764">
        <v>0</v>
      </c>
      <c r="P58" s="764">
        <v>0</v>
      </c>
      <c r="Q58" s="764">
        <v>0</v>
      </c>
      <c r="R58" s="764">
        <v>0</v>
      </c>
      <c r="S58" s="764"/>
      <c r="T58" s="764"/>
      <c r="U58" s="764"/>
      <c r="V58" s="764"/>
      <c r="W58" s="764"/>
      <c r="X58" s="764"/>
      <c r="Y58" s="764"/>
      <c r="Z58" s="764"/>
      <c r="AA58" s="764">
        <f t="shared" si="1"/>
        <v>0</v>
      </c>
    </row>
    <row r="59" spans="1:27">
      <c r="A59" s="160">
        <v>2087</v>
      </c>
      <c r="B59" s="133">
        <v>103205</v>
      </c>
      <c r="C59" s="133" t="s">
        <v>648</v>
      </c>
      <c r="D59" s="133" t="s">
        <v>649</v>
      </c>
      <c r="E59" s="763" t="s">
        <v>538</v>
      </c>
      <c r="F59" s="763" t="s">
        <v>535</v>
      </c>
      <c r="G59" s="166" t="s">
        <v>955</v>
      </c>
      <c r="I59" s="764">
        <v>279576.97000000236</v>
      </c>
      <c r="J59" s="764">
        <v>2706.82</v>
      </c>
      <c r="K59" s="764">
        <f t="shared" si="0"/>
        <v>282283.79000000237</v>
      </c>
      <c r="M59" s="764"/>
      <c r="O59" s="764">
        <v>0</v>
      </c>
      <c r="P59" s="764">
        <v>0</v>
      </c>
      <c r="Q59" s="764">
        <v>0</v>
      </c>
      <c r="R59" s="764">
        <v>0</v>
      </c>
      <c r="S59" s="764"/>
      <c r="T59" s="764"/>
      <c r="U59" s="764"/>
      <c r="V59" s="764"/>
      <c r="W59" s="764"/>
      <c r="X59" s="764"/>
      <c r="Y59" s="764"/>
      <c r="Z59" s="764"/>
      <c r="AA59" s="764">
        <f t="shared" si="1"/>
        <v>0</v>
      </c>
    </row>
    <row r="60" spans="1:27">
      <c r="A60" s="160">
        <v>2466</v>
      </c>
      <c r="B60" s="133">
        <v>103392</v>
      </c>
      <c r="C60" s="133" t="s">
        <v>650</v>
      </c>
      <c r="D60" s="133" t="s">
        <v>651</v>
      </c>
      <c r="E60" s="763" t="s">
        <v>538</v>
      </c>
      <c r="F60" s="763" t="s">
        <v>535</v>
      </c>
      <c r="G60" s="166" t="s">
        <v>955</v>
      </c>
      <c r="I60" s="764">
        <v>956483.09999999963</v>
      </c>
      <c r="J60" s="764">
        <v>13781.5</v>
      </c>
      <c r="K60" s="764">
        <f t="shared" si="0"/>
        <v>970264.59999999963</v>
      </c>
      <c r="M60" s="764"/>
      <c r="O60" s="764">
        <v>0</v>
      </c>
      <c r="P60" s="764">
        <v>0</v>
      </c>
      <c r="Q60" s="764">
        <v>0</v>
      </c>
      <c r="R60" s="764">
        <v>0</v>
      </c>
      <c r="S60" s="764"/>
      <c r="T60" s="764"/>
      <c r="U60" s="764"/>
      <c r="V60" s="764"/>
      <c r="W60" s="764"/>
      <c r="X60" s="764"/>
      <c r="Y60" s="764"/>
      <c r="Z60" s="764"/>
      <c r="AA60" s="764">
        <f t="shared" si="1"/>
        <v>0</v>
      </c>
    </row>
    <row r="61" spans="1:27">
      <c r="A61" s="160">
        <v>2093</v>
      </c>
      <c r="B61" s="133">
        <v>103210</v>
      </c>
      <c r="C61" s="133" t="s">
        <v>652</v>
      </c>
      <c r="D61" s="133" t="s">
        <v>653</v>
      </c>
      <c r="E61" s="763" t="s">
        <v>538</v>
      </c>
      <c r="F61" s="763" t="s">
        <v>535</v>
      </c>
      <c r="G61" s="166" t="s">
        <v>955</v>
      </c>
      <c r="I61" s="764">
        <v>539039.51999999932</v>
      </c>
      <c r="J61" s="764">
        <v>40509.479999999996</v>
      </c>
      <c r="K61" s="764">
        <f t="shared" si="0"/>
        <v>579548.9999999993</v>
      </c>
      <c r="M61" s="764"/>
      <c r="O61" s="764">
        <v>0</v>
      </c>
      <c r="P61" s="764">
        <v>0</v>
      </c>
      <c r="Q61" s="764">
        <v>0</v>
      </c>
      <c r="R61" s="764">
        <v>0</v>
      </c>
      <c r="S61" s="764"/>
      <c r="T61" s="764"/>
      <c r="U61" s="764"/>
      <c r="V61" s="764"/>
      <c r="W61" s="764"/>
      <c r="X61" s="764"/>
      <c r="Y61" s="764"/>
      <c r="Z61" s="764"/>
      <c r="AA61" s="764">
        <f t="shared" si="1"/>
        <v>0</v>
      </c>
    </row>
    <row r="62" spans="1:27">
      <c r="A62" s="160">
        <v>2092</v>
      </c>
      <c r="B62" s="133">
        <v>103209</v>
      </c>
      <c r="C62" s="133" t="s">
        <v>654</v>
      </c>
      <c r="D62" s="133" t="s">
        <v>655</v>
      </c>
      <c r="E62" s="763" t="s">
        <v>538</v>
      </c>
      <c r="F62" s="763" t="s">
        <v>535</v>
      </c>
      <c r="G62" s="166">
        <v>0</v>
      </c>
      <c r="I62" s="764">
        <v>797018.92</v>
      </c>
      <c r="J62" s="764">
        <v>47001.66</v>
      </c>
      <c r="K62" s="764">
        <f t="shared" si="0"/>
        <v>844020.58000000007</v>
      </c>
      <c r="M62" s="764"/>
      <c r="O62" s="764">
        <v>0</v>
      </c>
      <c r="P62" s="764">
        <v>0</v>
      </c>
      <c r="Q62" s="764">
        <v>0</v>
      </c>
      <c r="R62" s="764">
        <v>0</v>
      </c>
      <c r="S62" s="764"/>
      <c r="T62" s="764"/>
      <c r="U62" s="764"/>
      <c r="V62" s="764"/>
      <c r="W62" s="764"/>
      <c r="X62" s="764"/>
      <c r="Y62" s="764"/>
      <c r="Z62" s="764"/>
      <c r="AA62" s="764">
        <f t="shared" si="1"/>
        <v>0</v>
      </c>
    </row>
    <row r="63" spans="1:27">
      <c r="A63" s="160">
        <v>7006</v>
      </c>
      <c r="B63" s="133">
        <v>103600</v>
      </c>
      <c r="C63" s="133" t="s">
        <v>656</v>
      </c>
      <c r="D63" s="133" t="s">
        <v>657</v>
      </c>
      <c r="E63" s="763" t="s">
        <v>553</v>
      </c>
      <c r="F63" s="763" t="s">
        <v>535</v>
      </c>
      <c r="G63" s="166" t="s">
        <v>954</v>
      </c>
      <c r="I63" s="764">
        <v>-79625.6099999898</v>
      </c>
      <c r="J63" s="764">
        <v>107508</v>
      </c>
      <c r="K63" s="764">
        <f t="shared" si="0"/>
        <v>27882.3900000102</v>
      </c>
      <c r="M63" s="764"/>
      <c r="O63" s="764">
        <v>0</v>
      </c>
      <c r="P63" s="764">
        <v>0</v>
      </c>
      <c r="Q63" s="764">
        <v>0</v>
      </c>
      <c r="R63" s="764">
        <v>0</v>
      </c>
      <c r="S63" s="764"/>
      <c r="T63" s="764"/>
      <c r="U63" s="764"/>
      <c r="V63" s="764"/>
      <c r="W63" s="764">
        <v>500000</v>
      </c>
      <c r="X63" s="764"/>
      <c r="Y63" s="764"/>
      <c r="Z63" s="764"/>
      <c r="AA63" s="764">
        <f t="shared" si="1"/>
        <v>500000</v>
      </c>
    </row>
    <row r="64" spans="1:27">
      <c r="A64" s="160">
        <v>2099</v>
      </c>
      <c r="B64" s="133">
        <v>103214</v>
      </c>
      <c r="C64" s="133" t="s">
        <v>658</v>
      </c>
      <c r="D64" s="133" t="s">
        <v>659</v>
      </c>
      <c r="E64" s="763" t="s">
        <v>538</v>
      </c>
      <c r="F64" s="763" t="s">
        <v>535</v>
      </c>
      <c r="G64" s="166" t="s">
        <v>955</v>
      </c>
      <c r="I64" s="764">
        <v>210464.49999999965</v>
      </c>
      <c r="J64" s="764">
        <v>2309.25</v>
      </c>
      <c r="K64" s="764">
        <f t="shared" si="0"/>
        <v>212773.74999999965</v>
      </c>
      <c r="M64" s="764"/>
      <c r="O64" s="764">
        <v>0</v>
      </c>
      <c r="P64" s="764">
        <v>0</v>
      </c>
      <c r="Q64" s="764">
        <v>0</v>
      </c>
      <c r="R64" s="764">
        <v>0</v>
      </c>
      <c r="S64" s="764"/>
      <c r="T64" s="764"/>
      <c r="U64" s="764"/>
      <c r="V64" s="764"/>
      <c r="W64" s="764"/>
      <c r="X64" s="764"/>
      <c r="Y64" s="764"/>
      <c r="Z64" s="764"/>
      <c r="AA64" s="764">
        <f t="shared" si="1"/>
        <v>0</v>
      </c>
    </row>
    <row r="65" spans="1:27">
      <c r="A65" s="160">
        <v>1010</v>
      </c>
      <c r="B65" s="133">
        <v>103125</v>
      </c>
      <c r="C65" s="133" t="s">
        <v>660</v>
      </c>
      <c r="D65" s="133" t="s">
        <v>661</v>
      </c>
      <c r="E65" s="763" t="s">
        <v>534</v>
      </c>
      <c r="F65" s="763" t="s">
        <v>535</v>
      </c>
      <c r="G65" s="166" t="s">
        <v>954</v>
      </c>
      <c r="I65" s="764">
        <v>470124.49999999977</v>
      </c>
      <c r="J65" s="764">
        <v>5194.75</v>
      </c>
      <c r="K65" s="764">
        <f t="shared" si="0"/>
        <v>475319.24999999977</v>
      </c>
      <c r="M65" s="764"/>
      <c r="O65" s="764">
        <v>0</v>
      </c>
      <c r="P65" s="764">
        <v>0</v>
      </c>
      <c r="Q65" s="764">
        <v>0</v>
      </c>
      <c r="R65" s="764">
        <v>0</v>
      </c>
      <c r="S65" s="764"/>
      <c r="T65" s="764"/>
      <c r="U65" s="764"/>
      <c r="V65" s="764"/>
      <c r="W65" s="764"/>
      <c r="X65" s="764"/>
      <c r="Y65" s="764"/>
      <c r="Z65" s="764"/>
      <c r="AA65" s="764">
        <f t="shared" si="1"/>
        <v>0</v>
      </c>
    </row>
    <row r="66" spans="1:27">
      <c r="A66" s="160">
        <v>1021</v>
      </c>
      <c r="B66" s="133">
        <v>103134</v>
      </c>
      <c r="C66" s="133" t="s">
        <v>662</v>
      </c>
      <c r="D66" s="133" t="s">
        <v>663</v>
      </c>
      <c r="E66" s="763" t="s">
        <v>534</v>
      </c>
      <c r="F66" s="763" t="s">
        <v>535</v>
      </c>
      <c r="G66" s="166" t="s">
        <v>955</v>
      </c>
      <c r="I66" s="764">
        <v>119166.30000000028</v>
      </c>
      <c r="J66" s="764">
        <v>11694.310000000001</v>
      </c>
      <c r="K66" s="764">
        <f t="shared" si="0"/>
        <v>130860.61000000028</v>
      </c>
      <c r="M66" s="764"/>
      <c r="O66" s="764">
        <v>0</v>
      </c>
      <c r="P66" s="764">
        <v>0</v>
      </c>
      <c r="Q66" s="764">
        <v>0</v>
      </c>
      <c r="R66" s="764">
        <v>0</v>
      </c>
      <c r="S66" s="764"/>
      <c r="T66" s="764"/>
      <c r="U66" s="764"/>
      <c r="V66" s="764"/>
      <c r="W66" s="764"/>
      <c r="X66" s="764"/>
      <c r="Y66" s="764"/>
      <c r="Z66" s="764"/>
      <c r="AA66" s="764">
        <f t="shared" si="1"/>
        <v>0</v>
      </c>
    </row>
    <row r="67" spans="1:27">
      <c r="A67" s="160">
        <v>4201</v>
      </c>
      <c r="B67" s="133">
        <v>103503</v>
      </c>
      <c r="C67" s="133" t="s">
        <v>664</v>
      </c>
      <c r="D67" s="133" t="s">
        <v>665</v>
      </c>
      <c r="E67" s="763" t="s">
        <v>564</v>
      </c>
      <c r="F67" s="763" t="s">
        <v>535</v>
      </c>
      <c r="G67" s="166">
        <v>0</v>
      </c>
      <c r="I67" s="764">
        <v>2462119.2100000018</v>
      </c>
      <c r="J67" s="764">
        <v>14787.839999999993</v>
      </c>
      <c r="K67" s="764">
        <f t="shared" si="0"/>
        <v>2476907.0500000017</v>
      </c>
      <c r="M67" s="764"/>
      <c r="O67" s="764">
        <v>0</v>
      </c>
      <c r="P67" s="764">
        <v>0</v>
      </c>
      <c r="Q67" s="764">
        <v>0</v>
      </c>
      <c r="R67" s="764">
        <v>0</v>
      </c>
      <c r="S67" s="764"/>
      <c r="T67" s="764"/>
      <c r="U67" s="764"/>
      <c r="V67" s="764"/>
      <c r="W67" s="764"/>
      <c r="X67" s="764"/>
      <c r="Y67" s="764"/>
      <c r="Z67" s="764"/>
      <c r="AA67" s="764">
        <f t="shared" si="1"/>
        <v>0</v>
      </c>
    </row>
    <row r="68" spans="1:27">
      <c r="A68" s="160">
        <v>4015</v>
      </c>
      <c r="B68" s="133">
        <v>103483</v>
      </c>
      <c r="C68" s="133" t="s">
        <v>666</v>
      </c>
      <c r="D68" s="133" t="s">
        <v>667</v>
      </c>
      <c r="E68" s="763" t="s">
        <v>564</v>
      </c>
      <c r="F68" s="763" t="s">
        <v>535</v>
      </c>
      <c r="G68" s="166">
        <v>0</v>
      </c>
      <c r="I68" s="764">
        <v>1167619.1300000011</v>
      </c>
      <c r="J68" s="764">
        <v>43990.84</v>
      </c>
      <c r="K68" s="764">
        <f t="shared" si="0"/>
        <v>1211609.9700000011</v>
      </c>
      <c r="M68" s="764"/>
      <c r="O68" s="764">
        <v>0</v>
      </c>
      <c r="P68" s="764">
        <v>0</v>
      </c>
      <c r="Q68" s="764">
        <v>0</v>
      </c>
      <c r="R68" s="764">
        <v>0</v>
      </c>
      <c r="S68" s="764"/>
      <c r="T68" s="764"/>
      <c r="U68" s="764"/>
      <c r="V68" s="764"/>
      <c r="W68" s="764"/>
      <c r="X68" s="764"/>
      <c r="Y68" s="764"/>
      <c r="Z68" s="764"/>
      <c r="AA68" s="764">
        <f t="shared" si="1"/>
        <v>0</v>
      </c>
    </row>
    <row r="69" spans="1:27">
      <c r="A69" s="160">
        <v>3411</v>
      </c>
      <c r="B69" s="133">
        <v>103479</v>
      </c>
      <c r="C69" s="133" t="s">
        <v>668</v>
      </c>
      <c r="D69" s="133" t="s">
        <v>669</v>
      </c>
      <c r="E69" s="763" t="s">
        <v>538</v>
      </c>
      <c r="F69" s="763" t="s">
        <v>535</v>
      </c>
      <c r="G69" s="166" t="s">
        <v>954</v>
      </c>
      <c r="I69" s="764">
        <v>391018.42000000062</v>
      </c>
      <c r="J69" s="764">
        <v>0</v>
      </c>
      <c r="K69" s="764">
        <f t="shared" si="0"/>
        <v>391018.42000000062</v>
      </c>
      <c r="M69" s="764"/>
      <c r="O69" s="764">
        <v>0</v>
      </c>
      <c r="P69" s="764">
        <v>0</v>
      </c>
      <c r="Q69" s="764">
        <v>0</v>
      </c>
      <c r="R69" s="764">
        <v>0</v>
      </c>
      <c r="S69" s="764"/>
      <c r="T69" s="764"/>
      <c r="U69" s="764"/>
      <c r="V69" s="764"/>
      <c r="W69" s="764"/>
      <c r="X69" s="764"/>
      <c r="Y69" s="764"/>
      <c r="Z69" s="764"/>
      <c r="AA69" s="764">
        <f t="shared" si="1"/>
        <v>0</v>
      </c>
    </row>
    <row r="70" spans="1:27">
      <c r="A70" s="160">
        <v>4223</v>
      </c>
      <c r="B70" s="133">
        <v>103509</v>
      </c>
      <c r="C70" s="133" t="s">
        <v>670</v>
      </c>
      <c r="D70" s="133" t="s">
        <v>671</v>
      </c>
      <c r="E70" s="763" t="s">
        <v>564</v>
      </c>
      <c r="F70" s="763" t="s">
        <v>535</v>
      </c>
      <c r="G70" s="166">
        <v>0</v>
      </c>
      <c r="I70" s="764">
        <v>3880738.2999999989</v>
      </c>
      <c r="J70" s="764">
        <v>24995.31</v>
      </c>
      <c r="K70" s="764">
        <f t="shared" ref="K70:K133" si="2">I70+J70</f>
        <v>3905733.6099999989</v>
      </c>
      <c r="M70" s="764"/>
      <c r="O70" s="764">
        <v>0</v>
      </c>
      <c r="P70" s="764">
        <v>0</v>
      </c>
      <c r="Q70" s="764">
        <v>0</v>
      </c>
      <c r="R70" s="764">
        <v>0</v>
      </c>
      <c r="S70" s="764"/>
      <c r="T70" s="764"/>
      <c r="U70" s="764"/>
      <c r="V70" s="764"/>
      <c r="W70" s="764"/>
      <c r="X70" s="764"/>
      <c r="Y70" s="764"/>
      <c r="Z70" s="764"/>
      <c r="AA70" s="764">
        <f t="shared" ref="AA70:AA133" si="3">(-M70)+SUM(O70:Z70)</f>
        <v>0</v>
      </c>
    </row>
    <row r="71" spans="1:27">
      <c r="A71" s="160">
        <v>3317</v>
      </c>
      <c r="B71" s="133">
        <v>103421</v>
      </c>
      <c r="C71" s="133" t="s">
        <v>672</v>
      </c>
      <c r="D71" s="133" t="s">
        <v>673</v>
      </c>
      <c r="E71" s="763" t="s">
        <v>538</v>
      </c>
      <c r="F71" s="763" t="s">
        <v>535</v>
      </c>
      <c r="G71" s="166" t="s">
        <v>955</v>
      </c>
      <c r="I71" s="764">
        <v>28044.320000000676</v>
      </c>
      <c r="J71" s="764">
        <v>44157</v>
      </c>
      <c r="K71" s="764">
        <f t="shared" si="2"/>
        <v>72201.320000000676</v>
      </c>
      <c r="M71" s="764"/>
      <c r="O71" s="764">
        <v>0</v>
      </c>
      <c r="P71" s="764">
        <v>0</v>
      </c>
      <c r="Q71" s="764">
        <v>0</v>
      </c>
      <c r="R71" s="764">
        <v>0</v>
      </c>
      <c r="S71" s="764"/>
      <c r="T71" s="764"/>
      <c r="U71" s="764"/>
      <c r="V71" s="764"/>
      <c r="W71" s="764"/>
      <c r="X71" s="764"/>
      <c r="Y71" s="764"/>
      <c r="Z71" s="764"/>
      <c r="AA71" s="764">
        <f t="shared" si="3"/>
        <v>0</v>
      </c>
    </row>
    <row r="72" spans="1:27">
      <c r="A72" s="160">
        <v>1023</v>
      </c>
      <c r="B72" s="133">
        <v>103136</v>
      </c>
      <c r="C72" s="133" t="s">
        <v>674</v>
      </c>
      <c r="D72" s="133" t="s">
        <v>675</v>
      </c>
      <c r="E72" s="763" t="s">
        <v>534</v>
      </c>
      <c r="F72" s="763" t="s">
        <v>535</v>
      </c>
      <c r="G72" s="166" t="s">
        <v>954</v>
      </c>
      <c r="I72" s="764">
        <v>274462.42999999988</v>
      </c>
      <c r="J72" s="764">
        <v>27919.88</v>
      </c>
      <c r="K72" s="764">
        <f t="shared" si="2"/>
        <v>302382.30999999988</v>
      </c>
      <c r="M72" s="764"/>
      <c r="O72" s="764">
        <v>0</v>
      </c>
      <c r="P72" s="764">
        <v>0</v>
      </c>
      <c r="Q72" s="764">
        <v>0</v>
      </c>
      <c r="R72" s="764">
        <v>0</v>
      </c>
      <c r="S72" s="764"/>
      <c r="T72" s="764"/>
      <c r="U72" s="764"/>
      <c r="V72" s="764"/>
      <c r="W72" s="764"/>
      <c r="X72" s="764"/>
      <c r="Y72" s="764"/>
      <c r="Z72" s="764"/>
      <c r="AA72" s="764">
        <f t="shared" si="3"/>
        <v>0</v>
      </c>
    </row>
    <row r="73" spans="1:27">
      <c r="A73" s="160">
        <v>2015</v>
      </c>
      <c r="B73" s="133">
        <v>134102</v>
      </c>
      <c r="C73" s="133" t="s">
        <v>676</v>
      </c>
      <c r="D73" s="133" t="s">
        <v>677</v>
      </c>
      <c r="E73" s="763" t="s">
        <v>538</v>
      </c>
      <c r="F73" s="763" t="s">
        <v>535</v>
      </c>
      <c r="G73" s="166">
        <v>0</v>
      </c>
      <c r="I73" s="764">
        <v>562555.25999999954</v>
      </c>
      <c r="J73" s="764">
        <v>13515</v>
      </c>
      <c r="K73" s="764">
        <f t="shared" si="2"/>
        <v>576070.25999999954</v>
      </c>
      <c r="M73" s="764"/>
      <c r="O73" s="764">
        <v>0</v>
      </c>
      <c r="P73" s="764">
        <v>0</v>
      </c>
      <c r="Q73" s="764">
        <v>0</v>
      </c>
      <c r="R73" s="764">
        <v>0</v>
      </c>
      <c r="S73" s="764"/>
      <c r="T73" s="764"/>
      <c r="U73" s="764"/>
      <c r="V73" s="764"/>
      <c r="W73" s="764"/>
      <c r="X73" s="764"/>
      <c r="Y73" s="764"/>
      <c r="Z73" s="764"/>
      <c r="AA73" s="764">
        <f t="shared" si="3"/>
        <v>0</v>
      </c>
    </row>
    <row r="74" spans="1:27">
      <c r="A74" s="160">
        <v>4063</v>
      </c>
      <c r="B74" s="133">
        <v>103486</v>
      </c>
      <c r="C74" s="133" t="s">
        <v>678</v>
      </c>
      <c r="D74" s="133" t="s">
        <v>679</v>
      </c>
      <c r="E74" s="763" t="s">
        <v>564</v>
      </c>
      <c r="F74" s="763" t="s">
        <v>535</v>
      </c>
      <c r="G74" s="166">
        <v>0</v>
      </c>
      <c r="I74" s="764">
        <v>546939.8599999994</v>
      </c>
      <c r="J74" s="764">
        <v>39715</v>
      </c>
      <c r="K74" s="764">
        <f t="shared" si="2"/>
        <v>586654.8599999994</v>
      </c>
      <c r="M74" s="764"/>
      <c r="O74" s="764">
        <v>0</v>
      </c>
      <c r="P74" s="764">
        <v>0</v>
      </c>
      <c r="Q74" s="764">
        <v>0</v>
      </c>
      <c r="R74" s="764">
        <v>0</v>
      </c>
      <c r="S74" s="764"/>
      <c r="T74" s="764"/>
      <c r="U74" s="764"/>
      <c r="V74" s="764"/>
      <c r="W74" s="764"/>
      <c r="X74" s="764"/>
      <c r="Y74" s="764"/>
      <c r="Z74" s="764"/>
      <c r="AA74" s="764">
        <f t="shared" si="3"/>
        <v>0</v>
      </c>
    </row>
    <row r="75" spans="1:27">
      <c r="A75" s="160">
        <v>1016</v>
      </c>
      <c r="B75" s="133">
        <v>103129</v>
      </c>
      <c r="C75" s="133" t="s">
        <v>680</v>
      </c>
      <c r="D75" s="133" t="s">
        <v>681</v>
      </c>
      <c r="E75" s="763" t="s">
        <v>534</v>
      </c>
      <c r="F75" s="763" t="s">
        <v>535</v>
      </c>
      <c r="G75" s="166" t="s">
        <v>955</v>
      </c>
      <c r="I75" s="764">
        <v>145367.85000000114</v>
      </c>
      <c r="J75" s="764">
        <v>2934</v>
      </c>
      <c r="K75" s="764">
        <f t="shared" si="2"/>
        <v>148301.85000000114</v>
      </c>
      <c r="M75" s="764"/>
      <c r="O75" s="764">
        <v>0</v>
      </c>
      <c r="P75" s="764">
        <v>0</v>
      </c>
      <c r="Q75" s="764">
        <v>0</v>
      </c>
      <c r="R75" s="764">
        <v>0</v>
      </c>
      <c r="S75" s="764"/>
      <c r="T75" s="764"/>
      <c r="U75" s="764"/>
      <c r="V75" s="764"/>
      <c r="W75" s="764"/>
      <c r="X75" s="764"/>
      <c r="Y75" s="764"/>
      <c r="Z75" s="764"/>
      <c r="AA75" s="764">
        <f t="shared" si="3"/>
        <v>0</v>
      </c>
    </row>
    <row r="76" spans="1:27">
      <c r="A76" s="160">
        <v>2115</v>
      </c>
      <c r="B76" s="133">
        <v>103221</v>
      </c>
      <c r="C76" s="133" t="s">
        <v>682</v>
      </c>
      <c r="D76" s="133" t="s">
        <v>683</v>
      </c>
      <c r="E76" s="763" t="s">
        <v>538</v>
      </c>
      <c r="F76" s="763" t="s">
        <v>535</v>
      </c>
      <c r="G76" s="166" t="s">
        <v>955</v>
      </c>
      <c r="I76" s="764">
        <v>291317.62000000023</v>
      </c>
      <c r="J76" s="764">
        <v>4559.88</v>
      </c>
      <c r="K76" s="764">
        <f t="shared" si="2"/>
        <v>295877.50000000023</v>
      </c>
      <c r="M76" s="764"/>
      <c r="O76" s="764">
        <v>0</v>
      </c>
      <c r="P76" s="764">
        <v>0</v>
      </c>
      <c r="Q76" s="764">
        <v>0</v>
      </c>
      <c r="R76" s="764">
        <v>0</v>
      </c>
      <c r="S76" s="764"/>
      <c r="T76" s="764"/>
      <c r="U76" s="764"/>
      <c r="V76" s="764"/>
      <c r="W76" s="764"/>
      <c r="X76" s="764"/>
      <c r="Y76" s="764"/>
      <c r="Z76" s="764"/>
      <c r="AA76" s="764">
        <f t="shared" si="3"/>
        <v>0</v>
      </c>
    </row>
    <row r="77" spans="1:27">
      <c r="A77" s="160">
        <v>2441</v>
      </c>
      <c r="B77" s="133">
        <v>103368</v>
      </c>
      <c r="C77" s="133" t="s">
        <v>684</v>
      </c>
      <c r="D77" s="133" t="s">
        <v>685</v>
      </c>
      <c r="E77" s="763" t="s">
        <v>538</v>
      </c>
      <c r="F77" s="763" t="s">
        <v>535</v>
      </c>
      <c r="G77" s="166" t="s">
        <v>955</v>
      </c>
      <c r="I77" s="764">
        <v>319126.28000000305</v>
      </c>
      <c r="J77" s="764">
        <v>38444.129999999997</v>
      </c>
      <c r="K77" s="764">
        <f t="shared" si="2"/>
        <v>357570.41000000306</v>
      </c>
      <c r="M77" s="764"/>
      <c r="O77" s="764">
        <v>0</v>
      </c>
      <c r="P77" s="764">
        <v>0</v>
      </c>
      <c r="Q77" s="764">
        <v>0</v>
      </c>
      <c r="R77" s="764">
        <v>0</v>
      </c>
      <c r="S77" s="764"/>
      <c r="T77" s="764"/>
      <c r="U77" s="764"/>
      <c r="V77" s="764"/>
      <c r="W77" s="764"/>
      <c r="X77" s="764"/>
      <c r="Y77" s="764"/>
      <c r="Z77" s="764"/>
      <c r="AA77" s="764">
        <f t="shared" si="3"/>
        <v>0</v>
      </c>
    </row>
    <row r="78" spans="1:27">
      <c r="A78" s="160">
        <v>2321</v>
      </c>
      <c r="B78" s="133">
        <v>103339</v>
      </c>
      <c r="C78" s="133" t="s">
        <v>686</v>
      </c>
      <c r="D78" s="133" t="s">
        <v>687</v>
      </c>
      <c r="E78" s="763" t="s">
        <v>538</v>
      </c>
      <c r="F78" s="763" t="s">
        <v>535</v>
      </c>
      <c r="G78" s="166" t="s">
        <v>955</v>
      </c>
      <c r="I78" s="764">
        <v>385866.67999999924</v>
      </c>
      <c r="J78" s="764">
        <v>6066.4</v>
      </c>
      <c r="K78" s="764">
        <f t="shared" si="2"/>
        <v>391933.07999999926</v>
      </c>
      <c r="M78" s="764"/>
      <c r="O78" s="764">
        <v>0</v>
      </c>
      <c r="P78" s="764">
        <v>0</v>
      </c>
      <c r="Q78" s="764">
        <v>0</v>
      </c>
      <c r="R78" s="764">
        <v>0</v>
      </c>
      <c r="S78" s="764"/>
      <c r="T78" s="764"/>
      <c r="U78" s="764"/>
      <c r="V78" s="764"/>
      <c r="W78" s="764"/>
      <c r="X78" s="764"/>
      <c r="Y78" s="764"/>
      <c r="Z78" s="764"/>
      <c r="AA78" s="764">
        <f t="shared" si="3"/>
        <v>0</v>
      </c>
    </row>
    <row r="79" spans="1:27">
      <c r="A79" s="160">
        <v>7062</v>
      </c>
      <c r="B79" s="133">
        <v>103632</v>
      </c>
      <c r="C79" s="133" t="s">
        <v>688</v>
      </c>
      <c r="D79" s="133" t="s">
        <v>689</v>
      </c>
      <c r="E79" s="763" t="s">
        <v>553</v>
      </c>
      <c r="F79" s="763" t="s">
        <v>535</v>
      </c>
      <c r="G79" s="166" t="s">
        <v>955</v>
      </c>
      <c r="I79" s="764">
        <v>805759.3399999988</v>
      </c>
      <c r="J79" s="764">
        <v>53477.34</v>
      </c>
      <c r="K79" s="764">
        <f t="shared" si="2"/>
        <v>859236.67999999877</v>
      </c>
      <c r="M79" s="764"/>
      <c r="O79" s="764">
        <v>0</v>
      </c>
      <c r="P79" s="764">
        <v>0</v>
      </c>
      <c r="Q79" s="764">
        <v>0</v>
      </c>
      <c r="R79" s="764">
        <v>0</v>
      </c>
      <c r="S79" s="764"/>
      <c r="T79" s="764"/>
      <c r="U79" s="764"/>
      <c r="V79" s="764"/>
      <c r="W79" s="764"/>
      <c r="X79" s="764"/>
      <c r="Y79" s="764"/>
      <c r="Z79" s="764"/>
      <c r="AA79" s="764">
        <f t="shared" si="3"/>
        <v>0</v>
      </c>
    </row>
    <row r="80" spans="1:27">
      <c r="A80" s="160">
        <v>2462</v>
      </c>
      <c r="B80" s="133">
        <v>103388</v>
      </c>
      <c r="C80" s="133" t="s">
        <v>690</v>
      </c>
      <c r="D80" s="133" t="s">
        <v>691</v>
      </c>
      <c r="E80" s="763" t="s">
        <v>538</v>
      </c>
      <c r="F80" s="763" t="s">
        <v>535</v>
      </c>
      <c r="G80" s="166">
        <v>0</v>
      </c>
      <c r="I80" s="764">
        <v>624319.06999999913</v>
      </c>
      <c r="J80" s="764">
        <v>4390.83</v>
      </c>
      <c r="K80" s="764">
        <f t="shared" si="2"/>
        <v>628709.89999999909</v>
      </c>
      <c r="M80" s="764"/>
      <c r="O80" s="764">
        <v>0</v>
      </c>
      <c r="P80" s="764">
        <v>0</v>
      </c>
      <c r="Q80" s="764">
        <v>0</v>
      </c>
      <c r="R80" s="764">
        <v>0</v>
      </c>
      <c r="S80" s="764"/>
      <c r="T80" s="764"/>
      <c r="U80" s="764"/>
      <c r="V80" s="764"/>
      <c r="W80" s="764"/>
      <c r="X80" s="764"/>
      <c r="Y80" s="764"/>
      <c r="Z80" s="764"/>
      <c r="AA80" s="764">
        <f t="shared" si="3"/>
        <v>0</v>
      </c>
    </row>
    <row r="81" spans="1:27">
      <c r="A81" s="160">
        <v>7012</v>
      </c>
      <c r="B81" s="133">
        <v>103603</v>
      </c>
      <c r="C81" s="133" t="s">
        <v>692</v>
      </c>
      <c r="D81" s="133" t="s">
        <v>693</v>
      </c>
      <c r="E81" s="763" t="s">
        <v>553</v>
      </c>
      <c r="F81" s="763" t="s">
        <v>535</v>
      </c>
      <c r="G81" s="166" t="s">
        <v>955</v>
      </c>
      <c r="I81" s="764">
        <v>-131472.62000000011</v>
      </c>
      <c r="J81" s="764">
        <v>38628</v>
      </c>
      <c r="K81" s="764">
        <f t="shared" si="2"/>
        <v>-92844.620000000112</v>
      </c>
      <c r="M81" s="764"/>
      <c r="O81" s="764">
        <v>0</v>
      </c>
      <c r="P81" s="764">
        <v>0</v>
      </c>
      <c r="Q81" s="764">
        <v>0</v>
      </c>
      <c r="R81" s="764">
        <v>0</v>
      </c>
      <c r="S81" s="764"/>
      <c r="T81" s="764"/>
      <c r="U81" s="764"/>
      <c r="V81" s="764"/>
      <c r="W81" s="764"/>
      <c r="X81" s="764"/>
      <c r="Y81" s="764"/>
      <c r="Z81" s="764"/>
      <c r="AA81" s="764">
        <f t="shared" si="3"/>
        <v>0</v>
      </c>
    </row>
    <row r="82" spans="1:27">
      <c r="A82" s="160">
        <v>2127</v>
      </c>
      <c r="B82" s="133">
        <v>103227</v>
      </c>
      <c r="C82" s="133" t="s">
        <v>694</v>
      </c>
      <c r="D82" s="133" t="s">
        <v>695</v>
      </c>
      <c r="E82" s="763" t="s">
        <v>538</v>
      </c>
      <c r="F82" s="763" t="s">
        <v>535</v>
      </c>
      <c r="G82" s="166">
        <v>0</v>
      </c>
      <c r="I82" s="764">
        <v>314028.36000000092</v>
      </c>
      <c r="J82" s="764">
        <v>45956.78</v>
      </c>
      <c r="K82" s="764">
        <f t="shared" si="2"/>
        <v>359985.14000000095</v>
      </c>
      <c r="M82" s="764"/>
      <c r="O82" s="764">
        <v>0</v>
      </c>
      <c r="P82" s="764">
        <v>0</v>
      </c>
      <c r="Q82" s="764">
        <v>0</v>
      </c>
      <c r="R82" s="764">
        <v>0</v>
      </c>
      <c r="S82" s="764"/>
      <c r="T82" s="764"/>
      <c r="U82" s="764"/>
      <c r="V82" s="764"/>
      <c r="W82" s="764"/>
      <c r="X82" s="764"/>
      <c r="Y82" s="764"/>
      <c r="Z82" s="764"/>
      <c r="AA82" s="764">
        <f t="shared" si="3"/>
        <v>0</v>
      </c>
    </row>
    <row r="83" spans="1:27">
      <c r="A83" s="160">
        <v>2129</v>
      </c>
      <c r="B83" s="133">
        <v>103229</v>
      </c>
      <c r="C83" s="133" t="s">
        <v>696</v>
      </c>
      <c r="D83" s="133" t="s">
        <v>697</v>
      </c>
      <c r="E83" s="763" t="s">
        <v>538</v>
      </c>
      <c r="F83" s="763" t="s">
        <v>535</v>
      </c>
      <c r="G83" s="166">
        <v>0</v>
      </c>
      <c r="I83" s="764">
        <v>50081.93357843082</v>
      </c>
      <c r="J83" s="764">
        <v>30406.47</v>
      </c>
      <c r="K83" s="764">
        <f t="shared" si="2"/>
        <v>80488.403578430822</v>
      </c>
      <c r="M83" s="764"/>
      <c r="O83" s="764">
        <v>0</v>
      </c>
      <c r="P83" s="764">
        <v>0</v>
      </c>
      <c r="Q83" s="764">
        <v>60000</v>
      </c>
      <c r="R83" s="764">
        <v>0</v>
      </c>
      <c r="S83" s="764"/>
      <c r="T83" s="764"/>
      <c r="U83" s="764"/>
      <c r="V83" s="764"/>
      <c r="W83" s="764"/>
      <c r="X83" s="764"/>
      <c r="Y83" s="764"/>
      <c r="Z83" s="764"/>
      <c r="AA83" s="764">
        <f t="shared" si="3"/>
        <v>60000</v>
      </c>
    </row>
    <row r="84" spans="1:27">
      <c r="A84" s="160">
        <v>2128</v>
      </c>
      <c r="B84" s="133">
        <v>103228</v>
      </c>
      <c r="C84" s="133" t="s">
        <v>698</v>
      </c>
      <c r="D84" s="133" t="s">
        <v>699</v>
      </c>
      <c r="E84" s="763" t="s">
        <v>538</v>
      </c>
      <c r="F84" s="763" t="s">
        <v>535</v>
      </c>
      <c r="G84" s="166">
        <v>0</v>
      </c>
      <c r="I84" s="764">
        <v>213519.83208333323</v>
      </c>
      <c r="J84" s="764">
        <v>76166.37</v>
      </c>
      <c r="K84" s="764">
        <f t="shared" si="2"/>
        <v>289686.20208333322</v>
      </c>
      <c r="M84" s="764"/>
      <c r="O84" s="764">
        <v>0</v>
      </c>
      <c r="P84" s="764">
        <v>0</v>
      </c>
      <c r="Q84" s="764">
        <v>0</v>
      </c>
      <c r="R84" s="764">
        <v>0</v>
      </c>
      <c r="S84" s="764"/>
      <c r="T84" s="764"/>
      <c r="U84" s="764"/>
      <c r="V84" s="764"/>
      <c r="W84" s="764"/>
      <c r="X84" s="764"/>
      <c r="Y84" s="764"/>
      <c r="Z84" s="764"/>
      <c r="AA84" s="764">
        <f t="shared" si="3"/>
        <v>0</v>
      </c>
    </row>
    <row r="85" spans="1:27">
      <c r="A85" s="160">
        <v>2420</v>
      </c>
      <c r="B85" s="133">
        <v>103353</v>
      </c>
      <c r="C85" s="133" t="s">
        <v>700</v>
      </c>
      <c r="D85" s="133" t="s">
        <v>701</v>
      </c>
      <c r="E85" s="763" t="s">
        <v>538</v>
      </c>
      <c r="F85" s="763" t="s">
        <v>535</v>
      </c>
      <c r="G85" s="166" t="s">
        <v>955</v>
      </c>
      <c r="I85" s="764">
        <v>284740</v>
      </c>
      <c r="J85" s="764">
        <v>7014</v>
      </c>
      <c r="K85" s="764">
        <f t="shared" si="2"/>
        <v>291754</v>
      </c>
      <c r="M85" s="764"/>
      <c r="O85" s="764">
        <v>0</v>
      </c>
      <c r="P85" s="764">
        <v>0</v>
      </c>
      <c r="Q85" s="764">
        <v>0</v>
      </c>
      <c r="R85" s="764">
        <v>0</v>
      </c>
      <c r="S85" s="764"/>
      <c r="T85" s="764"/>
      <c r="U85" s="764"/>
      <c r="V85" s="764"/>
      <c r="W85" s="764"/>
      <c r="X85" s="764"/>
      <c r="Y85" s="764"/>
      <c r="Z85" s="764"/>
      <c r="AA85" s="764">
        <f t="shared" si="3"/>
        <v>0</v>
      </c>
    </row>
    <row r="86" spans="1:27">
      <c r="A86" s="160">
        <v>1012</v>
      </c>
      <c r="B86" s="133">
        <v>103126</v>
      </c>
      <c r="C86" s="133" t="s">
        <v>702</v>
      </c>
      <c r="D86" s="133" t="s">
        <v>703</v>
      </c>
      <c r="E86" s="763" t="s">
        <v>534</v>
      </c>
      <c r="F86" s="763" t="s">
        <v>535</v>
      </c>
      <c r="G86" s="166" t="s">
        <v>955</v>
      </c>
      <c r="I86" s="764">
        <v>495607.77999999974</v>
      </c>
      <c r="J86" s="764">
        <v>45458.95</v>
      </c>
      <c r="K86" s="764">
        <f t="shared" si="2"/>
        <v>541066.72999999975</v>
      </c>
      <c r="M86" s="764"/>
      <c r="O86" s="764">
        <v>0</v>
      </c>
      <c r="P86" s="764">
        <v>0</v>
      </c>
      <c r="Q86" s="764">
        <v>0</v>
      </c>
      <c r="R86" s="764">
        <v>0</v>
      </c>
      <c r="S86" s="764"/>
      <c r="T86" s="764"/>
      <c r="U86" s="764"/>
      <c r="V86" s="764"/>
      <c r="W86" s="764"/>
      <c r="X86" s="764"/>
      <c r="Y86" s="764"/>
      <c r="Z86" s="764"/>
      <c r="AA86" s="764">
        <f t="shared" si="3"/>
        <v>0</v>
      </c>
    </row>
    <row r="87" spans="1:27">
      <c r="A87" s="160">
        <v>2133</v>
      </c>
      <c r="B87" s="133">
        <v>103233</v>
      </c>
      <c r="C87" s="133" t="s">
        <v>704</v>
      </c>
      <c r="D87" s="133" t="s">
        <v>705</v>
      </c>
      <c r="E87" s="763" t="s">
        <v>538</v>
      </c>
      <c r="F87" s="763" t="s">
        <v>535</v>
      </c>
      <c r="G87" s="166">
        <v>0</v>
      </c>
      <c r="I87" s="764">
        <v>351829.37999999971</v>
      </c>
      <c r="J87" s="764">
        <v>40863.799999999996</v>
      </c>
      <c r="K87" s="764">
        <f t="shared" si="2"/>
        <v>392693.1799999997</v>
      </c>
      <c r="M87" s="764"/>
      <c r="O87" s="764">
        <v>0</v>
      </c>
      <c r="P87" s="764">
        <v>0</v>
      </c>
      <c r="Q87" s="764">
        <v>0</v>
      </c>
      <c r="R87" s="764">
        <v>0</v>
      </c>
      <c r="S87" s="764"/>
      <c r="T87" s="764"/>
      <c r="U87" s="764"/>
      <c r="V87" s="764"/>
      <c r="W87" s="764"/>
      <c r="X87" s="764"/>
      <c r="Y87" s="764"/>
      <c r="Z87" s="764"/>
      <c r="AA87" s="764">
        <f t="shared" si="3"/>
        <v>0</v>
      </c>
    </row>
    <row r="88" spans="1:27">
      <c r="A88" s="160">
        <v>3322</v>
      </c>
      <c r="B88" s="133">
        <v>103426</v>
      </c>
      <c r="C88" s="133" t="s">
        <v>706</v>
      </c>
      <c r="D88" s="133" t="s">
        <v>707</v>
      </c>
      <c r="E88" s="763" t="s">
        <v>538</v>
      </c>
      <c r="F88" s="763" t="s">
        <v>583</v>
      </c>
      <c r="G88" s="166">
        <v>0</v>
      </c>
      <c r="I88" s="764">
        <v>64079.089999999705</v>
      </c>
      <c r="J88" s="764">
        <v>13482.24</v>
      </c>
      <c r="K88" s="764">
        <f t="shared" si="2"/>
        <v>77561.329999999711</v>
      </c>
      <c r="M88" s="764"/>
      <c r="O88" s="764">
        <v>0</v>
      </c>
      <c r="P88" s="764">
        <v>0</v>
      </c>
      <c r="Q88" s="764">
        <v>0</v>
      </c>
      <c r="R88" s="764">
        <v>0</v>
      </c>
      <c r="S88" s="764"/>
      <c r="T88" s="764"/>
      <c r="U88" s="764"/>
      <c r="V88" s="764"/>
      <c r="W88" s="764"/>
      <c r="X88" s="764"/>
      <c r="Y88" s="764"/>
      <c r="Z88" s="764"/>
      <c r="AA88" s="764">
        <f t="shared" si="3"/>
        <v>0</v>
      </c>
    </row>
    <row r="89" spans="1:27">
      <c r="A89" s="160">
        <v>2406</v>
      </c>
      <c r="B89" s="133">
        <v>103345</v>
      </c>
      <c r="C89" s="133" t="s">
        <v>708</v>
      </c>
      <c r="D89" s="133" t="s">
        <v>709</v>
      </c>
      <c r="E89" s="763" t="s">
        <v>538</v>
      </c>
      <c r="F89" s="763" t="s">
        <v>535</v>
      </c>
      <c r="G89" s="166" t="s">
        <v>955</v>
      </c>
      <c r="I89" s="764">
        <v>192585.37999999989</v>
      </c>
      <c r="J89" s="764">
        <v>8217</v>
      </c>
      <c r="K89" s="764">
        <f t="shared" si="2"/>
        <v>200802.37999999989</v>
      </c>
      <c r="M89" s="764"/>
      <c r="O89" s="764">
        <v>0</v>
      </c>
      <c r="P89" s="764">
        <v>0</v>
      </c>
      <c r="Q89" s="764">
        <v>0</v>
      </c>
      <c r="R89" s="764">
        <v>0</v>
      </c>
      <c r="S89" s="764"/>
      <c r="T89" s="764"/>
      <c r="U89" s="764"/>
      <c r="V89" s="764"/>
      <c r="W89" s="764"/>
      <c r="X89" s="764"/>
      <c r="Y89" s="764"/>
      <c r="Z89" s="764"/>
      <c r="AA89" s="764">
        <f t="shared" si="3"/>
        <v>0</v>
      </c>
    </row>
    <row r="90" spans="1:27">
      <c r="A90" s="160">
        <v>2416</v>
      </c>
      <c r="B90" s="133">
        <v>103351</v>
      </c>
      <c r="C90" s="133" t="s">
        <v>710</v>
      </c>
      <c r="D90" s="133" t="s">
        <v>711</v>
      </c>
      <c r="E90" s="763" t="s">
        <v>538</v>
      </c>
      <c r="F90" s="763" t="s">
        <v>535</v>
      </c>
      <c r="G90" s="166">
        <v>0</v>
      </c>
      <c r="I90" s="764">
        <v>57712.910000000149</v>
      </c>
      <c r="J90" s="764">
        <v>19658</v>
      </c>
      <c r="K90" s="764">
        <f t="shared" si="2"/>
        <v>77370.910000000149</v>
      </c>
      <c r="M90" s="764"/>
      <c r="O90" s="764">
        <v>0</v>
      </c>
      <c r="P90" s="764">
        <v>0</v>
      </c>
      <c r="Q90" s="764">
        <v>0</v>
      </c>
      <c r="R90" s="764">
        <v>0</v>
      </c>
      <c r="S90" s="764"/>
      <c r="T90" s="764"/>
      <c r="U90" s="764"/>
      <c r="V90" s="764"/>
      <c r="W90" s="764"/>
      <c r="X90" s="764"/>
      <c r="Y90" s="764"/>
      <c r="Z90" s="764"/>
      <c r="AA90" s="764">
        <f t="shared" si="3"/>
        <v>0</v>
      </c>
    </row>
    <row r="91" spans="1:27">
      <c r="A91" s="160">
        <v>3003</v>
      </c>
      <c r="B91" s="133">
        <v>103398</v>
      </c>
      <c r="C91" s="133" t="s">
        <v>712</v>
      </c>
      <c r="D91" s="133" t="s">
        <v>713</v>
      </c>
      <c r="E91" s="763" t="s">
        <v>538</v>
      </c>
      <c r="F91" s="763" t="s">
        <v>535</v>
      </c>
      <c r="G91" s="166" t="s">
        <v>955</v>
      </c>
      <c r="I91" s="764">
        <v>-4257.9900000001217</v>
      </c>
      <c r="J91" s="764">
        <v>0</v>
      </c>
      <c r="K91" s="764">
        <f t="shared" si="2"/>
        <v>-4257.9900000001217</v>
      </c>
      <c r="M91" s="764"/>
      <c r="O91" s="764">
        <v>0</v>
      </c>
      <c r="P91" s="764">
        <v>0</v>
      </c>
      <c r="Q91" s="764">
        <v>0</v>
      </c>
      <c r="R91" s="764">
        <v>0</v>
      </c>
      <c r="S91" s="764"/>
      <c r="T91" s="764"/>
      <c r="U91" s="764"/>
      <c r="V91" s="764"/>
      <c r="W91" s="764"/>
      <c r="X91" s="764"/>
      <c r="Y91" s="764"/>
      <c r="Z91" s="764"/>
      <c r="AA91" s="764">
        <f t="shared" si="3"/>
        <v>0</v>
      </c>
    </row>
    <row r="92" spans="1:27">
      <c r="A92" s="160">
        <v>4245</v>
      </c>
      <c r="B92" s="133">
        <v>103519</v>
      </c>
      <c r="C92" s="133" t="s">
        <v>714</v>
      </c>
      <c r="D92" s="133" t="s">
        <v>715</v>
      </c>
      <c r="E92" s="763" t="s">
        <v>564</v>
      </c>
      <c r="F92" s="763" t="s">
        <v>535</v>
      </c>
      <c r="G92" s="166">
        <v>0</v>
      </c>
      <c r="I92" s="764">
        <v>3970910.9200000027</v>
      </c>
      <c r="J92" s="764">
        <v>144115.06</v>
      </c>
      <c r="K92" s="764">
        <f t="shared" si="2"/>
        <v>4115025.9800000028</v>
      </c>
      <c r="M92" s="764"/>
      <c r="O92" s="764">
        <v>0</v>
      </c>
      <c r="P92" s="764">
        <v>0</v>
      </c>
      <c r="Q92" s="764">
        <v>0</v>
      </c>
      <c r="R92" s="764">
        <v>0</v>
      </c>
      <c r="S92" s="764"/>
      <c r="T92" s="764"/>
      <c r="U92" s="764"/>
      <c r="V92" s="764"/>
      <c r="W92" s="764"/>
      <c r="X92" s="764"/>
      <c r="Y92" s="764"/>
      <c r="Z92" s="764"/>
      <c r="AA92" s="764">
        <f t="shared" si="3"/>
        <v>0</v>
      </c>
    </row>
    <row r="93" spans="1:27">
      <c r="A93" s="160">
        <v>2457</v>
      </c>
      <c r="B93" s="133">
        <v>103384</v>
      </c>
      <c r="C93" s="133" t="s">
        <v>716</v>
      </c>
      <c r="D93" s="133" t="s">
        <v>717</v>
      </c>
      <c r="E93" s="763" t="s">
        <v>538</v>
      </c>
      <c r="F93" s="763" t="s">
        <v>535</v>
      </c>
      <c r="G93" s="166" t="s">
        <v>956</v>
      </c>
      <c r="I93" s="764">
        <v>786953.4000000027</v>
      </c>
      <c r="J93" s="764">
        <v>8815.5</v>
      </c>
      <c r="K93" s="764">
        <f t="shared" si="2"/>
        <v>795768.9000000027</v>
      </c>
      <c r="M93" s="764"/>
      <c r="O93" s="764">
        <v>0</v>
      </c>
      <c r="P93" s="764">
        <v>0</v>
      </c>
      <c r="Q93" s="764">
        <v>0</v>
      </c>
      <c r="R93" s="764">
        <v>0</v>
      </c>
      <c r="S93" s="764"/>
      <c r="T93" s="764"/>
      <c r="U93" s="764"/>
      <c r="V93" s="764"/>
      <c r="W93" s="764"/>
      <c r="X93" s="764"/>
      <c r="Y93" s="764"/>
      <c r="Z93" s="764"/>
      <c r="AA93" s="764">
        <f t="shared" si="3"/>
        <v>0</v>
      </c>
    </row>
    <row r="94" spans="1:27">
      <c r="A94" s="160">
        <v>2142</v>
      </c>
      <c r="B94" s="133">
        <v>103237</v>
      </c>
      <c r="C94" s="133" t="s">
        <v>718</v>
      </c>
      <c r="D94" s="133" t="s">
        <v>719</v>
      </c>
      <c r="E94" s="763" t="s">
        <v>538</v>
      </c>
      <c r="F94" s="763" t="s">
        <v>535</v>
      </c>
      <c r="G94" s="166" t="s">
        <v>955</v>
      </c>
      <c r="I94" s="764">
        <v>1177180.0599999989</v>
      </c>
      <c r="J94" s="764">
        <v>29289</v>
      </c>
      <c r="K94" s="764">
        <f t="shared" si="2"/>
        <v>1206469.0599999989</v>
      </c>
      <c r="M94" s="764"/>
      <c r="O94" s="764">
        <v>0</v>
      </c>
      <c r="P94" s="764">
        <v>0</v>
      </c>
      <c r="Q94" s="764">
        <v>0</v>
      </c>
      <c r="R94" s="764">
        <v>0</v>
      </c>
      <c r="S94" s="764"/>
      <c r="T94" s="764"/>
      <c r="U94" s="764"/>
      <c r="V94" s="764"/>
      <c r="W94" s="764"/>
      <c r="X94" s="764"/>
      <c r="Y94" s="764"/>
      <c r="Z94" s="764"/>
      <c r="AA94" s="764">
        <f t="shared" si="3"/>
        <v>0</v>
      </c>
    </row>
    <row r="95" spans="1:27">
      <c r="A95" s="160">
        <v>2469</v>
      </c>
      <c r="B95" s="133">
        <v>103395</v>
      </c>
      <c r="C95" s="133" t="s">
        <v>720</v>
      </c>
      <c r="D95" s="133" t="s">
        <v>721</v>
      </c>
      <c r="E95" s="763" t="s">
        <v>538</v>
      </c>
      <c r="F95" s="763" t="s">
        <v>535</v>
      </c>
      <c r="G95" s="166" t="s">
        <v>954</v>
      </c>
      <c r="I95" s="764">
        <v>286414</v>
      </c>
      <c r="J95" s="764">
        <v>7645</v>
      </c>
      <c r="K95" s="764">
        <f t="shared" si="2"/>
        <v>294059</v>
      </c>
      <c r="M95" s="764"/>
      <c r="O95" s="764">
        <v>0</v>
      </c>
      <c r="P95" s="764">
        <v>0</v>
      </c>
      <c r="Q95" s="764">
        <v>0</v>
      </c>
      <c r="R95" s="764">
        <v>0</v>
      </c>
      <c r="S95" s="764"/>
      <c r="T95" s="764"/>
      <c r="U95" s="764"/>
      <c r="V95" s="764"/>
      <c r="W95" s="764"/>
      <c r="X95" s="764"/>
      <c r="Y95" s="764"/>
      <c r="Z95" s="764"/>
      <c r="AA95" s="764">
        <f t="shared" si="3"/>
        <v>0</v>
      </c>
    </row>
    <row r="96" spans="1:27">
      <c r="A96" s="160">
        <v>1049</v>
      </c>
      <c r="B96" s="133">
        <v>103145</v>
      </c>
      <c r="C96" s="133" t="s">
        <v>722</v>
      </c>
      <c r="D96" s="133" t="s">
        <v>723</v>
      </c>
      <c r="E96" s="763" t="s">
        <v>534</v>
      </c>
      <c r="F96" s="763" t="s">
        <v>535</v>
      </c>
      <c r="G96" s="166" t="s">
        <v>954</v>
      </c>
      <c r="I96" s="764">
        <v>514843.26999999973</v>
      </c>
      <c r="J96" s="764">
        <v>3512</v>
      </c>
      <c r="K96" s="764">
        <f t="shared" si="2"/>
        <v>518355.26999999973</v>
      </c>
      <c r="M96" s="764"/>
      <c r="O96" s="764">
        <v>0</v>
      </c>
      <c r="P96" s="764">
        <v>0</v>
      </c>
      <c r="Q96" s="764">
        <v>0</v>
      </c>
      <c r="R96" s="764">
        <v>0</v>
      </c>
      <c r="S96" s="764"/>
      <c r="T96" s="764"/>
      <c r="U96" s="764"/>
      <c r="V96" s="764"/>
      <c r="W96" s="764"/>
      <c r="X96" s="764"/>
      <c r="Y96" s="764"/>
      <c r="Z96" s="764"/>
      <c r="AA96" s="764">
        <f t="shared" si="3"/>
        <v>0</v>
      </c>
    </row>
    <row r="97" spans="1:27">
      <c r="A97" s="160">
        <v>7053</v>
      </c>
      <c r="B97" s="133">
        <v>103628</v>
      </c>
      <c r="C97" s="133" t="s">
        <v>724</v>
      </c>
      <c r="D97" s="133" t="s">
        <v>725</v>
      </c>
      <c r="E97" s="763" t="s">
        <v>553</v>
      </c>
      <c r="F97" s="763" t="s">
        <v>535</v>
      </c>
      <c r="G97" s="166">
        <v>0</v>
      </c>
      <c r="I97" s="764">
        <v>425700.05999999959</v>
      </c>
      <c r="J97" s="764">
        <v>50165</v>
      </c>
      <c r="K97" s="764">
        <f t="shared" si="2"/>
        <v>475865.05999999959</v>
      </c>
      <c r="M97" s="764"/>
      <c r="O97" s="764">
        <v>0</v>
      </c>
      <c r="P97" s="764">
        <v>0</v>
      </c>
      <c r="Q97" s="764">
        <v>0</v>
      </c>
      <c r="R97" s="764">
        <v>0</v>
      </c>
      <c r="S97" s="764"/>
      <c r="T97" s="764"/>
      <c r="U97" s="764"/>
      <c r="V97" s="764"/>
      <c r="W97" s="764"/>
      <c r="X97" s="764"/>
      <c r="Y97" s="764"/>
      <c r="Z97" s="764"/>
      <c r="AA97" s="764">
        <f t="shared" si="3"/>
        <v>0</v>
      </c>
    </row>
    <row r="98" spans="1:27">
      <c r="A98" s="160">
        <v>3351</v>
      </c>
      <c r="B98" s="133">
        <v>103443</v>
      </c>
      <c r="C98" s="133" t="s">
        <v>726</v>
      </c>
      <c r="D98" s="133" t="s">
        <v>727</v>
      </c>
      <c r="E98" s="763" t="s">
        <v>538</v>
      </c>
      <c r="F98" s="763" t="s">
        <v>535</v>
      </c>
      <c r="G98" s="166" t="s">
        <v>955</v>
      </c>
      <c r="I98" s="764">
        <v>264120.30999999971</v>
      </c>
      <c r="J98" s="764">
        <v>0</v>
      </c>
      <c r="K98" s="764">
        <f t="shared" si="2"/>
        <v>264120.30999999971</v>
      </c>
      <c r="M98" s="764"/>
      <c r="O98" s="764">
        <v>0</v>
      </c>
      <c r="P98" s="764">
        <v>0</v>
      </c>
      <c r="Q98" s="764">
        <v>0</v>
      </c>
      <c r="R98" s="764">
        <v>0</v>
      </c>
      <c r="S98" s="764"/>
      <c r="T98" s="764"/>
      <c r="U98" s="764"/>
      <c r="V98" s="764"/>
      <c r="W98" s="764"/>
      <c r="X98" s="764"/>
      <c r="Y98" s="764"/>
      <c r="Z98" s="764"/>
      <c r="AA98" s="764">
        <f t="shared" si="3"/>
        <v>0</v>
      </c>
    </row>
    <row r="99" spans="1:27">
      <c r="A99" s="160">
        <v>3328</v>
      </c>
      <c r="B99" s="133">
        <v>103430</v>
      </c>
      <c r="C99" s="133" t="s">
        <v>728</v>
      </c>
      <c r="D99" s="133" t="s">
        <v>729</v>
      </c>
      <c r="E99" s="763" t="s">
        <v>538</v>
      </c>
      <c r="F99" s="763" t="s">
        <v>535</v>
      </c>
      <c r="G99" s="166" t="s">
        <v>955</v>
      </c>
      <c r="I99" s="764">
        <v>313783.02</v>
      </c>
      <c r="J99" s="764">
        <v>0</v>
      </c>
      <c r="K99" s="764">
        <f t="shared" si="2"/>
        <v>313783.02</v>
      </c>
      <c r="M99" s="764"/>
      <c r="O99" s="764">
        <v>0</v>
      </c>
      <c r="P99" s="764">
        <v>0</v>
      </c>
      <c r="Q99" s="764">
        <v>0</v>
      </c>
      <c r="R99" s="764">
        <v>0</v>
      </c>
      <c r="S99" s="764"/>
      <c r="T99" s="764"/>
      <c r="U99" s="764"/>
      <c r="V99" s="764"/>
      <c r="W99" s="764"/>
      <c r="X99" s="764"/>
      <c r="Y99" s="764"/>
      <c r="Z99" s="764"/>
      <c r="AA99" s="764">
        <f t="shared" si="3"/>
        <v>0</v>
      </c>
    </row>
    <row r="100" spans="1:27">
      <c r="A100" s="160">
        <v>1008</v>
      </c>
      <c r="B100" s="133">
        <v>103123</v>
      </c>
      <c r="C100" s="133" t="s">
        <v>730</v>
      </c>
      <c r="D100" s="133" t="s">
        <v>731</v>
      </c>
      <c r="E100" s="763" t="s">
        <v>534</v>
      </c>
      <c r="F100" s="763" t="s">
        <v>535</v>
      </c>
      <c r="G100" s="166" t="s">
        <v>955</v>
      </c>
      <c r="I100" s="764">
        <v>85700.029999999795</v>
      </c>
      <c r="J100" s="764">
        <v>16426.849999999999</v>
      </c>
      <c r="K100" s="764">
        <f t="shared" si="2"/>
        <v>102126.8799999998</v>
      </c>
      <c r="M100" s="764"/>
      <c r="O100" s="764">
        <v>0</v>
      </c>
      <c r="P100" s="764">
        <v>0</v>
      </c>
      <c r="Q100" s="764">
        <v>0</v>
      </c>
      <c r="R100" s="764">
        <v>0</v>
      </c>
      <c r="S100" s="764"/>
      <c r="T100" s="764"/>
      <c r="U100" s="764"/>
      <c r="V100" s="764"/>
      <c r="W100" s="764"/>
      <c r="X100" s="764"/>
      <c r="Y100" s="764"/>
      <c r="Z100" s="764"/>
      <c r="AA100" s="764">
        <f t="shared" si="3"/>
        <v>0</v>
      </c>
    </row>
    <row r="101" spans="1:27">
      <c r="A101" s="160">
        <v>4173</v>
      </c>
      <c r="B101" s="133">
        <v>103497</v>
      </c>
      <c r="C101" s="133" t="s">
        <v>732</v>
      </c>
      <c r="D101" s="133" t="s">
        <v>733</v>
      </c>
      <c r="E101" s="763" t="s">
        <v>564</v>
      </c>
      <c r="F101" s="763" t="s">
        <v>535</v>
      </c>
      <c r="G101" s="166">
        <v>0</v>
      </c>
      <c r="I101" s="764">
        <v>845675.88642013865</v>
      </c>
      <c r="J101" s="764">
        <v>93376.040000000008</v>
      </c>
      <c r="K101" s="764">
        <f t="shared" si="2"/>
        <v>939051.92642013868</v>
      </c>
      <c r="M101" s="764"/>
      <c r="O101" s="764">
        <v>0</v>
      </c>
      <c r="P101" s="764">
        <v>0</v>
      </c>
      <c r="Q101" s="764">
        <v>0</v>
      </c>
      <c r="R101" s="764">
        <v>0</v>
      </c>
      <c r="S101" s="764"/>
      <c r="T101" s="764"/>
      <c r="U101" s="764"/>
      <c r="V101" s="764"/>
      <c r="W101" s="764"/>
      <c r="X101" s="764"/>
      <c r="Y101" s="764"/>
      <c r="Z101" s="764"/>
      <c r="AA101" s="764">
        <f t="shared" si="3"/>
        <v>0</v>
      </c>
    </row>
    <row r="102" spans="1:27">
      <c r="A102" s="160">
        <v>2159</v>
      </c>
      <c r="B102" s="133">
        <v>103247</v>
      </c>
      <c r="C102" s="133" t="s">
        <v>734</v>
      </c>
      <c r="D102" s="133" t="s">
        <v>735</v>
      </c>
      <c r="E102" s="763" t="s">
        <v>538</v>
      </c>
      <c r="F102" s="763" t="s">
        <v>535</v>
      </c>
      <c r="G102" s="166" t="s">
        <v>955</v>
      </c>
      <c r="I102" s="764">
        <v>8370.5500000001957</v>
      </c>
      <c r="J102" s="764">
        <v>361.80000000000109</v>
      </c>
      <c r="K102" s="764">
        <f t="shared" si="2"/>
        <v>8732.3500000001968</v>
      </c>
      <c r="M102" s="764"/>
      <c r="O102" s="764">
        <v>0</v>
      </c>
      <c r="P102" s="764">
        <v>0</v>
      </c>
      <c r="Q102" s="764">
        <v>0</v>
      </c>
      <c r="R102" s="764">
        <v>0</v>
      </c>
      <c r="S102" s="764"/>
      <c r="T102" s="764"/>
      <c r="U102" s="764"/>
      <c r="V102" s="764"/>
      <c r="W102" s="764"/>
      <c r="X102" s="764"/>
      <c r="Y102" s="764"/>
      <c r="Z102" s="764"/>
      <c r="AA102" s="764">
        <f t="shared" si="3"/>
        <v>0</v>
      </c>
    </row>
    <row r="103" spans="1:27">
      <c r="A103" s="160">
        <v>2161</v>
      </c>
      <c r="B103" s="133">
        <v>103249</v>
      </c>
      <c r="C103" s="133" t="s">
        <v>736</v>
      </c>
      <c r="D103" s="133" t="s">
        <v>737</v>
      </c>
      <c r="E103" s="763" t="s">
        <v>538</v>
      </c>
      <c r="F103" s="763" t="s">
        <v>535</v>
      </c>
      <c r="G103" s="166" t="s">
        <v>955</v>
      </c>
      <c r="I103" s="764">
        <v>330678.10999999952</v>
      </c>
      <c r="J103" s="764">
        <v>12036.91</v>
      </c>
      <c r="K103" s="764">
        <f t="shared" si="2"/>
        <v>342715.01999999949</v>
      </c>
      <c r="M103" s="764"/>
      <c r="O103" s="764">
        <v>0</v>
      </c>
      <c r="P103" s="764">
        <v>0</v>
      </c>
      <c r="Q103" s="764">
        <v>0</v>
      </c>
      <c r="R103" s="764">
        <v>0</v>
      </c>
      <c r="S103" s="764"/>
      <c r="T103" s="764"/>
      <c r="U103" s="764"/>
      <c r="V103" s="764"/>
      <c r="W103" s="764"/>
      <c r="X103" s="764"/>
      <c r="Y103" s="764"/>
      <c r="Z103" s="764"/>
      <c r="AA103" s="764">
        <f t="shared" si="3"/>
        <v>0</v>
      </c>
    </row>
    <row r="104" spans="1:27">
      <c r="A104" s="160">
        <v>2160</v>
      </c>
      <c r="B104" s="133">
        <v>103248</v>
      </c>
      <c r="C104" s="133" t="s">
        <v>738</v>
      </c>
      <c r="D104" s="133" t="s">
        <v>739</v>
      </c>
      <c r="E104" s="763" t="s">
        <v>538</v>
      </c>
      <c r="F104" s="763" t="s">
        <v>535</v>
      </c>
      <c r="G104" s="166" t="s">
        <v>955</v>
      </c>
      <c r="I104" s="764">
        <v>206566.35000000038</v>
      </c>
      <c r="J104" s="764">
        <v>4170.8</v>
      </c>
      <c r="K104" s="764">
        <f t="shared" si="2"/>
        <v>210737.15000000037</v>
      </c>
      <c r="M104" s="764"/>
      <c r="O104" s="764">
        <v>0</v>
      </c>
      <c r="P104" s="764">
        <v>0</v>
      </c>
      <c r="Q104" s="764">
        <v>0</v>
      </c>
      <c r="R104" s="764">
        <v>0</v>
      </c>
      <c r="S104" s="764"/>
      <c r="T104" s="764"/>
      <c r="U104" s="764"/>
      <c r="V104" s="764"/>
      <c r="W104" s="764"/>
      <c r="X104" s="764"/>
      <c r="Y104" s="764"/>
      <c r="Z104" s="764"/>
      <c r="AA104" s="764">
        <f t="shared" si="3"/>
        <v>0</v>
      </c>
    </row>
    <row r="105" spans="1:27">
      <c r="A105" s="160">
        <v>2063</v>
      </c>
      <c r="B105" s="133">
        <v>103193</v>
      </c>
      <c r="C105" s="133" t="s">
        <v>740</v>
      </c>
      <c r="D105" s="133" t="s">
        <v>741</v>
      </c>
      <c r="E105" s="763" t="s">
        <v>538</v>
      </c>
      <c r="F105" s="763" t="s">
        <v>535</v>
      </c>
      <c r="G105" s="166" t="s">
        <v>955</v>
      </c>
      <c r="I105" s="764">
        <v>148415.73000000251</v>
      </c>
      <c r="J105" s="764">
        <v>54056.579999999994</v>
      </c>
      <c r="K105" s="764">
        <f t="shared" si="2"/>
        <v>202472.3100000025</v>
      </c>
      <c r="M105" s="764"/>
      <c r="O105" s="764">
        <v>0</v>
      </c>
      <c r="P105" s="764">
        <v>0</v>
      </c>
      <c r="Q105" s="764">
        <v>0</v>
      </c>
      <c r="R105" s="764">
        <v>0</v>
      </c>
      <c r="S105" s="764"/>
      <c r="T105" s="764"/>
      <c r="U105" s="764"/>
      <c r="V105" s="764"/>
      <c r="W105" s="764"/>
      <c r="X105" s="764"/>
      <c r="Y105" s="764"/>
      <c r="Z105" s="764"/>
      <c r="AA105" s="764">
        <f t="shared" si="3"/>
        <v>0</v>
      </c>
    </row>
    <row r="106" spans="1:27">
      <c r="A106" s="160">
        <v>1018</v>
      </c>
      <c r="B106" s="133">
        <v>103131</v>
      </c>
      <c r="C106" s="133" t="s">
        <v>742</v>
      </c>
      <c r="D106" s="133" t="s">
        <v>743</v>
      </c>
      <c r="E106" s="763" t="s">
        <v>534</v>
      </c>
      <c r="F106" s="763" t="s">
        <v>535</v>
      </c>
      <c r="G106" s="166" t="s">
        <v>954</v>
      </c>
      <c r="I106" s="764">
        <v>293583.9599999999</v>
      </c>
      <c r="J106" s="764">
        <v>32907.57</v>
      </c>
      <c r="K106" s="764">
        <f t="shared" si="2"/>
        <v>326491.52999999991</v>
      </c>
      <c r="M106" s="764"/>
      <c r="O106" s="764">
        <v>0</v>
      </c>
      <c r="P106" s="764">
        <v>0</v>
      </c>
      <c r="Q106" s="764">
        <v>0</v>
      </c>
      <c r="R106" s="764">
        <v>0</v>
      </c>
      <c r="S106" s="764"/>
      <c r="T106" s="764"/>
      <c r="U106" s="764"/>
      <c r="V106" s="764"/>
      <c r="W106" s="764"/>
      <c r="X106" s="764"/>
      <c r="Y106" s="764"/>
      <c r="Z106" s="764"/>
      <c r="AA106" s="764">
        <f t="shared" si="3"/>
        <v>0</v>
      </c>
    </row>
    <row r="107" spans="1:27">
      <c r="A107" s="160">
        <v>7033</v>
      </c>
      <c r="B107" s="133">
        <v>103613</v>
      </c>
      <c r="C107" s="133" t="s">
        <v>744</v>
      </c>
      <c r="D107" s="133" t="s">
        <v>745</v>
      </c>
      <c r="E107" s="763" t="s">
        <v>553</v>
      </c>
      <c r="F107" s="763" t="s">
        <v>535</v>
      </c>
      <c r="G107" s="166">
        <v>0</v>
      </c>
      <c r="I107" s="764">
        <v>155979</v>
      </c>
      <c r="J107" s="764">
        <v>100451</v>
      </c>
      <c r="K107" s="764">
        <f t="shared" si="2"/>
        <v>256430</v>
      </c>
      <c r="M107" s="764"/>
      <c r="O107" s="764">
        <v>0</v>
      </c>
      <c r="P107" s="764">
        <v>0</v>
      </c>
      <c r="Q107" s="764">
        <v>0</v>
      </c>
      <c r="R107" s="764">
        <v>0</v>
      </c>
      <c r="S107" s="764"/>
      <c r="T107" s="764"/>
      <c r="U107" s="764"/>
      <c r="V107" s="764"/>
      <c r="W107" s="764"/>
      <c r="X107" s="764"/>
      <c r="Y107" s="764"/>
      <c r="Z107" s="764"/>
      <c r="AA107" s="764">
        <f t="shared" si="3"/>
        <v>0</v>
      </c>
    </row>
    <row r="108" spans="1:27">
      <c r="A108" s="160">
        <v>4177</v>
      </c>
      <c r="B108" s="133">
        <v>103498</v>
      </c>
      <c r="C108" s="133" t="s">
        <v>746</v>
      </c>
      <c r="D108" s="133" t="s">
        <v>747</v>
      </c>
      <c r="E108" s="763" t="s">
        <v>564</v>
      </c>
      <c r="F108" s="763" t="s">
        <v>535</v>
      </c>
      <c r="G108" s="166">
        <v>0</v>
      </c>
      <c r="I108" s="764">
        <v>457266</v>
      </c>
      <c r="J108" s="764">
        <v>33720</v>
      </c>
      <c r="K108" s="764">
        <f t="shared" si="2"/>
        <v>490986</v>
      </c>
      <c r="M108" s="764"/>
      <c r="O108" s="764">
        <v>0</v>
      </c>
      <c r="P108" s="764">
        <v>0</v>
      </c>
      <c r="Q108" s="764">
        <v>0</v>
      </c>
      <c r="R108" s="764">
        <v>0</v>
      </c>
      <c r="S108" s="764"/>
      <c r="T108" s="764"/>
      <c r="U108" s="764"/>
      <c r="V108" s="764"/>
      <c r="W108" s="764"/>
      <c r="X108" s="764"/>
      <c r="Y108" s="764"/>
      <c r="Z108" s="764"/>
      <c r="AA108" s="764">
        <f t="shared" si="3"/>
        <v>0</v>
      </c>
    </row>
    <row r="109" spans="1:27">
      <c r="A109" s="160">
        <v>2169</v>
      </c>
      <c r="B109" s="133">
        <v>103252</v>
      </c>
      <c r="C109" s="133" t="s">
        <v>748</v>
      </c>
      <c r="D109" s="133" t="s">
        <v>749</v>
      </c>
      <c r="E109" s="763" t="s">
        <v>538</v>
      </c>
      <c r="F109" s="763" t="s">
        <v>535</v>
      </c>
      <c r="G109" s="166" t="s">
        <v>955</v>
      </c>
      <c r="I109" s="764">
        <v>606867.83000000613</v>
      </c>
      <c r="J109" s="764">
        <v>40193.99</v>
      </c>
      <c r="K109" s="764">
        <f t="shared" si="2"/>
        <v>647061.82000000612</v>
      </c>
      <c r="M109" s="764"/>
      <c r="O109" s="764">
        <v>0</v>
      </c>
      <c r="P109" s="764">
        <v>0</v>
      </c>
      <c r="Q109" s="764">
        <v>0</v>
      </c>
      <c r="R109" s="764">
        <v>0</v>
      </c>
      <c r="S109" s="764"/>
      <c r="T109" s="764"/>
      <c r="U109" s="764"/>
      <c r="V109" s="764"/>
      <c r="W109" s="764"/>
      <c r="X109" s="764"/>
      <c r="Y109" s="764"/>
      <c r="Z109" s="764"/>
      <c r="AA109" s="764">
        <f t="shared" si="3"/>
        <v>0</v>
      </c>
    </row>
    <row r="110" spans="1:27">
      <c r="A110" s="160">
        <v>2008</v>
      </c>
      <c r="B110" s="133">
        <v>103157</v>
      </c>
      <c r="C110" s="133" t="s">
        <v>750</v>
      </c>
      <c r="D110" s="133" t="s">
        <v>751</v>
      </c>
      <c r="E110" s="763" t="s">
        <v>538</v>
      </c>
      <c r="F110" s="763" t="s">
        <v>535</v>
      </c>
      <c r="G110" s="166" t="s">
        <v>955</v>
      </c>
      <c r="I110" s="764">
        <v>246208.84000000049</v>
      </c>
      <c r="J110" s="764">
        <v>17766.43</v>
      </c>
      <c r="K110" s="764">
        <f t="shared" si="2"/>
        <v>263975.27000000048</v>
      </c>
      <c r="M110" s="764"/>
      <c r="O110" s="764">
        <v>0</v>
      </c>
      <c r="P110" s="764">
        <v>0</v>
      </c>
      <c r="Q110" s="764">
        <v>0</v>
      </c>
      <c r="R110" s="764">
        <v>0</v>
      </c>
      <c r="S110" s="764"/>
      <c r="T110" s="764"/>
      <c r="U110" s="764"/>
      <c r="V110" s="764"/>
      <c r="W110" s="764"/>
      <c r="X110" s="764"/>
      <c r="Y110" s="764"/>
      <c r="Z110" s="764"/>
      <c r="AA110" s="764">
        <f t="shared" si="3"/>
        <v>0</v>
      </c>
    </row>
    <row r="111" spans="1:27">
      <c r="A111" s="160">
        <v>1038</v>
      </c>
      <c r="B111" s="133">
        <v>103142</v>
      </c>
      <c r="C111" s="133" t="s">
        <v>752</v>
      </c>
      <c r="D111" s="133" t="s">
        <v>753</v>
      </c>
      <c r="E111" s="763" t="s">
        <v>534</v>
      </c>
      <c r="F111" s="763" t="s">
        <v>535</v>
      </c>
      <c r="G111" s="166">
        <v>0</v>
      </c>
      <c r="I111" s="764">
        <v>102220.76599999983</v>
      </c>
      <c r="J111" s="764">
        <v>20556.410000000003</v>
      </c>
      <c r="K111" s="764">
        <f t="shared" si="2"/>
        <v>122777.17599999983</v>
      </c>
      <c r="M111" s="764"/>
      <c r="O111" s="764">
        <v>0</v>
      </c>
      <c r="P111" s="764">
        <v>0</v>
      </c>
      <c r="Q111" s="764">
        <v>0</v>
      </c>
      <c r="R111" s="764">
        <v>0</v>
      </c>
      <c r="S111" s="764"/>
      <c r="T111" s="764"/>
      <c r="U111" s="764"/>
      <c r="V111" s="764"/>
      <c r="W111" s="764"/>
      <c r="X111" s="764"/>
      <c r="Y111" s="764"/>
      <c r="Z111" s="764"/>
      <c r="AA111" s="764">
        <f t="shared" si="3"/>
        <v>0</v>
      </c>
    </row>
    <row r="112" spans="1:27">
      <c r="A112" s="160">
        <v>2174</v>
      </c>
      <c r="B112" s="133">
        <v>103255</v>
      </c>
      <c r="C112" s="133" t="s">
        <v>754</v>
      </c>
      <c r="D112" s="133" t="s">
        <v>755</v>
      </c>
      <c r="E112" s="763" t="s">
        <v>538</v>
      </c>
      <c r="F112" s="763" t="s">
        <v>535</v>
      </c>
      <c r="G112" s="166">
        <v>0</v>
      </c>
      <c r="I112" s="764">
        <v>168806.53999999893</v>
      </c>
      <c r="J112" s="764">
        <v>0.25</v>
      </c>
      <c r="K112" s="764">
        <f t="shared" si="2"/>
        <v>168806.78999999893</v>
      </c>
      <c r="M112" s="764"/>
      <c r="O112" s="764">
        <v>0</v>
      </c>
      <c r="P112" s="764">
        <v>0</v>
      </c>
      <c r="Q112" s="764">
        <v>75000</v>
      </c>
      <c r="R112" s="764">
        <v>0</v>
      </c>
      <c r="S112" s="764"/>
      <c r="T112" s="764"/>
      <c r="U112" s="764"/>
      <c r="V112" s="764"/>
      <c r="W112" s="764"/>
      <c r="X112" s="764"/>
      <c r="Y112" s="764"/>
      <c r="Z112" s="764"/>
      <c r="AA112" s="764">
        <f t="shared" si="3"/>
        <v>75000</v>
      </c>
    </row>
    <row r="113" spans="1:27">
      <c r="A113" s="160">
        <v>2176</v>
      </c>
      <c r="B113" s="133">
        <v>103256</v>
      </c>
      <c r="C113" s="133" t="s">
        <v>756</v>
      </c>
      <c r="D113" s="133" t="s">
        <v>757</v>
      </c>
      <c r="E113" s="763" t="s">
        <v>538</v>
      </c>
      <c r="F113" s="763" t="s">
        <v>535</v>
      </c>
      <c r="G113" s="166" t="s">
        <v>954</v>
      </c>
      <c r="I113" s="764">
        <v>410224</v>
      </c>
      <c r="J113" s="764">
        <v>9805</v>
      </c>
      <c r="K113" s="764">
        <f t="shared" si="2"/>
        <v>420029</v>
      </c>
      <c r="M113" s="764"/>
      <c r="O113" s="764">
        <v>0</v>
      </c>
      <c r="P113" s="764">
        <v>0</v>
      </c>
      <c r="Q113" s="764">
        <v>0</v>
      </c>
      <c r="R113" s="764">
        <v>0</v>
      </c>
      <c r="S113" s="764"/>
      <c r="T113" s="764"/>
      <c r="U113" s="764"/>
      <c r="V113" s="764"/>
      <c r="W113" s="764"/>
      <c r="X113" s="764"/>
      <c r="Y113" s="764"/>
      <c r="Z113" s="764"/>
      <c r="AA113" s="764">
        <f t="shared" si="3"/>
        <v>0</v>
      </c>
    </row>
    <row r="114" spans="1:27">
      <c r="A114" s="160">
        <v>7047</v>
      </c>
      <c r="B114" s="133">
        <v>103623</v>
      </c>
      <c r="C114" s="133" t="s">
        <v>758</v>
      </c>
      <c r="D114" s="133" t="s">
        <v>759</v>
      </c>
      <c r="E114" s="763" t="s">
        <v>553</v>
      </c>
      <c r="F114" s="763" t="s">
        <v>535</v>
      </c>
      <c r="G114" s="166" t="s">
        <v>955</v>
      </c>
      <c r="I114" s="764">
        <v>-397009.12999999442</v>
      </c>
      <c r="J114" s="764">
        <v>21896.129999999997</v>
      </c>
      <c r="K114" s="764">
        <f t="shared" si="2"/>
        <v>-375112.99999999441</v>
      </c>
      <c r="M114" s="764"/>
      <c r="O114" s="764">
        <v>0</v>
      </c>
      <c r="P114" s="764">
        <v>0</v>
      </c>
      <c r="Q114" s="764">
        <v>0</v>
      </c>
      <c r="R114" s="764">
        <v>0</v>
      </c>
      <c r="S114" s="764"/>
      <c r="T114" s="764"/>
      <c r="U114" s="764"/>
      <c r="V114" s="764"/>
      <c r="W114" s="764"/>
      <c r="X114" s="764"/>
      <c r="Y114" s="764"/>
      <c r="Z114" s="764"/>
      <c r="AA114" s="764">
        <f t="shared" si="3"/>
        <v>0</v>
      </c>
    </row>
    <row r="115" spans="1:27">
      <c r="A115" s="160">
        <v>3410</v>
      </c>
      <c r="B115" s="133">
        <v>103478</v>
      </c>
      <c r="C115" s="133" t="s">
        <v>760</v>
      </c>
      <c r="D115" s="133" t="s">
        <v>761</v>
      </c>
      <c r="E115" s="763" t="s">
        <v>538</v>
      </c>
      <c r="F115" s="763" t="s">
        <v>535</v>
      </c>
      <c r="G115" s="166" t="s">
        <v>955</v>
      </c>
      <c r="I115" s="764">
        <v>224620.9800000001</v>
      </c>
      <c r="J115" s="764">
        <v>0</v>
      </c>
      <c r="K115" s="764">
        <f t="shared" si="2"/>
        <v>224620.9800000001</v>
      </c>
      <c r="M115" s="764"/>
      <c r="O115" s="764">
        <v>0</v>
      </c>
      <c r="P115" s="764">
        <v>0</v>
      </c>
      <c r="Q115" s="764">
        <v>0</v>
      </c>
      <c r="R115" s="764">
        <v>0</v>
      </c>
      <c r="S115" s="764"/>
      <c r="T115" s="764"/>
      <c r="U115" s="764"/>
      <c r="V115" s="764"/>
      <c r="W115" s="764"/>
      <c r="X115" s="764"/>
      <c r="Y115" s="764"/>
      <c r="Z115" s="764"/>
      <c r="AA115" s="764">
        <f t="shared" si="3"/>
        <v>0</v>
      </c>
    </row>
    <row r="116" spans="1:27">
      <c r="A116" s="160">
        <v>3381</v>
      </c>
      <c r="B116" s="133">
        <v>103466</v>
      </c>
      <c r="C116" s="133" t="s">
        <v>762</v>
      </c>
      <c r="D116" s="133" t="s">
        <v>763</v>
      </c>
      <c r="E116" s="763" t="s">
        <v>538</v>
      </c>
      <c r="F116" s="763" t="s">
        <v>535</v>
      </c>
      <c r="G116" s="166" t="s">
        <v>954</v>
      </c>
      <c r="I116" s="764">
        <v>42150.669999999802</v>
      </c>
      <c r="J116" s="764">
        <v>0</v>
      </c>
      <c r="K116" s="764">
        <f t="shared" si="2"/>
        <v>42150.669999999802</v>
      </c>
      <c r="M116" s="764"/>
      <c r="O116" s="764">
        <v>40000</v>
      </c>
      <c r="P116" s="764">
        <v>0</v>
      </c>
      <c r="Q116" s="764">
        <v>-40000</v>
      </c>
      <c r="R116" s="764">
        <v>0</v>
      </c>
      <c r="S116" s="764"/>
      <c r="T116" s="764"/>
      <c r="U116" s="764"/>
      <c r="V116" s="764"/>
      <c r="W116" s="764"/>
      <c r="X116" s="764"/>
      <c r="Y116" s="764"/>
      <c r="Z116" s="764"/>
      <c r="AA116" s="764">
        <f t="shared" si="3"/>
        <v>0</v>
      </c>
    </row>
    <row r="117" spans="1:27">
      <c r="A117" s="160">
        <v>3335</v>
      </c>
      <c r="B117" s="133">
        <v>103434</v>
      </c>
      <c r="C117" s="133" t="s">
        <v>764</v>
      </c>
      <c r="D117" s="133" t="s">
        <v>765</v>
      </c>
      <c r="E117" s="763" t="s">
        <v>538</v>
      </c>
      <c r="F117" s="763" t="s">
        <v>535</v>
      </c>
      <c r="G117" s="166" t="s">
        <v>955</v>
      </c>
      <c r="I117" s="764">
        <v>-105421.71999999808</v>
      </c>
      <c r="J117" s="764">
        <v>0</v>
      </c>
      <c r="K117" s="764">
        <f t="shared" si="2"/>
        <v>-105421.71999999808</v>
      </c>
      <c r="M117" s="764"/>
      <c r="O117" s="764">
        <v>0</v>
      </c>
      <c r="P117" s="764">
        <v>0</v>
      </c>
      <c r="Q117" s="764">
        <v>0</v>
      </c>
      <c r="R117" s="764">
        <v>0</v>
      </c>
      <c r="S117" s="764"/>
      <c r="T117" s="764"/>
      <c r="U117" s="764"/>
      <c r="V117" s="764"/>
      <c r="W117" s="764"/>
      <c r="X117" s="764"/>
      <c r="Y117" s="764"/>
      <c r="Z117" s="764"/>
      <c r="AA117" s="764">
        <f t="shared" si="3"/>
        <v>0</v>
      </c>
    </row>
    <row r="118" spans="1:27">
      <c r="A118" s="160">
        <v>2183</v>
      </c>
      <c r="B118" s="133">
        <v>103261</v>
      </c>
      <c r="C118" s="133" t="s">
        <v>766</v>
      </c>
      <c r="D118" s="133" t="s">
        <v>767</v>
      </c>
      <c r="E118" s="763" t="s">
        <v>538</v>
      </c>
      <c r="F118" s="763" t="s">
        <v>535</v>
      </c>
      <c r="G118" s="166" t="s">
        <v>954</v>
      </c>
      <c r="I118" s="764">
        <v>245176.52000000107</v>
      </c>
      <c r="J118" s="764">
        <v>0</v>
      </c>
      <c r="K118" s="764">
        <f t="shared" si="2"/>
        <v>245176.52000000107</v>
      </c>
      <c r="M118" s="764"/>
      <c r="O118" s="764">
        <v>0</v>
      </c>
      <c r="P118" s="764">
        <v>0</v>
      </c>
      <c r="Q118" s="764">
        <v>0</v>
      </c>
      <c r="R118" s="764">
        <v>0</v>
      </c>
      <c r="S118" s="764"/>
      <c r="T118" s="764"/>
      <c r="U118" s="764"/>
      <c r="V118" s="764"/>
      <c r="W118" s="764"/>
      <c r="X118" s="764"/>
      <c r="Y118" s="764"/>
      <c r="Z118" s="764"/>
      <c r="AA118" s="764">
        <f t="shared" si="3"/>
        <v>0</v>
      </c>
    </row>
    <row r="119" spans="1:27">
      <c r="A119" s="160">
        <v>3372</v>
      </c>
      <c r="B119" s="133">
        <v>103460</v>
      </c>
      <c r="C119" s="133" t="s">
        <v>768</v>
      </c>
      <c r="D119" s="133" t="s">
        <v>769</v>
      </c>
      <c r="E119" s="763" t="s">
        <v>538</v>
      </c>
      <c r="F119" s="763" t="s">
        <v>535</v>
      </c>
      <c r="G119" s="166" t="s">
        <v>955</v>
      </c>
      <c r="I119" s="764">
        <v>473047.099999998</v>
      </c>
      <c r="J119" s="764">
        <v>0</v>
      </c>
      <c r="K119" s="764">
        <f t="shared" si="2"/>
        <v>473047.099999998</v>
      </c>
      <c r="M119" s="764"/>
      <c r="O119" s="764">
        <v>0</v>
      </c>
      <c r="P119" s="764">
        <v>0</v>
      </c>
      <c r="Q119" s="764">
        <v>0</v>
      </c>
      <c r="R119" s="764">
        <v>0</v>
      </c>
      <c r="S119" s="764"/>
      <c r="T119" s="764"/>
      <c r="U119" s="764"/>
      <c r="V119" s="764"/>
      <c r="W119" s="764"/>
      <c r="X119" s="764"/>
      <c r="Y119" s="764"/>
      <c r="Z119" s="764"/>
      <c r="AA119" s="764">
        <f t="shared" si="3"/>
        <v>0</v>
      </c>
    </row>
    <row r="120" spans="1:27">
      <c r="A120" s="160">
        <v>3375</v>
      </c>
      <c r="B120" s="133">
        <v>103462</v>
      </c>
      <c r="C120" s="133" t="s">
        <v>770</v>
      </c>
      <c r="D120" s="133" t="s">
        <v>771</v>
      </c>
      <c r="E120" s="763" t="s">
        <v>538</v>
      </c>
      <c r="F120" s="763" t="s">
        <v>535</v>
      </c>
      <c r="G120" s="166">
        <v>0</v>
      </c>
      <c r="I120" s="764">
        <v>399442.97999999986</v>
      </c>
      <c r="J120" s="764">
        <v>0</v>
      </c>
      <c r="K120" s="764">
        <f t="shared" si="2"/>
        <v>399442.97999999986</v>
      </c>
      <c r="M120" s="764"/>
      <c r="O120" s="764">
        <v>0</v>
      </c>
      <c r="P120" s="764">
        <v>0</v>
      </c>
      <c r="Q120" s="764">
        <v>0</v>
      </c>
      <c r="R120" s="764">
        <v>0</v>
      </c>
      <c r="S120" s="764"/>
      <c r="T120" s="764"/>
      <c r="U120" s="764"/>
      <c r="V120" s="764"/>
      <c r="W120" s="764"/>
      <c r="X120" s="764"/>
      <c r="Y120" s="764"/>
      <c r="Z120" s="764"/>
      <c r="AA120" s="764">
        <f t="shared" si="3"/>
        <v>0</v>
      </c>
    </row>
    <row r="121" spans="1:27">
      <c r="A121" s="160">
        <v>3331</v>
      </c>
      <c r="B121" s="133">
        <v>103433</v>
      </c>
      <c r="C121" s="133" t="s">
        <v>772</v>
      </c>
      <c r="D121" s="133" t="s">
        <v>773</v>
      </c>
      <c r="E121" s="763" t="s">
        <v>538</v>
      </c>
      <c r="F121" s="763" t="s">
        <v>535</v>
      </c>
      <c r="G121" s="166" t="s">
        <v>955</v>
      </c>
      <c r="I121" s="764">
        <v>78838.26999999932</v>
      </c>
      <c r="J121" s="764">
        <v>0</v>
      </c>
      <c r="K121" s="764">
        <f t="shared" si="2"/>
        <v>78838.26999999932</v>
      </c>
      <c r="M121" s="764"/>
      <c r="O121" s="764">
        <v>0</v>
      </c>
      <c r="P121" s="764">
        <v>0</v>
      </c>
      <c r="Q121" s="764">
        <v>0</v>
      </c>
      <c r="R121" s="764">
        <v>0</v>
      </c>
      <c r="S121" s="764"/>
      <c r="T121" s="764"/>
      <c r="U121" s="764"/>
      <c r="V121" s="764"/>
      <c r="W121" s="764"/>
      <c r="X121" s="764"/>
      <c r="Y121" s="764"/>
      <c r="Z121" s="764"/>
      <c r="AA121" s="764">
        <f t="shared" si="3"/>
        <v>0</v>
      </c>
    </row>
    <row r="122" spans="1:27">
      <c r="A122" s="160">
        <v>3386</v>
      </c>
      <c r="B122" s="133">
        <v>103470</v>
      </c>
      <c r="C122" s="133" t="s">
        <v>774</v>
      </c>
      <c r="D122" s="133" t="s">
        <v>775</v>
      </c>
      <c r="E122" s="763" t="s">
        <v>538</v>
      </c>
      <c r="F122" s="763" t="s">
        <v>535</v>
      </c>
      <c r="G122" s="166" t="s">
        <v>955</v>
      </c>
      <c r="I122" s="764">
        <v>208955.49999999892</v>
      </c>
      <c r="J122" s="764">
        <v>0</v>
      </c>
      <c r="K122" s="764">
        <f t="shared" si="2"/>
        <v>208955.49999999892</v>
      </c>
      <c r="M122" s="764"/>
      <c r="O122" s="764">
        <v>0</v>
      </c>
      <c r="P122" s="764">
        <v>0</v>
      </c>
      <c r="Q122" s="764">
        <v>0</v>
      </c>
      <c r="R122" s="764">
        <v>0</v>
      </c>
      <c r="S122" s="764"/>
      <c r="T122" s="764"/>
      <c r="U122" s="764"/>
      <c r="V122" s="764"/>
      <c r="W122" s="764"/>
      <c r="X122" s="764"/>
      <c r="Y122" s="764"/>
      <c r="Z122" s="764"/>
      <c r="AA122" s="764">
        <f t="shared" si="3"/>
        <v>0</v>
      </c>
    </row>
    <row r="123" spans="1:27">
      <c r="A123" s="160">
        <v>3363</v>
      </c>
      <c r="B123" s="133">
        <v>103455</v>
      </c>
      <c r="C123" s="133" t="s">
        <v>776</v>
      </c>
      <c r="D123" s="133" t="s">
        <v>777</v>
      </c>
      <c r="E123" s="763" t="s">
        <v>538</v>
      </c>
      <c r="F123" s="763" t="s">
        <v>535</v>
      </c>
      <c r="G123" s="166">
        <v>0</v>
      </c>
      <c r="I123" s="764">
        <v>133538.21999999939</v>
      </c>
      <c r="J123" s="764">
        <v>0</v>
      </c>
      <c r="K123" s="764">
        <f t="shared" si="2"/>
        <v>133538.21999999939</v>
      </c>
      <c r="M123" s="764"/>
      <c r="O123" s="764">
        <v>0</v>
      </c>
      <c r="P123" s="764">
        <v>0</v>
      </c>
      <c r="Q123" s="764">
        <v>0</v>
      </c>
      <c r="R123" s="764">
        <v>0</v>
      </c>
      <c r="S123" s="764"/>
      <c r="T123" s="764"/>
      <c r="U123" s="764"/>
      <c r="V123" s="764"/>
      <c r="W123" s="764"/>
      <c r="X123" s="764"/>
      <c r="Y123" s="764"/>
      <c r="Z123" s="764"/>
      <c r="AA123" s="764">
        <f t="shared" si="3"/>
        <v>0</v>
      </c>
    </row>
    <row r="124" spans="1:27">
      <c r="A124" s="160">
        <v>3355</v>
      </c>
      <c r="B124" s="133">
        <v>103447</v>
      </c>
      <c r="C124" s="133" t="s">
        <v>778</v>
      </c>
      <c r="D124" s="133" t="s">
        <v>779</v>
      </c>
      <c r="E124" s="763" t="s">
        <v>538</v>
      </c>
      <c r="F124" s="763" t="s">
        <v>535</v>
      </c>
      <c r="G124" s="166" t="s">
        <v>955</v>
      </c>
      <c r="I124" s="764">
        <v>391034.76000000234</v>
      </c>
      <c r="J124" s="764">
        <v>0</v>
      </c>
      <c r="K124" s="764">
        <f t="shared" si="2"/>
        <v>391034.76000000234</v>
      </c>
      <c r="M124" s="764"/>
      <c r="O124" s="764">
        <v>0</v>
      </c>
      <c r="P124" s="764">
        <v>0</v>
      </c>
      <c r="Q124" s="764">
        <v>0</v>
      </c>
      <c r="R124" s="764">
        <v>0</v>
      </c>
      <c r="S124" s="764"/>
      <c r="T124" s="764"/>
      <c r="U124" s="764"/>
      <c r="V124" s="764"/>
      <c r="W124" s="764"/>
      <c r="X124" s="764"/>
      <c r="Y124" s="764"/>
      <c r="Z124" s="764"/>
      <c r="AA124" s="764">
        <f t="shared" si="3"/>
        <v>0</v>
      </c>
    </row>
    <row r="125" spans="1:27">
      <c r="A125" s="160">
        <v>3367</v>
      </c>
      <c r="B125" s="133">
        <v>103458</v>
      </c>
      <c r="C125" s="133" t="s">
        <v>780</v>
      </c>
      <c r="D125" s="133" t="s">
        <v>781</v>
      </c>
      <c r="E125" s="763" t="s">
        <v>538</v>
      </c>
      <c r="F125" s="763" t="s">
        <v>535</v>
      </c>
      <c r="G125" s="166" t="s">
        <v>955</v>
      </c>
      <c r="I125" s="764">
        <v>35570.260000001064</v>
      </c>
      <c r="J125" s="764">
        <v>0</v>
      </c>
      <c r="K125" s="764">
        <f t="shared" si="2"/>
        <v>35570.260000001064</v>
      </c>
      <c r="M125" s="764"/>
      <c r="O125" s="764">
        <v>0</v>
      </c>
      <c r="P125" s="764">
        <v>0</v>
      </c>
      <c r="Q125" s="764">
        <v>0</v>
      </c>
      <c r="R125" s="764">
        <v>0</v>
      </c>
      <c r="S125" s="764"/>
      <c r="T125" s="764"/>
      <c r="U125" s="764"/>
      <c r="V125" s="764"/>
      <c r="W125" s="764"/>
      <c r="X125" s="764"/>
      <c r="Y125" s="764"/>
      <c r="Z125" s="764"/>
      <c r="AA125" s="764">
        <f t="shared" si="3"/>
        <v>0</v>
      </c>
    </row>
    <row r="126" spans="1:27">
      <c r="A126" s="160">
        <v>3010</v>
      </c>
      <c r="B126" s="133">
        <v>103401</v>
      </c>
      <c r="C126" s="133" t="s">
        <v>782</v>
      </c>
      <c r="D126" s="133" t="s">
        <v>783</v>
      </c>
      <c r="E126" s="763" t="s">
        <v>538</v>
      </c>
      <c r="F126" s="763" t="s">
        <v>535</v>
      </c>
      <c r="G126" s="166" t="s">
        <v>955</v>
      </c>
      <c r="I126" s="764">
        <v>540387.24999999884</v>
      </c>
      <c r="J126" s="764">
        <v>8702.5</v>
      </c>
      <c r="K126" s="764">
        <f t="shared" si="2"/>
        <v>549089.74999999884</v>
      </c>
      <c r="M126" s="764"/>
      <c r="O126" s="764">
        <v>0</v>
      </c>
      <c r="P126" s="764">
        <v>0</v>
      </c>
      <c r="Q126" s="764">
        <v>0</v>
      </c>
      <c r="R126" s="764">
        <v>0</v>
      </c>
      <c r="S126" s="764"/>
      <c r="T126" s="764"/>
      <c r="U126" s="764"/>
      <c r="V126" s="764"/>
      <c r="W126" s="764"/>
      <c r="X126" s="764"/>
      <c r="Y126" s="764"/>
      <c r="Z126" s="764"/>
      <c r="AA126" s="764">
        <f t="shared" si="3"/>
        <v>0</v>
      </c>
    </row>
    <row r="127" spans="1:27">
      <c r="A127" s="160">
        <v>4625</v>
      </c>
      <c r="B127" s="133">
        <v>103534</v>
      </c>
      <c r="C127" s="133" t="s">
        <v>784</v>
      </c>
      <c r="D127" s="133" t="s">
        <v>785</v>
      </c>
      <c r="E127" s="763" t="s">
        <v>564</v>
      </c>
      <c r="F127" s="763" t="s">
        <v>535</v>
      </c>
      <c r="G127" s="166" t="s">
        <v>955</v>
      </c>
      <c r="I127" s="764">
        <v>411888.28999999864</v>
      </c>
      <c r="J127" s="764">
        <v>0</v>
      </c>
      <c r="K127" s="764">
        <f t="shared" si="2"/>
        <v>411888.28999999864</v>
      </c>
      <c r="M127" s="764"/>
      <c r="O127" s="764">
        <v>0</v>
      </c>
      <c r="P127" s="764">
        <v>0</v>
      </c>
      <c r="Q127" s="764">
        <v>0</v>
      </c>
      <c r="R127" s="764">
        <v>0</v>
      </c>
      <c r="S127" s="764"/>
      <c r="T127" s="764"/>
      <c r="U127" s="764"/>
      <c r="V127" s="764"/>
      <c r="W127" s="764"/>
      <c r="X127" s="764"/>
      <c r="Y127" s="764"/>
      <c r="Z127" s="764"/>
      <c r="AA127" s="764">
        <f t="shared" si="3"/>
        <v>0</v>
      </c>
    </row>
    <row r="128" spans="1:27">
      <c r="A128" s="160">
        <v>3377</v>
      </c>
      <c r="B128" s="133">
        <v>103463</v>
      </c>
      <c r="C128" s="133" t="s">
        <v>786</v>
      </c>
      <c r="D128" s="133" t="s">
        <v>787</v>
      </c>
      <c r="E128" s="763" t="s">
        <v>538</v>
      </c>
      <c r="F128" s="763" t="s">
        <v>535</v>
      </c>
      <c r="G128" s="166">
        <v>0</v>
      </c>
      <c r="I128" s="764">
        <v>244131.6399999999</v>
      </c>
      <c r="J128" s="764">
        <v>0</v>
      </c>
      <c r="K128" s="764">
        <f t="shared" si="2"/>
        <v>244131.6399999999</v>
      </c>
      <c r="M128" s="764"/>
      <c r="O128" s="764">
        <v>0</v>
      </c>
      <c r="P128" s="764">
        <v>0</v>
      </c>
      <c r="Q128" s="764">
        <v>0</v>
      </c>
      <c r="R128" s="764">
        <v>0</v>
      </c>
      <c r="S128" s="764"/>
      <c r="T128" s="764"/>
      <c r="U128" s="764"/>
      <c r="V128" s="764"/>
      <c r="W128" s="764"/>
      <c r="X128" s="764"/>
      <c r="Y128" s="764"/>
      <c r="Z128" s="764"/>
      <c r="AA128" s="764">
        <f t="shared" si="3"/>
        <v>0</v>
      </c>
    </row>
    <row r="129" spans="1:27">
      <c r="A129" s="160">
        <v>3371</v>
      </c>
      <c r="B129" s="133">
        <v>103459</v>
      </c>
      <c r="C129" s="133" t="s">
        <v>788</v>
      </c>
      <c r="D129" s="133" t="s">
        <v>789</v>
      </c>
      <c r="E129" s="763" t="s">
        <v>538</v>
      </c>
      <c r="F129" s="763" t="s">
        <v>535</v>
      </c>
      <c r="G129" s="166">
        <v>0</v>
      </c>
      <c r="I129" s="764">
        <v>221346.31000000008</v>
      </c>
      <c r="J129" s="764">
        <v>0</v>
      </c>
      <c r="K129" s="764">
        <f t="shared" si="2"/>
        <v>221346.31000000008</v>
      </c>
      <c r="M129" s="764"/>
      <c r="O129" s="764">
        <v>0</v>
      </c>
      <c r="P129" s="764">
        <v>0</v>
      </c>
      <c r="Q129" s="764">
        <v>0</v>
      </c>
      <c r="R129" s="764">
        <v>0</v>
      </c>
      <c r="S129" s="764"/>
      <c r="T129" s="764"/>
      <c r="U129" s="764"/>
      <c r="V129" s="764"/>
      <c r="W129" s="764"/>
      <c r="X129" s="764"/>
      <c r="Y129" s="764"/>
      <c r="Z129" s="764"/>
      <c r="AA129" s="764">
        <f t="shared" si="3"/>
        <v>0</v>
      </c>
    </row>
    <row r="130" spans="1:27">
      <c r="A130" s="160">
        <v>3307</v>
      </c>
      <c r="B130" s="133">
        <v>103416</v>
      </c>
      <c r="C130" s="133" t="s">
        <v>790</v>
      </c>
      <c r="D130" s="133" t="s">
        <v>791</v>
      </c>
      <c r="E130" s="763" t="s">
        <v>538</v>
      </c>
      <c r="F130" s="763" t="s">
        <v>535</v>
      </c>
      <c r="G130" s="166" t="s">
        <v>955</v>
      </c>
      <c r="I130" s="764">
        <v>305852</v>
      </c>
      <c r="J130" s="764">
        <v>0</v>
      </c>
      <c r="K130" s="764">
        <f t="shared" si="2"/>
        <v>305852</v>
      </c>
      <c r="M130" s="764"/>
      <c r="O130" s="764">
        <v>0</v>
      </c>
      <c r="P130" s="764">
        <v>0</v>
      </c>
      <c r="Q130" s="764">
        <v>0</v>
      </c>
      <c r="R130" s="764">
        <v>0</v>
      </c>
      <c r="S130" s="764"/>
      <c r="T130" s="764"/>
      <c r="U130" s="764"/>
      <c r="V130" s="764"/>
      <c r="W130" s="764"/>
      <c r="X130" s="764"/>
      <c r="Y130" s="764"/>
      <c r="Z130" s="764"/>
      <c r="AA130" s="764">
        <f t="shared" si="3"/>
        <v>0</v>
      </c>
    </row>
    <row r="131" spans="1:27">
      <c r="A131" s="160">
        <v>3361</v>
      </c>
      <c r="B131" s="133">
        <v>103453</v>
      </c>
      <c r="C131" s="133" t="s">
        <v>792</v>
      </c>
      <c r="D131" s="133" t="s">
        <v>793</v>
      </c>
      <c r="E131" s="763" t="s">
        <v>538</v>
      </c>
      <c r="F131" s="763" t="s">
        <v>535</v>
      </c>
      <c r="G131" s="166" t="s">
        <v>955</v>
      </c>
      <c r="I131" s="764">
        <v>47649.380000001052</v>
      </c>
      <c r="J131" s="764">
        <v>0</v>
      </c>
      <c r="K131" s="764">
        <f t="shared" si="2"/>
        <v>47649.380000001052</v>
      </c>
      <c r="M131" s="764"/>
      <c r="O131" s="764">
        <v>0</v>
      </c>
      <c r="P131" s="764">
        <v>0</v>
      </c>
      <c r="Q131" s="764">
        <v>0</v>
      </c>
      <c r="R131" s="764">
        <v>0</v>
      </c>
      <c r="S131" s="764"/>
      <c r="T131" s="764"/>
      <c r="U131" s="764"/>
      <c r="V131" s="764"/>
      <c r="W131" s="764"/>
      <c r="X131" s="764"/>
      <c r="Y131" s="764"/>
      <c r="Z131" s="764"/>
      <c r="AA131" s="764">
        <f t="shared" si="3"/>
        <v>0</v>
      </c>
    </row>
    <row r="132" spans="1:27">
      <c r="A132" s="160">
        <v>3344</v>
      </c>
      <c r="B132" s="133">
        <v>103438</v>
      </c>
      <c r="C132" s="133" t="s">
        <v>794</v>
      </c>
      <c r="D132" s="133" t="s">
        <v>795</v>
      </c>
      <c r="E132" s="763" t="s">
        <v>538</v>
      </c>
      <c r="F132" s="763" t="s">
        <v>535</v>
      </c>
      <c r="G132" s="166" t="s">
        <v>955</v>
      </c>
      <c r="I132" s="764">
        <v>163527.43999999776</v>
      </c>
      <c r="J132" s="764">
        <v>0</v>
      </c>
      <c r="K132" s="764">
        <f t="shared" si="2"/>
        <v>163527.43999999776</v>
      </c>
      <c r="M132" s="764"/>
      <c r="O132" s="764">
        <v>0</v>
      </c>
      <c r="P132" s="764">
        <v>0</v>
      </c>
      <c r="Q132" s="764">
        <v>0</v>
      </c>
      <c r="R132" s="764">
        <v>0</v>
      </c>
      <c r="S132" s="764"/>
      <c r="T132" s="764"/>
      <c r="U132" s="764"/>
      <c r="V132" s="764"/>
      <c r="W132" s="764"/>
      <c r="X132" s="764"/>
      <c r="Y132" s="764"/>
      <c r="Z132" s="764"/>
      <c r="AA132" s="764">
        <f t="shared" si="3"/>
        <v>0</v>
      </c>
    </row>
    <row r="133" spans="1:27">
      <c r="A133" s="160">
        <v>3025</v>
      </c>
      <c r="B133" s="133">
        <v>103410</v>
      </c>
      <c r="C133" s="133" t="s">
        <v>796</v>
      </c>
      <c r="D133" s="133" t="s">
        <v>797</v>
      </c>
      <c r="E133" s="763" t="s">
        <v>538</v>
      </c>
      <c r="F133" s="763" t="s">
        <v>535</v>
      </c>
      <c r="G133" s="166" t="s">
        <v>955</v>
      </c>
      <c r="I133" s="764">
        <v>160539</v>
      </c>
      <c r="J133" s="764">
        <v>0</v>
      </c>
      <c r="K133" s="764">
        <f t="shared" si="2"/>
        <v>160539</v>
      </c>
      <c r="M133" s="764"/>
      <c r="O133" s="764">
        <v>0</v>
      </c>
      <c r="P133" s="764">
        <v>0</v>
      </c>
      <c r="Q133" s="764">
        <v>0</v>
      </c>
      <c r="R133" s="764">
        <v>0</v>
      </c>
      <c r="S133" s="764"/>
      <c r="T133" s="764"/>
      <c r="U133" s="764"/>
      <c r="V133" s="764"/>
      <c r="W133" s="764"/>
      <c r="X133" s="764"/>
      <c r="Y133" s="764"/>
      <c r="Z133" s="764"/>
      <c r="AA133" s="764">
        <f t="shared" si="3"/>
        <v>0</v>
      </c>
    </row>
    <row r="134" spans="1:27">
      <c r="A134" s="160">
        <v>3016</v>
      </c>
      <c r="B134" s="133">
        <v>103404</v>
      </c>
      <c r="C134" s="133" t="s">
        <v>798</v>
      </c>
      <c r="D134" s="133" t="s">
        <v>799</v>
      </c>
      <c r="E134" s="763" t="s">
        <v>538</v>
      </c>
      <c r="F134" s="763" t="s">
        <v>535</v>
      </c>
      <c r="G134" s="166">
        <v>0</v>
      </c>
      <c r="I134" s="764">
        <v>573548.19999999995</v>
      </c>
      <c r="J134" s="764">
        <v>1316.25</v>
      </c>
      <c r="K134" s="764">
        <f t="shared" ref="K134:K184" si="4">I134+J134</f>
        <v>574864.44999999995</v>
      </c>
      <c r="M134" s="764"/>
      <c r="O134" s="764">
        <v>0</v>
      </c>
      <c r="P134" s="764">
        <v>0</v>
      </c>
      <c r="Q134" s="764">
        <v>0</v>
      </c>
      <c r="R134" s="764">
        <v>0</v>
      </c>
      <c r="S134" s="764"/>
      <c r="T134" s="764"/>
      <c r="U134" s="764"/>
      <c r="V134" s="764"/>
      <c r="W134" s="764"/>
      <c r="X134" s="764"/>
      <c r="Y134" s="764"/>
      <c r="Z134" s="764"/>
      <c r="AA134" s="764">
        <f t="shared" ref="AA134:AA197" si="5">(-M134)+SUM(O134:Z134)</f>
        <v>0</v>
      </c>
    </row>
    <row r="135" spans="1:27">
      <c r="A135" s="160">
        <v>4606</v>
      </c>
      <c r="B135" s="133">
        <v>103531</v>
      </c>
      <c r="C135" s="133" t="s">
        <v>800</v>
      </c>
      <c r="D135" s="133" t="s">
        <v>801</v>
      </c>
      <c r="E135" s="763" t="s">
        <v>564</v>
      </c>
      <c r="F135" s="763" t="s">
        <v>535</v>
      </c>
      <c r="G135" s="166">
        <v>0</v>
      </c>
      <c r="I135" s="764">
        <v>234294.16999999981</v>
      </c>
      <c r="J135" s="764">
        <v>0</v>
      </c>
      <c r="K135" s="764">
        <f t="shared" si="4"/>
        <v>234294.16999999981</v>
      </c>
      <c r="M135" s="764"/>
      <c r="O135" s="764">
        <v>0</v>
      </c>
      <c r="P135" s="764">
        <v>0</v>
      </c>
      <c r="Q135" s="764">
        <v>0</v>
      </c>
      <c r="R135" s="764">
        <v>0</v>
      </c>
      <c r="S135" s="764"/>
      <c r="T135" s="764"/>
      <c r="U135" s="764"/>
      <c r="V135" s="764"/>
      <c r="W135" s="764"/>
      <c r="X135" s="764"/>
      <c r="Y135" s="764"/>
      <c r="Z135" s="764"/>
      <c r="AA135" s="764">
        <f t="shared" si="5"/>
        <v>0</v>
      </c>
    </row>
    <row r="136" spans="1:27">
      <c r="A136" s="160">
        <v>3428</v>
      </c>
      <c r="B136" s="133">
        <v>134476</v>
      </c>
      <c r="C136" s="133" t="s">
        <v>802</v>
      </c>
      <c r="D136" s="133" t="s">
        <v>803</v>
      </c>
      <c r="E136" s="763" t="s">
        <v>538</v>
      </c>
      <c r="F136" s="763" t="s">
        <v>535</v>
      </c>
      <c r="G136" s="166">
        <v>0</v>
      </c>
      <c r="I136" s="764">
        <v>13269</v>
      </c>
      <c r="J136" s="764">
        <v>0</v>
      </c>
      <c r="K136" s="764">
        <f t="shared" si="4"/>
        <v>13269</v>
      </c>
      <c r="M136" s="764"/>
      <c r="O136" s="764">
        <v>0</v>
      </c>
      <c r="P136" s="764">
        <v>0</v>
      </c>
      <c r="Q136" s="764">
        <v>0</v>
      </c>
      <c r="R136" s="764">
        <v>0</v>
      </c>
      <c r="S136" s="764"/>
      <c r="T136" s="764"/>
      <c r="U136" s="764">
        <v>100000</v>
      </c>
      <c r="V136" s="764"/>
      <c r="W136" s="764"/>
      <c r="X136" s="764"/>
      <c r="Y136" s="764"/>
      <c r="Z136" s="764"/>
      <c r="AA136" s="764">
        <f t="shared" si="5"/>
        <v>100000</v>
      </c>
    </row>
    <row r="137" spans="1:27">
      <c r="A137" s="160">
        <v>3019</v>
      </c>
      <c r="B137" s="133">
        <v>103406</v>
      </c>
      <c r="C137" s="133" t="s">
        <v>804</v>
      </c>
      <c r="D137" s="133" t="s">
        <v>805</v>
      </c>
      <c r="E137" s="763" t="s">
        <v>538</v>
      </c>
      <c r="F137" s="763" t="s">
        <v>535</v>
      </c>
      <c r="G137" s="166" t="s">
        <v>955</v>
      </c>
      <c r="I137" s="764">
        <v>402073.16000000003</v>
      </c>
      <c r="J137" s="764">
        <v>1803.5</v>
      </c>
      <c r="K137" s="764">
        <f t="shared" si="4"/>
        <v>403876.66000000003</v>
      </c>
      <c r="M137" s="764"/>
      <c r="O137" s="764">
        <v>0</v>
      </c>
      <c r="P137" s="764">
        <v>0</v>
      </c>
      <c r="Q137" s="764">
        <v>0</v>
      </c>
      <c r="R137" s="764">
        <v>0</v>
      </c>
      <c r="S137" s="764"/>
      <c r="T137" s="764"/>
      <c r="U137" s="764"/>
      <c r="V137" s="764"/>
      <c r="W137" s="764"/>
      <c r="X137" s="764"/>
      <c r="Y137" s="764"/>
      <c r="Z137" s="764"/>
      <c r="AA137" s="764">
        <f t="shared" si="5"/>
        <v>0</v>
      </c>
    </row>
    <row r="138" spans="1:27">
      <c r="A138" s="160">
        <v>2178</v>
      </c>
      <c r="B138" s="133">
        <v>103257</v>
      </c>
      <c r="C138" s="133" t="s">
        <v>806</v>
      </c>
      <c r="D138" s="133" t="s">
        <v>807</v>
      </c>
      <c r="E138" s="763" t="s">
        <v>538</v>
      </c>
      <c r="F138" s="763" t="s">
        <v>535</v>
      </c>
      <c r="G138" s="166" t="s">
        <v>954</v>
      </c>
      <c r="I138" s="764">
        <v>156528.46000000054</v>
      </c>
      <c r="J138" s="764">
        <v>5090.400000000006</v>
      </c>
      <c r="K138" s="764">
        <f t="shared" si="4"/>
        <v>161618.86000000054</v>
      </c>
      <c r="M138" s="764"/>
      <c r="O138" s="764">
        <v>0</v>
      </c>
      <c r="P138" s="764">
        <v>0</v>
      </c>
      <c r="Q138" s="764">
        <v>0</v>
      </c>
      <c r="R138" s="764">
        <v>0</v>
      </c>
      <c r="S138" s="764"/>
      <c r="T138" s="764"/>
      <c r="U138" s="764"/>
      <c r="V138" s="764"/>
      <c r="W138" s="764"/>
      <c r="X138" s="764"/>
      <c r="Y138" s="764"/>
      <c r="Z138" s="764"/>
      <c r="AA138" s="764">
        <f t="shared" si="5"/>
        <v>0</v>
      </c>
    </row>
    <row r="139" spans="1:27">
      <c r="A139" s="160">
        <v>2184</v>
      </c>
      <c r="B139" s="133">
        <v>103262</v>
      </c>
      <c r="C139" s="133" t="s">
        <v>808</v>
      </c>
      <c r="D139" s="133" t="s">
        <v>809</v>
      </c>
      <c r="E139" s="763" t="s">
        <v>538</v>
      </c>
      <c r="F139" s="763" t="s">
        <v>535</v>
      </c>
      <c r="G139" s="166" t="s">
        <v>955</v>
      </c>
      <c r="I139" s="764">
        <v>743686.33000000159</v>
      </c>
      <c r="J139" s="764">
        <v>8860</v>
      </c>
      <c r="K139" s="764">
        <f t="shared" si="4"/>
        <v>752546.33000000159</v>
      </c>
      <c r="M139" s="764"/>
      <c r="O139" s="764">
        <v>0</v>
      </c>
      <c r="P139" s="764">
        <v>0</v>
      </c>
      <c r="Q139" s="764">
        <v>0</v>
      </c>
      <c r="R139" s="764">
        <v>0</v>
      </c>
      <c r="S139" s="764"/>
      <c r="T139" s="764"/>
      <c r="U139" s="764"/>
      <c r="V139" s="764"/>
      <c r="W139" s="764"/>
      <c r="X139" s="764"/>
      <c r="Y139" s="764"/>
      <c r="Z139" s="764"/>
      <c r="AA139" s="764">
        <f t="shared" si="5"/>
        <v>0</v>
      </c>
    </row>
    <row r="140" spans="1:27">
      <c r="A140" s="160">
        <v>2190</v>
      </c>
      <c r="B140" s="133">
        <v>103266</v>
      </c>
      <c r="C140" s="133" t="s">
        <v>810</v>
      </c>
      <c r="D140" s="133" t="s">
        <v>811</v>
      </c>
      <c r="E140" s="763" t="s">
        <v>538</v>
      </c>
      <c r="F140" s="763" t="s">
        <v>535</v>
      </c>
      <c r="G140" s="166" t="s">
        <v>955</v>
      </c>
      <c r="I140" s="764">
        <v>21006.239999999525</v>
      </c>
      <c r="J140" s="764">
        <v>13013.599999999999</v>
      </c>
      <c r="K140" s="764">
        <f t="shared" si="4"/>
        <v>34019.839999999524</v>
      </c>
      <c r="M140" s="764"/>
      <c r="O140" s="764">
        <v>0</v>
      </c>
      <c r="P140" s="764">
        <v>0</v>
      </c>
      <c r="Q140" s="764">
        <v>0</v>
      </c>
      <c r="R140" s="764">
        <v>0</v>
      </c>
      <c r="S140" s="764"/>
      <c r="T140" s="764"/>
      <c r="U140" s="764"/>
      <c r="V140" s="764"/>
      <c r="W140" s="764"/>
      <c r="X140" s="764"/>
      <c r="Y140" s="764"/>
      <c r="Z140" s="764"/>
      <c r="AA140" s="764">
        <f t="shared" si="5"/>
        <v>0</v>
      </c>
    </row>
    <row r="141" spans="1:27">
      <c r="A141" s="160">
        <v>7035</v>
      </c>
      <c r="B141" s="133">
        <v>103615</v>
      </c>
      <c r="C141" s="133" t="s">
        <v>812</v>
      </c>
      <c r="D141" s="133" t="s">
        <v>813</v>
      </c>
      <c r="E141" s="763" t="s">
        <v>553</v>
      </c>
      <c r="F141" s="763" t="s">
        <v>535</v>
      </c>
      <c r="G141" s="166" t="s">
        <v>954</v>
      </c>
      <c r="I141" s="764">
        <v>566221.22999999882</v>
      </c>
      <c r="J141" s="764">
        <v>32953.310000000005</v>
      </c>
      <c r="K141" s="764">
        <f t="shared" si="4"/>
        <v>599174.53999999887</v>
      </c>
      <c r="M141" s="764"/>
      <c r="O141" s="764">
        <v>0</v>
      </c>
      <c r="P141" s="764">
        <v>0</v>
      </c>
      <c r="Q141" s="764">
        <v>0</v>
      </c>
      <c r="R141" s="764">
        <v>0</v>
      </c>
      <c r="S141" s="764"/>
      <c r="T141" s="764"/>
      <c r="U141" s="764"/>
      <c r="V141" s="764"/>
      <c r="W141" s="764"/>
      <c r="X141" s="764"/>
      <c r="Y141" s="764"/>
      <c r="Z141" s="764"/>
      <c r="AA141" s="764">
        <f t="shared" si="5"/>
        <v>0</v>
      </c>
    </row>
    <row r="142" spans="1:27">
      <c r="A142" s="160">
        <v>3323</v>
      </c>
      <c r="B142" s="133">
        <v>103427</v>
      </c>
      <c r="C142" s="133" t="s">
        <v>814</v>
      </c>
      <c r="D142" s="133" t="s">
        <v>815</v>
      </c>
      <c r="E142" s="763" t="s">
        <v>538</v>
      </c>
      <c r="F142" s="763" t="s">
        <v>535</v>
      </c>
      <c r="G142" s="166">
        <v>0</v>
      </c>
      <c r="I142" s="764">
        <v>311212.18999999994</v>
      </c>
      <c r="J142" s="764">
        <v>0</v>
      </c>
      <c r="K142" s="764">
        <f t="shared" si="4"/>
        <v>311212.18999999994</v>
      </c>
      <c r="M142" s="764"/>
      <c r="O142" s="764">
        <v>0</v>
      </c>
      <c r="P142" s="764">
        <v>0</v>
      </c>
      <c r="Q142" s="764">
        <v>0</v>
      </c>
      <c r="R142" s="764">
        <v>0</v>
      </c>
      <c r="S142" s="764"/>
      <c r="T142" s="764"/>
      <c r="U142" s="764"/>
      <c r="V142" s="764"/>
      <c r="W142" s="764"/>
      <c r="X142" s="764"/>
      <c r="Y142" s="764"/>
      <c r="Z142" s="764"/>
      <c r="AA142" s="764">
        <f t="shared" si="5"/>
        <v>0</v>
      </c>
    </row>
    <row r="143" spans="1:27">
      <c r="A143" s="160">
        <v>7045</v>
      </c>
      <c r="B143" s="133">
        <v>103622</v>
      </c>
      <c r="C143" s="133" t="s">
        <v>816</v>
      </c>
      <c r="D143" s="133" t="s">
        <v>817</v>
      </c>
      <c r="E143" s="763" t="s">
        <v>553</v>
      </c>
      <c r="F143" s="763" t="s">
        <v>535</v>
      </c>
      <c r="G143" s="166" t="s">
        <v>955</v>
      </c>
      <c r="I143" s="764">
        <v>1144828.8299999991</v>
      </c>
      <c r="J143" s="764">
        <v>55810.630000000005</v>
      </c>
      <c r="K143" s="764">
        <f t="shared" si="4"/>
        <v>1200639.459999999</v>
      </c>
      <c r="M143" s="764"/>
      <c r="O143" s="764">
        <v>0</v>
      </c>
      <c r="P143" s="764">
        <v>0</v>
      </c>
      <c r="Q143" s="764">
        <v>0</v>
      </c>
      <c r="R143" s="764">
        <v>0</v>
      </c>
      <c r="S143" s="764"/>
      <c r="T143" s="764"/>
      <c r="U143" s="764"/>
      <c r="V143" s="764"/>
      <c r="W143" s="764"/>
      <c r="X143" s="764"/>
      <c r="Y143" s="764"/>
      <c r="Z143" s="764"/>
      <c r="AA143" s="764">
        <f t="shared" si="5"/>
        <v>0</v>
      </c>
    </row>
    <row r="144" spans="1:27">
      <c r="A144" s="160">
        <v>2192</v>
      </c>
      <c r="B144" s="133">
        <v>103268</v>
      </c>
      <c r="C144" s="133" t="s">
        <v>818</v>
      </c>
      <c r="D144" s="133" t="s">
        <v>819</v>
      </c>
      <c r="E144" s="763" t="s">
        <v>538</v>
      </c>
      <c r="F144" s="763" t="s">
        <v>535</v>
      </c>
      <c r="G144" s="166" t="s">
        <v>955</v>
      </c>
      <c r="I144" s="764">
        <v>343597.85999999347</v>
      </c>
      <c r="J144" s="764">
        <v>0</v>
      </c>
      <c r="K144" s="764">
        <f t="shared" si="4"/>
        <v>343597.85999999347</v>
      </c>
      <c r="M144" s="764"/>
      <c r="O144" s="764">
        <v>0</v>
      </c>
      <c r="P144" s="764">
        <v>0</v>
      </c>
      <c r="Q144" s="764">
        <v>0</v>
      </c>
      <c r="R144" s="764">
        <v>0</v>
      </c>
      <c r="S144" s="764"/>
      <c r="T144" s="764"/>
      <c r="U144" s="764"/>
      <c r="V144" s="764"/>
      <c r="W144" s="764"/>
      <c r="X144" s="764"/>
      <c r="Y144" s="764"/>
      <c r="Z144" s="764"/>
      <c r="AA144" s="764">
        <f t="shared" si="5"/>
        <v>0</v>
      </c>
    </row>
    <row r="145" spans="1:27">
      <c r="A145" s="160">
        <v>7014</v>
      </c>
      <c r="B145" s="133">
        <v>103605</v>
      </c>
      <c r="C145" s="133" t="s">
        <v>820</v>
      </c>
      <c r="D145" s="133" t="s">
        <v>821</v>
      </c>
      <c r="E145" s="763" t="s">
        <v>553</v>
      </c>
      <c r="F145" s="763" t="s">
        <v>535</v>
      </c>
      <c r="G145" s="166">
        <v>0</v>
      </c>
      <c r="I145" s="764">
        <v>1789289.3399999992</v>
      </c>
      <c r="J145" s="764">
        <v>17365.660000000003</v>
      </c>
      <c r="K145" s="764">
        <f t="shared" si="4"/>
        <v>1806654.9999999991</v>
      </c>
      <c r="M145" s="764"/>
      <c r="O145" s="764">
        <v>0</v>
      </c>
      <c r="P145" s="764">
        <v>0</v>
      </c>
      <c r="Q145" s="764">
        <v>0</v>
      </c>
      <c r="R145" s="764">
        <v>0</v>
      </c>
      <c r="S145" s="764"/>
      <c r="T145" s="764"/>
      <c r="U145" s="764"/>
      <c r="V145" s="764"/>
      <c r="W145" s="764"/>
      <c r="X145" s="764"/>
      <c r="Y145" s="764"/>
      <c r="Z145" s="764"/>
      <c r="AA145" s="764">
        <f t="shared" si="5"/>
        <v>0</v>
      </c>
    </row>
    <row r="146" spans="1:27">
      <c r="A146" s="160">
        <v>7009</v>
      </c>
      <c r="B146" s="133">
        <v>103601</v>
      </c>
      <c r="C146" s="133" t="s">
        <v>822</v>
      </c>
      <c r="D146" s="133" t="s">
        <v>823</v>
      </c>
      <c r="E146" s="763" t="s">
        <v>553</v>
      </c>
      <c r="F146" s="763" t="s">
        <v>535</v>
      </c>
      <c r="G146" s="166">
        <v>0</v>
      </c>
      <c r="I146" s="764">
        <v>2114597.4560000002</v>
      </c>
      <c r="J146" s="764">
        <v>10164.010000000002</v>
      </c>
      <c r="K146" s="764">
        <f t="shared" si="4"/>
        <v>2124761.466</v>
      </c>
      <c r="M146" s="764"/>
      <c r="O146" s="764">
        <v>0</v>
      </c>
      <c r="P146" s="764">
        <v>0</v>
      </c>
      <c r="Q146" s="764">
        <v>0</v>
      </c>
      <c r="R146" s="764">
        <v>0</v>
      </c>
      <c r="S146" s="764"/>
      <c r="T146" s="764"/>
      <c r="U146" s="764"/>
      <c r="V146" s="764"/>
      <c r="W146" s="764"/>
      <c r="X146" s="764"/>
      <c r="Y146" s="764"/>
      <c r="Z146" s="764"/>
      <c r="AA146" s="764">
        <f t="shared" si="5"/>
        <v>0</v>
      </c>
    </row>
    <row r="147" spans="1:27">
      <c r="A147" s="160">
        <v>5203</v>
      </c>
      <c r="B147" s="133">
        <v>103544</v>
      </c>
      <c r="C147" s="133" t="s">
        <v>824</v>
      </c>
      <c r="D147" s="133" t="s">
        <v>825</v>
      </c>
      <c r="E147" s="763" t="s">
        <v>538</v>
      </c>
      <c r="F147" s="763" t="s">
        <v>535</v>
      </c>
      <c r="G147" s="166">
        <v>0</v>
      </c>
      <c r="I147" s="764">
        <v>82655.919999999431</v>
      </c>
      <c r="J147" s="764">
        <v>0</v>
      </c>
      <c r="K147" s="764">
        <f t="shared" si="4"/>
        <v>82655.919999999431</v>
      </c>
      <c r="M147" s="764"/>
      <c r="O147" s="764">
        <v>0</v>
      </c>
      <c r="P147" s="764">
        <v>0</v>
      </c>
      <c r="Q147" s="764">
        <v>0</v>
      </c>
      <c r="R147" s="764">
        <v>0</v>
      </c>
      <c r="S147" s="764"/>
      <c r="T147" s="764"/>
      <c r="U147" s="764"/>
      <c r="V147" s="764"/>
      <c r="W147" s="764"/>
      <c r="X147" s="764"/>
      <c r="Y147" s="764"/>
      <c r="Z147" s="764"/>
      <c r="AA147" s="764">
        <f t="shared" si="5"/>
        <v>0</v>
      </c>
    </row>
    <row r="148" spans="1:27">
      <c r="A148" s="160">
        <v>5202</v>
      </c>
      <c r="B148" s="133">
        <v>103543</v>
      </c>
      <c r="C148" s="133" t="s">
        <v>826</v>
      </c>
      <c r="D148" s="133" t="s">
        <v>827</v>
      </c>
      <c r="E148" s="763" t="s">
        <v>538</v>
      </c>
      <c r="F148" s="763" t="s">
        <v>535</v>
      </c>
      <c r="G148" s="166">
        <v>0</v>
      </c>
      <c r="I148" s="764">
        <v>231787.62999999902</v>
      </c>
      <c r="J148" s="764">
        <v>27469</v>
      </c>
      <c r="K148" s="764">
        <f t="shared" si="4"/>
        <v>259256.62999999902</v>
      </c>
      <c r="M148" s="764"/>
      <c r="O148" s="764">
        <v>0</v>
      </c>
      <c r="P148" s="764">
        <v>0</v>
      </c>
      <c r="Q148" s="764">
        <v>0</v>
      </c>
      <c r="R148" s="764">
        <v>0</v>
      </c>
      <c r="S148" s="764"/>
      <c r="T148" s="764"/>
      <c r="U148" s="764"/>
      <c r="V148" s="764"/>
      <c r="W148" s="764"/>
      <c r="X148" s="764"/>
      <c r="Y148" s="764"/>
      <c r="Z148" s="764"/>
      <c r="AA148" s="764">
        <f t="shared" si="5"/>
        <v>0</v>
      </c>
    </row>
    <row r="149" spans="1:27">
      <c r="A149" s="160">
        <v>2108</v>
      </c>
      <c r="B149" s="133">
        <v>103217</v>
      </c>
      <c r="C149" s="133" t="s">
        <v>828</v>
      </c>
      <c r="D149" s="133" t="s">
        <v>829</v>
      </c>
      <c r="E149" s="763" t="s">
        <v>538</v>
      </c>
      <c r="F149" s="763" t="s">
        <v>535</v>
      </c>
      <c r="G149" s="166" t="s">
        <v>955</v>
      </c>
      <c r="I149" s="764">
        <v>1091897.219999996</v>
      </c>
      <c r="J149" s="764">
        <v>146670.5</v>
      </c>
      <c r="K149" s="764">
        <f t="shared" si="4"/>
        <v>1238567.719999996</v>
      </c>
      <c r="M149" s="764"/>
      <c r="O149" s="764">
        <v>0</v>
      </c>
      <c r="P149" s="764">
        <v>0</v>
      </c>
      <c r="Q149" s="764">
        <v>0</v>
      </c>
      <c r="R149" s="764">
        <v>0</v>
      </c>
      <c r="S149" s="764"/>
      <c r="T149" s="764"/>
      <c r="U149" s="764"/>
      <c r="V149" s="764"/>
      <c r="W149" s="764"/>
      <c r="X149" s="764"/>
      <c r="Y149" s="764"/>
      <c r="Z149" s="764"/>
      <c r="AA149" s="764">
        <f t="shared" si="5"/>
        <v>0</v>
      </c>
    </row>
    <row r="150" spans="1:27">
      <c r="A150" s="160">
        <v>2306</v>
      </c>
      <c r="B150" s="133">
        <v>103326</v>
      </c>
      <c r="C150" s="133" t="s">
        <v>830</v>
      </c>
      <c r="D150" s="133" t="s">
        <v>831</v>
      </c>
      <c r="E150" s="763" t="s">
        <v>538</v>
      </c>
      <c r="F150" s="763" t="s">
        <v>535</v>
      </c>
      <c r="G150" s="166" t="s">
        <v>955</v>
      </c>
      <c r="I150" s="764">
        <v>279911.79999999847</v>
      </c>
      <c r="J150" s="764">
        <v>31042.98</v>
      </c>
      <c r="K150" s="764">
        <f t="shared" si="4"/>
        <v>310954.77999999846</v>
      </c>
      <c r="M150" s="764"/>
      <c r="O150" s="764">
        <v>0</v>
      </c>
      <c r="P150" s="764">
        <v>0</v>
      </c>
      <c r="Q150" s="764">
        <v>0</v>
      </c>
      <c r="R150" s="764">
        <v>0</v>
      </c>
      <c r="S150" s="764"/>
      <c r="T150" s="764"/>
      <c r="U150" s="764"/>
      <c r="V150" s="764"/>
      <c r="W150" s="764"/>
      <c r="X150" s="764"/>
      <c r="Y150" s="764"/>
      <c r="Z150" s="764"/>
      <c r="AA150" s="764">
        <f t="shared" si="5"/>
        <v>0</v>
      </c>
    </row>
    <row r="151" spans="1:27">
      <c r="A151" s="160">
        <v>2308</v>
      </c>
      <c r="B151" s="133">
        <v>103328</v>
      </c>
      <c r="C151" s="133" t="s">
        <v>832</v>
      </c>
      <c r="D151" s="133" t="s">
        <v>833</v>
      </c>
      <c r="E151" s="763" t="s">
        <v>538</v>
      </c>
      <c r="F151" s="763" t="s">
        <v>535</v>
      </c>
      <c r="G151" s="166">
        <v>0</v>
      </c>
      <c r="I151" s="764">
        <v>432926.45999999827</v>
      </c>
      <c r="J151" s="764">
        <v>26430.370000000003</v>
      </c>
      <c r="K151" s="764">
        <f t="shared" si="4"/>
        <v>459356.82999999827</v>
      </c>
      <c r="M151" s="764"/>
      <c r="O151" s="764">
        <v>0</v>
      </c>
      <c r="P151" s="764">
        <v>0</v>
      </c>
      <c r="Q151" s="764">
        <v>0</v>
      </c>
      <c r="R151" s="764">
        <v>0</v>
      </c>
      <c r="S151" s="764"/>
      <c r="T151" s="764"/>
      <c r="U151" s="764"/>
      <c r="V151" s="764"/>
      <c r="W151" s="764"/>
      <c r="X151" s="764"/>
      <c r="Y151" s="764"/>
      <c r="Z151" s="764"/>
      <c r="AA151" s="764">
        <f t="shared" si="5"/>
        <v>0</v>
      </c>
    </row>
    <row r="152" spans="1:27">
      <c r="A152" s="160">
        <v>2245</v>
      </c>
      <c r="B152" s="133">
        <v>103295</v>
      </c>
      <c r="C152" s="133" t="s">
        <v>834</v>
      </c>
      <c r="D152" s="133" t="s">
        <v>835</v>
      </c>
      <c r="E152" s="763" t="s">
        <v>538</v>
      </c>
      <c r="F152" s="763" t="s">
        <v>535</v>
      </c>
      <c r="G152" s="166" t="s">
        <v>955</v>
      </c>
      <c r="I152" s="764">
        <v>25296.379999997967</v>
      </c>
      <c r="J152" s="764">
        <v>45101.329999999994</v>
      </c>
      <c r="K152" s="764">
        <f t="shared" si="4"/>
        <v>70397.709999997955</v>
      </c>
      <c r="M152" s="764"/>
      <c r="O152" s="764">
        <v>0</v>
      </c>
      <c r="P152" s="764">
        <v>0</v>
      </c>
      <c r="Q152" s="764">
        <v>0</v>
      </c>
      <c r="R152" s="764">
        <v>0</v>
      </c>
      <c r="S152" s="764"/>
      <c r="T152" s="764"/>
      <c r="U152" s="764"/>
      <c r="V152" s="764"/>
      <c r="W152" s="764"/>
      <c r="X152" s="764"/>
      <c r="Y152" s="764"/>
      <c r="Z152" s="764"/>
      <c r="AA152" s="764">
        <f t="shared" si="5"/>
        <v>0</v>
      </c>
    </row>
    <row r="153" spans="1:27">
      <c r="A153" s="160">
        <v>1014</v>
      </c>
      <c r="B153" s="133">
        <v>103127</v>
      </c>
      <c r="C153" s="133" t="s">
        <v>836</v>
      </c>
      <c r="D153" s="133" t="s">
        <v>837</v>
      </c>
      <c r="E153" s="763" t="s">
        <v>534</v>
      </c>
      <c r="F153" s="763" t="s">
        <v>535</v>
      </c>
      <c r="G153" s="166" t="s">
        <v>954</v>
      </c>
      <c r="I153" s="764">
        <v>269332.04000000015</v>
      </c>
      <c r="J153" s="764">
        <v>29855.68</v>
      </c>
      <c r="K153" s="764">
        <f t="shared" si="4"/>
        <v>299187.72000000015</v>
      </c>
      <c r="M153" s="764"/>
      <c r="O153" s="764">
        <v>0</v>
      </c>
      <c r="P153" s="764">
        <v>0</v>
      </c>
      <c r="Q153" s="764">
        <v>0</v>
      </c>
      <c r="R153" s="764">
        <v>0</v>
      </c>
      <c r="S153" s="764"/>
      <c r="T153" s="764"/>
      <c r="U153" s="764"/>
      <c r="V153" s="764"/>
      <c r="W153" s="764"/>
      <c r="X153" s="764"/>
      <c r="Y153" s="764"/>
      <c r="Z153" s="764"/>
      <c r="AA153" s="764">
        <f t="shared" si="5"/>
        <v>0</v>
      </c>
    </row>
    <row r="154" spans="1:27">
      <c r="A154" s="160">
        <v>2011</v>
      </c>
      <c r="B154" s="133">
        <v>134099</v>
      </c>
      <c r="C154" s="133" t="s">
        <v>838</v>
      </c>
      <c r="D154" s="133" t="s">
        <v>839</v>
      </c>
      <c r="E154" s="763" t="s">
        <v>538</v>
      </c>
      <c r="F154" s="763" t="s">
        <v>535</v>
      </c>
      <c r="G154" s="166">
        <v>0</v>
      </c>
      <c r="I154" s="764">
        <v>467915.51000000129</v>
      </c>
      <c r="J154" s="764">
        <v>48032</v>
      </c>
      <c r="K154" s="764">
        <f t="shared" si="4"/>
        <v>515947.51000000129</v>
      </c>
      <c r="M154" s="764"/>
      <c r="O154" s="764">
        <v>0</v>
      </c>
      <c r="P154" s="764">
        <v>0</v>
      </c>
      <c r="Q154" s="764">
        <v>0</v>
      </c>
      <c r="R154" s="764">
        <v>0</v>
      </c>
      <c r="S154" s="764"/>
      <c r="T154" s="764"/>
      <c r="U154" s="764"/>
      <c r="V154" s="764"/>
      <c r="W154" s="764"/>
      <c r="X154" s="764"/>
      <c r="Y154" s="764"/>
      <c r="Z154" s="764"/>
      <c r="AA154" s="764">
        <f t="shared" si="5"/>
        <v>0</v>
      </c>
    </row>
    <row r="155" spans="1:27">
      <c r="A155" s="160">
        <v>4193</v>
      </c>
      <c r="B155" s="133">
        <v>103501</v>
      </c>
      <c r="C155" s="133" t="s">
        <v>840</v>
      </c>
      <c r="D155" s="133" t="s">
        <v>841</v>
      </c>
      <c r="E155" s="763" t="s">
        <v>564</v>
      </c>
      <c r="F155" s="763" t="s">
        <v>535</v>
      </c>
      <c r="G155" s="166">
        <v>0</v>
      </c>
      <c r="I155" s="764">
        <v>1580301.9500000011</v>
      </c>
      <c r="J155" s="764">
        <v>75471.59</v>
      </c>
      <c r="K155" s="764">
        <f t="shared" si="4"/>
        <v>1655773.5400000012</v>
      </c>
      <c r="M155" s="764"/>
      <c r="O155" s="764">
        <v>0</v>
      </c>
      <c r="P155" s="764">
        <v>0</v>
      </c>
      <c r="Q155" s="764">
        <v>0</v>
      </c>
      <c r="R155" s="764">
        <v>0</v>
      </c>
      <c r="S155" s="764"/>
      <c r="T155" s="764"/>
      <c r="U155" s="764"/>
      <c r="V155" s="764"/>
      <c r="W155" s="764"/>
      <c r="X155" s="764"/>
      <c r="Y155" s="764"/>
      <c r="Z155" s="764"/>
      <c r="AA155" s="764">
        <f t="shared" si="5"/>
        <v>0</v>
      </c>
    </row>
    <row r="156" spans="1:27">
      <c r="A156" s="160">
        <v>2478</v>
      </c>
      <c r="B156" s="133">
        <v>132007</v>
      </c>
      <c r="C156" s="133" t="s">
        <v>842</v>
      </c>
      <c r="D156" s="133" t="s">
        <v>843</v>
      </c>
      <c r="E156" s="763" t="s">
        <v>538</v>
      </c>
      <c r="F156" s="763" t="s">
        <v>535</v>
      </c>
      <c r="G156" s="166">
        <v>0</v>
      </c>
      <c r="I156" s="764">
        <v>575599.77000000014</v>
      </c>
      <c r="J156" s="764">
        <v>4255.9600000000028</v>
      </c>
      <c r="K156" s="764">
        <f t="shared" si="4"/>
        <v>579855.7300000001</v>
      </c>
      <c r="M156" s="764"/>
      <c r="O156" s="764">
        <v>0</v>
      </c>
      <c r="P156" s="764">
        <v>0</v>
      </c>
      <c r="Q156" s="764">
        <v>0</v>
      </c>
      <c r="R156" s="764">
        <v>0</v>
      </c>
      <c r="S156" s="764"/>
      <c r="T156" s="764"/>
      <c r="U156" s="764"/>
      <c r="V156" s="764"/>
      <c r="W156" s="764"/>
      <c r="X156" s="764"/>
      <c r="Y156" s="764"/>
      <c r="Z156" s="764"/>
      <c r="AA156" s="764">
        <f t="shared" si="5"/>
        <v>0</v>
      </c>
    </row>
    <row r="157" spans="1:27">
      <c r="A157" s="160">
        <v>2293</v>
      </c>
      <c r="B157" s="133">
        <v>103317</v>
      </c>
      <c r="C157" s="133" t="s">
        <v>844</v>
      </c>
      <c r="D157" s="133" t="s">
        <v>845</v>
      </c>
      <c r="E157" s="763" t="s">
        <v>538</v>
      </c>
      <c r="F157" s="763" t="s">
        <v>535</v>
      </c>
      <c r="G157" s="166">
        <v>0</v>
      </c>
      <c r="I157" s="764">
        <v>1033474.2400000016</v>
      </c>
      <c r="J157" s="764">
        <v>82527.95</v>
      </c>
      <c r="K157" s="764">
        <f t="shared" si="4"/>
        <v>1116002.1900000016</v>
      </c>
      <c r="M157" s="764"/>
      <c r="O157" s="764">
        <v>0</v>
      </c>
      <c r="P157" s="764">
        <v>0</v>
      </c>
      <c r="Q157" s="764">
        <v>0</v>
      </c>
      <c r="R157" s="764">
        <v>0</v>
      </c>
      <c r="S157" s="764"/>
      <c r="T157" s="764"/>
      <c r="U157" s="764"/>
      <c r="V157" s="764"/>
      <c r="W157" s="764"/>
      <c r="X157" s="764"/>
      <c r="Y157" s="764"/>
      <c r="Z157" s="764"/>
      <c r="AA157" s="764">
        <f t="shared" si="5"/>
        <v>0</v>
      </c>
    </row>
    <row r="158" spans="1:27">
      <c r="A158" s="160">
        <v>2278</v>
      </c>
      <c r="B158" s="133">
        <v>103310</v>
      </c>
      <c r="C158" s="133" t="s">
        <v>846</v>
      </c>
      <c r="D158" s="133" t="s">
        <v>847</v>
      </c>
      <c r="E158" s="763" t="s">
        <v>538</v>
      </c>
      <c r="F158" s="763" t="s">
        <v>535</v>
      </c>
      <c r="G158" s="166" t="s">
        <v>955</v>
      </c>
      <c r="I158" s="764">
        <v>512082.35000000021</v>
      </c>
      <c r="J158" s="764">
        <v>28037.59</v>
      </c>
      <c r="K158" s="764">
        <f t="shared" si="4"/>
        <v>540119.94000000018</v>
      </c>
      <c r="M158" s="764"/>
      <c r="O158" s="764">
        <v>0</v>
      </c>
      <c r="P158" s="764">
        <v>0</v>
      </c>
      <c r="Q158" s="764">
        <v>0</v>
      </c>
      <c r="R158" s="764">
        <v>0</v>
      </c>
      <c r="S158" s="764"/>
      <c r="T158" s="764"/>
      <c r="U158" s="764"/>
      <c r="V158" s="764"/>
      <c r="W158" s="764"/>
      <c r="X158" s="764"/>
      <c r="Y158" s="764"/>
      <c r="Z158" s="764"/>
      <c r="AA158" s="764">
        <f t="shared" si="5"/>
        <v>0</v>
      </c>
    </row>
    <row r="159" spans="1:27">
      <c r="A159" s="160">
        <v>2314</v>
      </c>
      <c r="B159" s="133">
        <v>103334</v>
      </c>
      <c r="C159" s="133" t="s">
        <v>848</v>
      </c>
      <c r="D159" s="133" t="s">
        <v>849</v>
      </c>
      <c r="E159" s="763" t="s">
        <v>538</v>
      </c>
      <c r="F159" s="763" t="s">
        <v>535</v>
      </c>
      <c r="G159" s="166" t="s">
        <v>954</v>
      </c>
      <c r="I159" s="764">
        <v>56695.469999998721</v>
      </c>
      <c r="J159" s="764">
        <v>15666.879999999997</v>
      </c>
      <c r="K159" s="764">
        <f t="shared" si="4"/>
        <v>72362.349999998725</v>
      </c>
      <c r="M159" s="764"/>
      <c r="O159" s="764">
        <v>0</v>
      </c>
      <c r="P159" s="764">
        <v>0</v>
      </c>
      <c r="Q159" s="764">
        <v>0</v>
      </c>
      <c r="R159" s="764">
        <v>0</v>
      </c>
      <c r="S159" s="764"/>
      <c r="T159" s="764"/>
      <c r="U159" s="764"/>
      <c r="V159" s="764"/>
      <c r="W159" s="764"/>
      <c r="X159" s="764"/>
      <c r="Y159" s="764"/>
      <c r="Z159" s="764"/>
      <c r="AA159" s="764">
        <f t="shared" si="5"/>
        <v>0</v>
      </c>
    </row>
    <row r="160" spans="1:27">
      <c r="A160" s="160">
        <v>2317</v>
      </c>
      <c r="B160" s="133">
        <v>103337</v>
      </c>
      <c r="C160" s="133" t="s">
        <v>850</v>
      </c>
      <c r="D160" s="133" t="s">
        <v>851</v>
      </c>
      <c r="E160" s="763" t="s">
        <v>538</v>
      </c>
      <c r="F160" s="763" t="s">
        <v>535</v>
      </c>
      <c r="G160" s="166" t="s">
        <v>955</v>
      </c>
      <c r="I160" s="764">
        <v>-92002.089999998105</v>
      </c>
      <c r="J160" s="764">
        <v>18324.299999999996</v>
      </c>
      <c r="K160" s="764">
        <f t="shared" si="4"/>
        <v>-73677.789999998116</v>
      </c>
      <c r="M160" s="764"/>
      <c r="O160" s="764">
        <v>0</v>
      </c>
      <c r="P160" s="764">
        <v>0</v>
      </c>
      <c r="Q160" s="764">
        <v>0</v>
      </c>
      <c r="R160" s="764">
        <v>0</v>
      </c>
      <c r="S160" s="764"/>
      <c r="T160" s="764"/>
      <c r="U160" s="764"/>
      <c r="V160" s="764"/>
      <c r="W160" s="764"/>
      <c r="X160" s="764"/>
      <c r="Y160" s="764"/>
      <c r="Z160" s="764"/>
      <c r="AA160" s="764">
        <f t="shared" si="5"/>
        <v>0</v>
      </c>
    </row>
    <row r="161" spans="1:27">
      <c r="A161" s="160">
        <v>2225</v>
      </c>
      <c r="B161" s="133">
        <v>103279</v>
      </c>
      <c r="C161" s="133" t="s">
        <v>852</v>
      </c>
      <c r="D161" s="133" t="s">
        <v>853</v>
      </c>
      <c r="E161" s="763" t="s">
        <v>538</v>
      </c>
      <c r="F161" s="763" t="s">
        <v>535</v>
      </c>
      <c r="G161" s="166">
        <v>0</v>
      </c>
      <c r="I161" s="764">
        <v>577131.90000000084</v>
      </c>
      <c r="J161" s="764">
        <v>58183.75</v>
      </c>
      <c r="K161" s="764">
        <f t="shared" si="4"/>
        <v>635315.65000000084</v>
      </c>
      <c r="M161" s="764"/>
      <c r="O161" s="764">
        <v>0</v>
      </c>
      <c r="P161" s="764">
        <v>0</v>
      </c>
      <c r="Q161" s="764">
        <v>0</v>
      </c>
      <c r="R161" s="764">
        <v>0</v>
      </c>
      <c r="S161" s="764"/>
      <c r="T161" s="764"/>
      <c r="U161" s="764"/>
      <c r="V161" s="764"/>
      <c r="W161" s="764"/>
      <c r="X161" s="764"/>
      <c r="Y161" s="764"/>
      <c r="Z161" s="764"/>
      <c r="AA161" s="764">
        <f t="shared" si="5"/>
        <v>0</v>
      </c>
    </row>
    <row r="162" spans="1:27">
      <c r="A162" s="160">
        <v>2412</v>
      </c>
      <c r="B162" s="133">
        <v>103349</v>
      </c>
      <c r="C162" s="133" t="s">
        <v>854</v>
      </c>
      <c r="D162" s="133" t="s">
        <v>855</v>
      </c>
      <c r="E162" s="763" t="s">
        <v>538</v>
      </c>
      <c r="F162" s="763" t="s">
        <v>535</v>
      </c>
      <c r="G162" s="166">
        <v>0</v>
      </c>
      <c r="I162" s="764">
        <v>616793.31000000029</v>
      </c>
      <c r="J162" s="764">
        <v>70269.25</v>
      </c>
      <c r="K162" s="764">
        <f t="shared" si="4"/>
        <v>687062.56000000029</v>
      </c>
      <c r="M162" s="764"/>
      <c r="O162" s="764">
        <v>0</v>
      </c>
      <c r="P162" s="764">
        <v>0</v>
      </c>
      <c r="Q162" s="764">
        <v>0</v>
      </c>
      <c r="R162" s="764">
        <v>0</v>
      </c>
      <c r="S162" s="764"/>
      <c r="T162" s="764"/>
      <c r="U162" s="764"/>
      <c r="V162" s="764"/>
      <c r="W162" s="764"/>
      <c r="X162" s="764"/>
      <c r="Y162" s="764"/>
      <c r="Z162" s="764"/>
      <c r="AA162" s="764">
        <f t="shared" si="5"/>
        <v>0</v>
      </c>
    </row>
    <row r="163" spans="1:27">
      <c r="A163" s="160">
        <v>3421</v>
      </c>
      <c r="B163" s="133">
        <v>133996</v>
      </c>
      <c r="C163" s="133" t="s">
        <v>856</v>
      </c>
      <c r="D163" s="133" t="s">
        <v>857</v>
      </c>
      <c r="E163" s="763" t="s">
        <v>538</v>
      </c>
      <c r="F163" s="763" t="s">
        <v>535</v>
      </c>
      <c r="G163" s="166" t="s">
        <v>955</v>
      </c>
      <c r="I163" s="764">
        <v>197343.95000000286</v>
      </c>
      <c r="J163" s="764">
        <v>6901.3099999999977</v>
      </c>
      <c r="K163" s="764">
        <f t="shared" si="4"/>
        <v>204245.26000000286</v>
      </c>
      <c r="M163" s="764"/>
      <c r="O163" s="764">
        <v>0</v>
      </c>
      <c r="P163" s="764">
        <v>0</v>
      </c>
      <c r="Q163" s="764">
        <v>0</v>
      </c>
      <c r="R163" s="764">
        <v>0</v>
      </c>
      <c r="S163" s="764"/>
      <c r="T163" s="764"/>
      <c r="U163" s="764"/>
      <c r="V163" s="764"/>
      <c r="W163" s="764"/>
      <c r="X163" s="764"/>
      <c r="Y163" s="764"/>
      <c r="Z163" s="764"/>
      <c r="AA163" s="764">
        <f t="shared" si="5"/>
        <v>0</v>
      </c>
    </row>
    <row r="164" spans="1:27">
      <c r="A164" s="160">
        <v>2227</v>
      </c>
      <c r="B164" s="133">
        <v>103281</v>
      </c>
      <c r="C164" s="133" t="s">
        <v>858</v>
      </c>
      <c r="D164" s="133" t="s">
        <v>859</v>
      </c>
      <c r="E164" s="763" t="s">
        <v>538</v>
      </c>
      <c r="F164" s="763" t="s">
        <v>535</v>
      </c>
      <c r="G164" s="166" t="s">
        <v>955</v>
      </c>
      <c r="I164" s="764">
        <v>411321.15588224592</v>
      </c>
      <c r="J164" s="764">
        <v>3763.8</v>
      </c>
      <c r="K164" s="764">
        <f t="shared" si="4"/>
        <v>415084.95588224591</v>
      </c>
      <c r="M164" s="764"/>
      <c r="O164" s="764">
        <v>0</v>
      </c>
      <c r="P164" s="764">
        <v>0</v>
      </c>
      <c r="Q164" s="764">
        <v>0</v>
      </c>
      <c r="R164" s="764">
        <v>0</v>
      </c>
      <c r="S164" s="764"/>
      <c r="T164" s="764"/>
      <c r="U164" s="764"/>
      <c r="V164" s="764"/>
      <c r="W164" s="764"/>
      <c r="X164" s="764"/>
      <c r="Y164" s="764"/>
      <c r="Z164" s="764"/>
      <c r="AA164" s="764">
        <f t="shared" si="5"/>
        <v>0</v>
      </c>
    </row>
    <row r="165" spans="1:27">
      <c r="A165" s="160">
        <v>2231</v>
      </c>
      <c r="B165" s="133">
        <v>103284</v>
      </c>
      <c r="C165" s="133" t="s">
        <v>860</v>
      </c>
      <c r="D165" s="133" t="s">
        <v>861</v>
      </c>
      <c r="E165" s="763" t="s">
        <v>538</v>
      </c>
      <c r="F165" s="763" t="s">
        <v>535</v>
      </c>
      <c r="G165" s="166" t="s">
        <v>955</v>
      </c>
      <c r="I165" s="764">
        <v>209531.29000000108</v>
      </c>
      <c r="J165" s="764">
        <v>7768.64</v>
      </c>
      <c r="K165" s="764">
        <f t="shared" si="4"/>
        <v>217299.9300000011</v>
      </c>
      <c r="M165" s="764"/>
      <c r="O165" s="764">
        <v>0</v>
      </c>
      <c r="P165" s="764">
        <v>0</v>
      </c>
      <c r="Q165" s="764">
        <v>0</v>
      </c>
      <c r="R165" s="764">
        <v>0</v>
      </c>
      <c r="S165" s="764"/>
      <c r="T165" s="764"/>
      <c r="U165" s="764"/>
      <c r="V165" s="764"/>
      <c r="W165" s="764"/>
      <c r="X165" s="764"/>
      <c r="Y165" s="764"/>
      <c r="Z165" s="764"/>
      <c r="AA165" s="764">
        <f t="shared" si="5"/>
        <v>0</v>
      </c>
    </row>
    <row r="166" spans="1:27">
      <c r="A166" s="160">
        <v>1001</v>
      </c>
      <c r="B166" s="133">
        <v>103120</v>
      </c>
      <c r="C166" s="133" t="s">
        <v>862</v>
      </c>
      <c r="D166" s="133" t="s">
        <v>863</v>
      </c>
      <c r="E166" s="763" t="s">
        <v>534</v>
      </c>
      <c r="F166" s="763" t="s">
        <v>535</v>
      </c>
      <c r="G166" s="166" t="s">
        <v>955</v>
      </c>
      <c r="I166" s="764">
        <v>-211961.54999999993</v>
      </c>
      <c r="J166" s="764">
        <v>17836.75</v>
      </c>
      <c r="K166" s="764">
        <f t="shared" si="4"/>
        <v>-194124.79999999993</v>
      </c>
      <c r="M166" s="764"/>
      <c r="O166" s="764">
        <v>0</v>
      </c>
      <c r="P166" s="764">
        <v>0</v>
      </c>
      <c r="Q166" s="764">
        <v>0</v>
      </c>
      <c r="R166" s="764">
        <v>0</v>
      </c>
      <c r="S166" s="764"/>
      <c r="T166" s="764"/>
      <c r="U166" s="764"/>
      <c r="V166" s="764"/>
      <c r="W166" s="764"/>
      <c r="X166" s="764"/>
      <c r="Y166" s="764"/>
      <c r="Z166" s="764"/>
      <c r="AA166" s="764">
        <f t="shared" si="5"/>
        <v>0</v>
      </c>
    </row>
    <row r="167" spans="1:27">
      <c r="A167" s="160">
        <v>2464</v>
      </c>
      <c r="B167" s="133">
        <v>103390</v>
      </c>
      <c r="C167" s="133" t="s">
        <v>864</v>
      </c>
      <c r="D167" s="133" t="s">
        <v>865</v>
      </c>
      <c r="E167" s="763" t="s">
        <v>538</v>
      </c>
      <c r="F167" s="763" t="s">
        <v>535</v>
      </c>
      <c r="G167" s="166" t="s">
        <v>955</v>
      </c>
      <c r="I167" s="764">
        <v>-374598.72999999963</v>
      </c>
      <c r="J167" s="764">
        <v>16820.559999999998</v>
      </c>
      <c r="K167" s="764">
        <f t="shared" si="4"/>
        <v>-357778.16999999963</v>
      </c>
      <c r="M167" s="764"/>
      <c r="O167" s="764">
        <v>0</v>
      </c>
      <c r="P167" s="764">
        <v>0</v>
      </c>
      <c r="Q167" s="764">
        <v>0</v>
      </c>
      <c r="R167" s="764">
        <v>0</v>
      </c>
      <c r="S167" s="764"/>
      <c r="T167" s="764"/>
      <c r="U167" s="764"/>
      <c r="V167" s="764"/>
      <c r="W167" s="764"/>
      <c r="X167" s="764"/>
      <c r="Y167" s="764"/>
      <c r="Z167" s="764"/>
      <c r="AA167" s="764">
        <f t="shared" si="5"/>
        <v>0</v>
      </c>
    </row>
    <row r="168" spans="1:27">
      <c r="A168" s="160">
        <v>2189</v>
      </c>
      <c r="B168" s="133">
        <v>103265</v>
      </c>
      <c r="C168" s="133" t="s">
        <v>866</v>
      </c>
      <c r="D168" s="133" t="s">
        <v>867</v>
      </c>
      <c r="E168" s="763" t="s">
        <v>538</v>
      </c>
      <c r="F168" s="763" t="s">
        <v>535</v>
      </c>
      <c r="G168" s="166" t="s">
        <v>955</v>
      </c>
      <c r="I168" s="764">
        <v>-481557.54000000155</v>
      </c>
      <c r="J168" s="764">
        <v>3803.01</v>
      </c>
      <c r="K168" s="764">
        <f t="shared" si="4"/>
        <v>-477754.53000000154</v>
      </c>
      <c r="M168" s="764"/>
      <c r="O168" s="764">
        <v>0</v>
      </c>
      <c r="P168" s="764">
        <v>0</v>
      </c>
      <c r="Q168" s="764">
        <v>0</v>
      </c>
      <c r="R168" s="764">
        <v>0</v>
      </c>
      <c r="S168" s="764"/>
      <c r="T168" s="764"/>
      <c r="U168" s="764"/>
      <c r="V168" s="764"/>
      <c r="W168" s="764"/>
      <c r="X168" s="764"/>
      <c r="Y168" s="764"/>
      <c r="Z168" s="764"/>
      <c r="AA168" s="764">
        <f t="shared" si="5"/>
        <v>0</v>
      </c>
    </row>
    <row r="169" spans="1:27">
      <c r="A169" s="160">
        <v>7060</v>
      </c>
      <c r="B169" s="133">
        <v>103630</v>
      </c>
      <c r="C169" s="133" t="s">
        <v>868</v>
      </c>
      <c r="D169" s="133" t="s">
        <v>869</v>
      </c>
      <c r="E169" s="763" t="s">
        <v>553</v>
      </c>
      <c r="F169" s="763" t="s">
        <v>535</v>
      </c>
      <c r="G169" s="166" t="s">
        <v>955</v>
      </c>
      <c r="I169" s="764">
        <v>-157003.14999998829</v>
      </c>
      <c r="J169" s="764">
        <v>85432.59</v>
      </c>
      <c r="K169" s="764">
        <f t="shared" si="4"/>
        <v>-71570.559999988298</v>
      </c>
      <c r="M169" s="764"/>
      <c r="O169" s="764">
        <v>0</v>
      </c>
      <c r="P169" s="764">
        <v>0</v>
      </c>
      <c r="Q169" s="764">
        <v>0</v>
      </c>
      <c r="R169" s="764">
        <v>0</v>
      </c>
      <c r="S169" s="764"/>
      <c r="T169" s="764"/>
      <c r="U169" s="764"/>
      <c r="V169" s="764"/>
      <c r="W169" s="764"/>
      <c r="X169" s="764"/>
      <c r="Y169" s="764"/>
      <c r="Z169" s="764"/>
      <c r="AA169" s="764">
        <f t="shared" si="5"/>
        <v>0</v>
      </c>
    </row>
    <row r="170" spans="1:27">
      <c r="A170" s="160">
        <v>3380</v>
      </c>
      <c r="B170" s="133">
        <v>103465</v>
      </c>
      <c r="C170" s="133" t="s">
        <v>870</v>
      </c>
      <c r="D170" s="133" t="s">
        <v>871</v>
      </c>
      <c r="E170" s="763" t="s">
        <v>538</v>
      </c>
      <c r="F170" s="763" t="s">
        <v>957</v>
      </c>
      <c r="G170" s="166" t="s">
        <v>583</v>
      </c>
      <c r="I170" s="764">
        <v>-108866.06000000116</v>
      </c>
      <c r="J170" s="764">
        <v>0</v>
      </c>
      <c r="K170" s="764">
        <f t="shared" si="4"/>
        <v>-108866.06000000116</v>
      </c>
      <c r="M170" s="764"/>
      <c r="O170" s="764">
        <v>0</v>
      </c>
      <c r="P170" s="764">
        <v>0</v>
      </c>
      <c r="Q170" s="764">
        <v>0</v>
      </c>
      <c r="R170" s="764">
        <v>0</v>
      </c>
      <c r="S170" s="764"/>
      <c r="T170" s="764"/>
      <c r="U170" s="764"/>
      <c r="V170" s="764"/>
      <c r="W170" s="764"/>
      <c r="X170" s="764"/>
      <c r="Y170" s="764"/>
      <c r="Z170" s="764"/>
      <c r="AA170" s="764">
        <f t="shared" si="5"/>
        <v>0</v>
      </c>
    </row>
    <row r="171" spans="1:27">
      <c r="A171" s="160">
        <v>1019</v>
      </c>
      <c r="B171" s="133">
        <v>103132</v>
      </c>
      <c r="C171" s="133" t="s">
        <v>872</v>
      </c>
      <c r="D171" s="133" t="s">
        <v>873</v>
      </c>
      <c r="E171" s="763" t="s">
        <v>534</v>
      </c>
      <c r="F171" s="763" t="s">
        <v>535</v>
      </c>
      <c r="G171" s="166" t="s">
        <v>955</v>
      </c>
      <c r="I171" s="764">
        <v>-241139.93999999989</v>
      </c>
      <c r="J171" s="764">
        <v>47827.95</v>
      </c>
      <c r="K171" s="764">
        <f t="shared" si="4"/>
        <v>-193311.98999999987</v>
      </c>
      <c r="M171" s="764"/>
      <c r="O171" s="764">
        <v>0</v>
      </c>
      <c r="P171" s="764">
        <v>0</v>
      </c>
      <c r="Q171" s="764">
        <v>0</v>
      </c>
      <c r="R171" s="764">
        <v>0</v>
      </c>
      <c r="S171" s="764"/>
      <c r="T171" s="764"/>
      <c r="U171" s="764"/>
      <c r="V171" s="764"/>
      <c r="W171" s="764"/>
      <c r="X171" s="764"/>
      <c r="Y171" s="764"/>
      <c r="Z171" s="764"/>
      <c r="AA171" s="764">
        <f t="shared" si="5"/>
        <v>0</v>
      </c>
    </row>
    <row r="172" spans="1:27">
      <c r="A172" s="160">
        <v>2445</v>
      </c>
      <c r="B172" s="133">
        <v>103372</v>
      </c>
      <c r="C172" s="133" t="s">
        <v>874</v>
      </c>
      <c r="D172" s="133" t="s">
        <v>875</v>
      </c>
      <c r="E172" s="763" t="s">
        <v>538</v>
      </c>
      <c r="F172" s="763" t="s">
        <v>535</v>
      </c>
      <c r="G172" s="166" t="s">
        <v>954</v>
      </c>
      <c r="I172" s="764">
        <v>23520.619999999151</v>
      </c>
      <c r="J172" s="764">
        <v>13518.599999999999</v>
      </c>
      <c r="K172" s="764">
        <f t="shared" si="4"/>
        <v>37039.21999999915</v>
      </c>
      <c r="M172" s="764"/>
      <c r="O172" s="764">
        <v>0</v>
      </c>
      <c r="P172" s="764">
        <v>0</v>
      </c>
      <c r="Q172" s="764">
        <v>0</v>
      </c>
      <c r="R172" s="764">
        <v>0</v>
      </c>
      <c r="S172" s="764"/>
      <c r="T172" s="764"/>
      <c r="U172" s="764"/>
      <c r="V172" s="764"/>
      <c r="W172" s="764"/>
      <c r="X172" s="764"/>
      <c r="Y172" s="764"/>
      <c r="Z172" s="764"/>
      <c r="AA172" s="764">
        <f t="shared" si="5"/>
        <v>0</v>
      </c>
    </row>
    <row r="173" spans="1:27">
      <c r="A173" s="160">
        <v>2014</v>
      </c>
      <c r="B173" s="133">
        <v>103162</v>
      </c>
      <c r="C173" s="133" t="s">
        <v>876</v>
      </c>
      <c r="D173" s="133" t="s">
        <v>877</v>
      </c>
      <c r="E173" s="763" t="s">
        <v>538</v>
      </c>
      <c r="F173" s="763" t="s">
        <v>535</v>
      </c>
      <c r="G173" s="166" t="s">
        <v>955</v>
      </c>
      <c r="I173" s="764">
        <v>-317369.06000000233</v>
      </c>
      <c r="J173" s="764">
        <v>8587.75</v>
      </c>
      <c r="K173" s="764">
        <f t="shared" si="4"/>
        <v>-308781.31000000233</v>
      </c>
      <c r="M173" s="764"/>
      <c r="O173" s="764">
        <v>0</v>
      </c>
      <c r="P173" s="764">
        <v>0</v>
      </c>
      <c r="Q173" s="764">
        <v>0</v>
      </c>
      <c r="R173" s="764">
        <v>0</v>
      </c>
      <c r="S173" s="764"/>
      <c r="T173" s="764"/>
      <c r="U173" s="764"/>
      <c r="V173" s="764"/>
      <c r="W173" s="764"/>
      <c r="X173" s="764"/>
      <c r="Y173" s="764"/>
      <c r="Z173" s="764"/>
      <c r="AA173" s="764">
        <f t="shared" si="5"/>
        <v>0</v>
      </c>
    </row>
    <row r="174" spans="1:27">
      <c r="A174" s="160">
        <v>7052</v>
      </c>
      <c r="B174" s="133">
        <v>103627</v>
      </c>
      <c r="C174" s="133" t="s">
        <v>878</v>
      </c>
      <c r="D174" s="133" t="s">
        <v>879</v>
      </c>
      <c r="E174" s="763" t="s">
        <v>553</v>
      </c>
      <c r="F174" s="763" t="s">
        <v>535</v>
      </c>
      <c r="G174" s="166" t="s">
        <v>955</v>
      </c>
      <c r="I174" s="764">
        <v>-545844.02999999397</v>
      </c>
      <c r="J174" s="764">
        <v>8839.75</v>
      </c>
      <c r="K174" s="764">
        <f t="shared" si="4"/>
        <v>-537004.27999999397</v>
      </c>
      <c r="M174" s="764"/>
      <c r="O174" s="764">
        <v>0</v>
      </c>
      <c r="P174" s="764">
        <v>0</v>
      </c>
      <c r="Q174" s="764">
        <v>0</v>
      </c>
      <c r="R174" s="764">
        <v>0</v>
      </c>
      <c r="S174" s="764"/>
      <c r="T174" s="764"/>
      <c r="U174" s="764"/>
      <c r="V174" s="764"/>
      <c r="W174" s="764"/>
      <c r="X174" s="764"/>
      <c r="Y174" s="764"/>
      <c r="Z174" s="764"/>
      <c r="AA174" s="764">
        <f t="shared" si="5"/>
        <v>0</v>
      </c>
    </row>
    <row r="175" spans="1:27">
      <c r="A175" s="160">
        <v>2456</v>
      </c>
      <c r="B175" s="133">
        <v>103383</v>
      </c>
      <c r="C175" s="133" t="s">
        <v>880</v>
      </c>
      <c r="D175" s="133" t="s">
        <v>881</v>
      </c>
      <c r="E175" s="763" t="s">
        <v>538</v>
      </c>
      <c r="F175" s="763" t="s">
        <v>535</v>
      </c>
      <c r="G175" s="166" t="s">
        <v>955</v>
      </c>
      <c r="I175" s="764">
        <v>-148547.98000000091</v>
      </c>
      <c r="J175" s="764">
        <v>4030.27</v>
      </c>
      <c r="K175" s="764">
        <f t="shared" si="4"/>
        <v>-144517.71000000092</v>
      </c>
      <c r="M175" s="764"/>
      <c r="O175" s="764">
        <v>0</v>
      </c>
      <c r="P175" s="764">
        <v>0</v>
      </c>
      <c r="Q175" s="764">
        <v>0</v>
      </c>
      <c r="R175" s="764">
        <v>0</v>
      </c>
      <c r="S175" s="764"/>
      <c r="T175" s="764"/>
      <c r="U175" s="764"/>
      <c r="V175" s="764"/>
      <c r="W175" s="764"/>
      <c r="X175" s="764"/>
      <c r="Y175" s="764"/>
      <c r="Z175" s="764"/>
      <c r="AA175" s="764">
        <f t="shared" si="5"/>
        <v>0</v>
      </c>
    </row>
    <row r="176" spans="1:27">
      <c r="A176" s="160">
        <v>2254</v>
      </c>
      <c r="B176" s="133">
        <v>103300</v>
      </c>
      <c r="C176" s="133" t="s">
        <v>882</v>
      </c>
      <c r="D176" s="133" t="s">
        <v>883</v>
      </c>
      <c r="E176" s="763" t="s">
        <v>538</v>
      </c>
      <c r="F176" s="763" t="s">
        <v>535</v>
      </c>
      <c r="G176" s="166" t="s">
        <v>955</v>
      </c>
      <c r="I176" s="764">
        <v>-1491332.2199999972</v>
      </c>
      <c r="J176" s="764">
        <v>10300</v>
      </c>
      <c r="K176" s="764">
        <f t="shared" si="4"/>
        <v>-1481032.2199999972</v>
      </c>
      <c r="M176" s="764"/>
      <c r="O176" s="764">
        <v>0</v>
      </c>
      <c r="P176" s="764">
        <v>0</v>
      </c>
      <c r="Q176" s="764">
        <v>0</v>
      </c>
      <c r="R176" s="764">
        <v>0</v>
      </c>
      <c r="S176" s="764"/>
      <c r="T176" s="764"/>
      <c r="U176" s="764"/>
      <c r="V176" s="764"/>
      <c r="W176" s="764"/>
      <c r="X176" s="764"/>
      <c r="Y176" s="764"/>
      <c r="Z176" s="764"/>
      <c r="AA176" s="764">
        <f t="shared" si="5"/>
        <v>0</v>
      </c>
    </row>
    <row r="177" spans="1:27">
      <c r="A177" s="160">
        <v>1802</v>
      </c>
      <c r="B177" s="133">
        <v>103150</v>
      </c>
      <c r="C177" s="133" t="s">
        <v>884</v>
      </c>
      <c r="D177" s="133" t="s">
        <v>885</v>
      </c>
      <c r="E177" s="763" t="s">
        <v>534</v>
      </c>
      <c r="F177" s="763" t="s">
        <v>535</v>
      </c>
      <c r="G177" s="166" t="s">
        <v>955</v>
      </c>
      <c r="I177" s="764">
        <v>67293</v>
      </c>
      <c r="J177" s="764">
        <v>20329</v>
      </c>
      <c r="K177" s="764">
        <f t="shared" si="4"/>
        <v>87622</v>
      </c>
      <c r="M177" s="764"/>
      <c r="O177" s="764">
        <v>0</v>
      </c>
      <c r="P177" s="764">
        <v>0</v>
      </c>
      <c r="Q177" s="764">
        <v>0</v>
      </c>
      <c r="R177" s="764">
        <v>0</v>
      </c>
      <c r="S177" s="764"/>
      <c r="T177" s="764"/>
      <c r="U177" s="764"/>
      <c r="V177" s="764"/>
      <c r="W177" s="764"/>
      <c r="X177" s="764"/>
      <c r="Y177" s="764"/>
      <c r="Z177" s="764"/>
      <c r="AA177" s="764">
        <f t="shared" si="5"/>
        <v>0</v>
      </c>
    </row>
    <row r="178" spans="1:27">
      <c r="A178" s="160">
        <v>2079</v>
      </c>
      <c r="B178" s="133">
        <v>103200</v>
      </c>
      <c r="C178" s="133" t="s">
        <v>886</v>
      </c>
      <c r="D178" s="133" t="s">
        <v>887</v>
      </c>
      <c r="E178" s="763" t="s">
        <v>538</v>
      </c>
      <c r="F178" s="763" t="s">
        <v>535</v>
      </c>
      <c r="G178" s="166" t="s">
        <v>955</v>
      </c>
      <c r="I178" s="764">
        <v>33072.889999998559</v>
      </c>
      <c r="J178" s="764">
        <v>26473.19</v>
      </c>
      <c r="K178" s="764">
        <f t="shared" si="4"/>
        <v>59546.079999998561</v>
      </c>
      <c r="M178" s="764"/>
      <c r="O178" s="764">
        <v>0</v>
      </c>
      <c r="P178" s="764">
        <v>0</v>
      </c>
      <c r="Q178" s="764">
        <v>0</v>
      </c>
      <c r="R178" s="764">
        <v>0</v>
      </c>
      <c r="S178" s="764"/>
      <c r="T178" s="764"/>
      <c r="U178" s="764"/>
      <c r="V178" s="764"/>
      <c r="W178" s="764"/>
      <c r="X178" s="764"/>
      <c r="Y178" s="764"/>
      <c r="Z178" s="764"/>
      <c r="AA178" s="764">
        <f t="shared" si="5"/>
        <v>0</v>
      </c>
    </row>
    <row r="179" spans="1:27">
      <c r="A179" s="160">
        <v>2091</v>
      </c>
      <c r="B179" s="133">
        <v>103208</v>
      </c>
      <c r="C179" s="133" t="s">
        <v>888</v>
      </c>
      <c r="D179" s="133" t="s">
        <v>889</v>
      </c>
      <c r="E179" s="763" t="s">
        <v>538</v>
      </c>
      <c r="F179" s="763" t="s">
        <v>535</v>
      </c>
      <c r="G179" s="166" t="s">
        <v>955</v>
      </c>
      <c r="I179" s="764">
        <v>-649714.38999999873</v>
      </c>
      <c r="J179" s="764">
        <v>6098.13</v>
      </c>
      <c r="K179" s="764">
        <f t="shared" si="4"/>
        <v>-643616.25999999873</v>
      </c>
      <c r="M179" s="764"/>
      <c r="O179" s="764">
        <v>0</v>
      </c>
      <c r="P179" s="764">
        <v>0</v>
      </c>
      <c r="Q179" s="764">
        <v>0</v>
      </c>
      <c r="R179" s="764">
        <v>0</v>
      </c>
      <c r="S179" s="764"/>
      <c r="T179" s="764"/>
      <c r="U179" s="764"/>
      <c r="V179" s="764"/>
      <c r="W179" s="764"/>
      <c r="X179" s="764"/>
      <c r="Y179" s="764"/>
      <c r="Z179" s="764"/>
      <c r="AA179" s="764">
        <f t="shared" si="5"/>
        <v>0</v>
      </c>
    </row>
    <row r="180" spans="1:27">
      <c r="A180" s="160">
        <v>2477</v>
      </c>
      <c r="B180" s="133">
        <v>132261</v>
      </c>
      <c r="C180" s="133" t="s">
        <v>890</v>
      </c>
      <c r="D180" s="133" t="s">
        <v>891</v>
      </c>
      <c r="E180" s="763" t="s">
        <v>538</v>
      </c>
      <c r="F180" s="763" t="s">
        <v>535</v>
      </c>
      <c r="G180" s="166" t="s">
        <v>955</v>
      </c>
      <c r="I180" s="764">
        <v>-501301.39000000671</v>
      </c>
      <c r="J180" s="764">
        <v>45835.49</v>
      </c>
      <c r="K180" s="764">
        <f t="shared" si="4"/>
        <v>-455465.90000000672</v>
      </c>
      <c r="M180" s="764"/>
      <c r="O180" s="764">
        <v>0</v>
      </c>
      <c r="P180" s="764">
        <v>0</v>
      </c>
      <c r="Q180" s="764">
        <v>0</v>
      </c>
      <c r="R180" s="764">
        <v>0</v>
      </c>
      <c r="S180" s="764"/>
      <c r="T180" s="764"/>
      <c r="U180" s="764"/>
      <c r="V180" s="764"/>
      <c r="W180" s="764"/>
      <c r="X180" s="764"/>
      <c r="Y180" s="764"/>
      <c r="Z180" s="764"/>
      <c r="AA180" s="764">
        <f t="shared" si="5"/>
        <v>0</v>
      </c>
    </row>
    <row r="181" spans="1:27">
      <c r="A181" s="160">
        <v>3436</v>
      </c>
      <c r="B181" s="133">
        <v>136440</v>
      </c>
      <c r="C181" s="133" t="s">
        <v>892</v>
      </c>
      <c r="D181" s="133" t="s">
        <v>893</v>
      </c>
      <c r="E181" s="763" t="s">
        <v>538</v>
      </c>
      <c r="F181" s="763" t="s">
        <v>535</v>
      </c>
      <c r="G181" s="166" t="s">
        <v>955</v>
      </c>
      <c r="I181" s="764">
        <v>-613836.30000000005</v>
      </c>
      <c r="J181" s="764">
        <v>0</v>
      </c>
      <c r="K181" s="764">
        <f t="shared" si="4"/>
        <v>-613836.30000000005</v>
      </c>
      <c r="M181" s="764"/>
      <c r="O181" s="764">
        <v>0</v>
      </c>
      <c r="P181" s="764">
        <v>0</v>
      </c>
      <c r="Q181" s="764">
        <v>0</v>
      </c>
      <c r="R181" s="764">
        <v>0</v>
      </c>
      <c r="S181" s="764"/>
      <c r="T181" s="764"/>
      <c r="U181" s="764"/>
      <c r="V181" s="764"/>
      <c r="W181" s="764"/>
      <c r="X181" s="764"/>
      <c r="Y181" s="764"/>
      <c r="Z181" s="764"/>
      <c r="AA181" s="764">
        <f t="shared" si="5"/>
        <v>0</v>
      </c>
    </row>
    <row r="182" spans="1:27">
      <c r="A182" s="160">
        <v>2474</v>
      </c>
      <c r="B182" s="133">
        <v>131672</v>
      </c>
      <c r="C182" s="133" t="s">
        <v>894</v>
      </c>
      <c r="D182" s="133" t="s">
        <v>895</v>
      </c>
      <c r="E182" s="763" t="s">
        <v>538</v>
      </c>
      <c r="F182" s="763" t="s">
        <v>535</v>
      </c>
      <c r="G182" s="166" t="s">
        <v>955</v>
      </c>
      <c r="I182" s="764">
        <v>-12990.549999999334</v>
      </c>
      <c r="J182" s="764">
        <v>29847.75</v>
      </c>
      <c r="K182" s="764">
        <f t="shared" si="4"/>
        <v>16857.200000000666</v>
      </c>
      <c r="M182" s="764"/>
      <c r="O182" s="764">
        <v>0</v>
      </c>
      <c r="P182" s="764">
        <v>0</v>
      </c>
      <c r="Q182" s="764">
        <v>0</v>
      </c>
      <c r="R182" s="764">
        <v>0</v>
      </c>
      <c r="S182" s="764"/>
      <c r="T182" s="764"/>
      <c r="U182" s="764"/>
      <c r="V182" s="764"/>
      <c r="W182" s="764"/>
      <c r="X182" s="764"/>
      <c r="Y182" s="764"/>
      <c r="Z182" s="764"/>
      <c r="AA182" s="764">
        <f t="shared" si="5"/>
        <v>0</v>
      </c>
    </row>
    <row r="183" spans="1:27">
      <c r="A183" s="160">
        <v>3352</v>
      </c>
      <c r="B183" s="133">
        <v>103444</v>
      </c>
      <c r="C183" s="133" t="s">
        <v>896</v>
      </c>
      <c r="D183" s="133" t="s">
        <v>897</v>
      </c>
      <c r="E183" s="763" t="s">
        <v>538</v>
      </c>
      <c r="F183" s="763" t="s">
        <v>535</v>
      </c>
      <c r="G183" s="166" t="s">
        <v>955</v>
      </c>
      <c r="I183" s="764">
        <v>-141676.62000000064</v>
      </c>
      <c r="J183" s="764">
        <v>0</v>
      </c>
      <c r="K183" s="764">
        <f t="shared" si="4"/>
        <v>-141676.62000000064</v>
      </c>
      <c r="M183" s="764"/>
      <c r="O183" s="764">
        <v>0</v>
      </c>
      <c r="P183" s="764">
        <v>0</v>
      </c>
      <c r="Q183" s="764">
        <v>0</v>
      </c>
      <c r="R183" s="764">
        <v>0</v>
      </c>
      <c r="S183" s="764"/>
      <c r="T183" s="764"/>
      <c r="U183" s="764"/>
      <c r="V183" s="764"/>
      <c r="W183" s="764"/>
      <c r="X183" s="764"/>
      <c r="Y183" s="764"/>
      <c r="Z183" s="764"/>
      <c r="AA183" s="764">
        <f t="shared" si="5"/>
        <v>0</v>
      </c>
    </row>
    <row r="184" spans="1:27">
      <c r="A184" s="160">
        <v>2005</v>
      </c>
      <c r="B184" s="133">
        <v>134098</v>
      </c>
      <c r="C184" s="133" t="s">
        <v>898</v>
      </c>
      <c r="D184" s="133" t="s">
        <v>899</v>
      </c>
      <c r="E184" s="763" t="s">
        <v>538</v>
      </c>
      <c r="F184" s="763" t="s">
        <v>535</v>
      </c>
      <c r="G184" s="166" t="s">
        <v>955</v>
      </c>
      <c r="I184" s="764">
        <v>75644.140000003565</v>
      </c>
      <c r="J184" s="764">
        <v>0</v>
      </c>
      <c r="K184" s="764">
        <f t="shared" si="4"/>
        <v>75644.140000003565</v>
      </c>
      <c r="M184" s="764"/>
      <c r="O184" s="764">
        <v>0</v>
      </c>
      <c r="P184" s="764">
        <v>0</v>
      </c>
      <c r="Q184" s="764">
        <v>0</v>
      </c>
      <c r="R184" s="764">
        <v>0</v>
      </c>
      <c r="S184" s="764"/>
      <c r="T184" s="764"/>
      <c r="U184" s="764"/>
      <c r="V184" s="764"/>
      <c r="W184" s="764"/>
      <c r="X184" s="764"/>
      <c r="Y184" s="764"/>
      <c r="Z184" s="764"/>
      <c r="AA184" s="764">
        <f t="shared" si="5"/>
        <v>0</v>
      </c>
    </row>
    <row r="185" spans="1:27">
      <c r="A185" s="160">
        <v>1024</v>
      </c>
      <c r="B185" s="133">
        <v>103137</v>
      </c>
      <c r="C185" s="133" t="s">
        <v>900</v>
      </c>
      <c r="D185" s="133" t="s">
        <v>901</v>
      </c>
      <c r="E185" s="763" t="s">
        <v>534</v>
      </c>
      <c r="F185" s="763" t="s">
        <v>535</v>
      </c>
      <c r="G185" s="166" t="s">
        <v>954</v>
      </c>
      <c r="I185" s="764">
        <v>-494440.36</v>
      </c>
      <c r="J185" s="764">
        <v>17941</v>
      </c>
      <c r="K185" s="764">
        <f>I185+J185</f>
        <v>-476499.36</v>
      </c>
      <c r="M185" s="764">
        <f>K185</f>
        <v>-476499.36</v>
      </c>
      <c r="O185" s="764">
        <v>0</v>
      </c>
      <c r="P185" s="765">
        <v>219979.31057691597</v>
      </c>
      <c r="Q185" s="764">
        <v>86867</v>
      </c>
      <c r="R185" s="764">
        <v>0</v>
      </c>
      <c r="S185" s="764"/>
      <c r="T185" s="764"/>
      <c r="U185" s="764"/>
      <c r="V185" s="764"/>
      <c r="W185" s="764"/>
      <c r="X185" s="764"/>
      <c r="Y185" s="764"/>
      <c r="Z185" s="764"/>
      <c r="AA185" s="764">
        <f t="shared" si="5"/>
        <v>783345.67057691596</v>
      </c>
    </row>
    <row r="186" spans="1:27">
      <c r="A186" s="160">
        <v>2004</v>
      </c>
      <c r="B186" s="133">
        <v>134094</v>
      </c>
      <c r="C186" s="133" t="s">
        <v>902</v>
      </c>
      <c r="D186" s="133" t="s">
        <v>903</v>
      </c>
      <c r="E186" s="763" t="s">
        <v>538</v>
      </c>
      <c r="F186" s="763" t="s">
        <v>535</v>
      </c>
      <c r="G186" s="166" t="s">
        <v>955</v>
      </c>
      <c r="I186" s="764">
        <v>-61147.049999999785</v>
      </c>
      <c r="J186" s="764">
        <v>39010.620000000003</v>
      </c>
      <c r="K186" s="764">
        <f t="shared" ref="K186:K205" si="6">I186+J186</f>
        <v>-22136.429999999782</v>
      </c>
      <c r="M186" s="764"/>
      <c r="O186" s="764">
        <v>0</v>
      </c>
      <c r="P186" s="764">
        <v>0</v>
      </c>
      <c r="Q186" s="764">
        <v>0</v>
      </c>
      <c r="R186" s="764">
        <v>0</v>
      </c>
      <c r="S186" s="764"/>
      <c r="T186" s="764"/>
      <c r="U186" s="764"/>
      <c r="V186" s="764"/>
      <c r="W186" s="764"/>
      <c r="X186" s="764"/>
      <c r="Y186" s="764"/>
      <c r="Z186" s="764"/>
      <c r="AA186" s="764">
        <f t="shared" si="5"/>
        <v>0</v>
      </c>
    </row>
    <row r="187" spans="1:27">
      <c r="A187" s="160">
        <v>3431</v>
      </c>
      <c r="B187" s="133">
        <v>134774</v>
      </c>
      <c r="C187" s="133" t="s">
        <v>904</v>
      </c>
      <c r="D187" s="133" t="s">
        <v>905</v>
      </c>
      <c r="E187" s="763" t="s">
        <v>538</v>
      </c>
      <c r="F187" s="763" t="s">
        <v>535</v>
      </c>
      <c r="G187" s="166" t="s">
        <v>955</v>
      </c>
      <c r="I187" s="764">
        <v>-236637.06000000759</v>
      </c>
      <c r="J187" s="764">
        <v>30867.37</v>
      </c>
      <c r="K187" s="764">
        <f t="shared" si="6"/>
        <v>-205769.6900000076</v>
      </c>
      <c r="M187" s="764"/>
      <c r="O187" s="764">
        <v>0</v>
      </c>
      <c r="P187" s="764">
        <v>0</v>
      </c>
      <c r="Q187" s="764">
        <v>0</v>
      </c>
      <c r="R187" s="764">
        <v>0</v>
      </c>
      <c r="S187" s="764"/>
      <c r="T187" s="764"/>
      <c r="U187" s="764"/>
      <c r="V187" s="764"/>
      <c r="W187" s="764"/>
      <c r="X187" s="764"/>
      <c r="Y187" s="764"/>
      <c r="Z187" s="764"/>
      <c r="AA187" s="764">
        <f t="shared" si="5"/>
        <v>0</v>
      </c>
    </row>
    <row r="188" spans="1:27">
      <c r="A188" s="160">
        <v>1028</v>
      </c>
      <c r="B188" s="133">
        <v>103141</v>
      </c>
      <c r="C188" s="133" t="s">
        <v>906</v>
      </c>
      <c r="D188" s="133" t="s">
        <v>907</v>
      </c>
      <c r="E188" s="763" t="s">
        <v>534</v>
      </c>
      <c r="F188" s="763" t="s">
        <v>535</v>
      </c>
      <c r="G188" s="166" t="s">
        <v>954</v>
      </c>
      <c r="I188" s="764">
        <v>-107490.8114867999</v>
      </c>
      <c r="J188" s="764">
        <v>147.75</v>
      </c>
      <c r="K188" s="764">
        <f t="shared" si="6"/>
        <v>-107343.0614867999</v>
      </c>
      <c r="M188" s="764"/>
      <c r="O188" s="764">
        <v>0</v>
      </c>
      <c r="P188" s="764">
        <v>0</v>
      </c>
      <c r="Q188" s="765">
        <v>107490.81</v>
      </c>
      <c r="R188" s="764">
        <v>0</v>
      </c>
      <c r="S188" s="764"/>
      <c r="T188" s="764"/>
      <c r="U188" s="764"/>
      <c r="V188" s="764"/>
      <c r="W188" s="764"/>
      <c r="X188" s="764"/>
      <c r="Y188" s="764"/>
      <c r="Z188" s="764"/>
      <c r="AA188" s="764">
        <f>(-M188)+SUM(O188:Z188)</f>
        <v>107490.81</v>
      </c>
    </row>
    <row r="189" spans="1:27">
      <c r="A189" s="160">
        <v>2150</v>
      </c>
      <c r="B189" s="133">
        <v>103241</v>
      </c>
      <c r="C189" s="133" t="s">
        <v>908</v>
      </c>
      <c r="D189" s="133" t="s">
        <v>909</v>
      </c>
      <c r="E189" s="763" t="s">
        <v>538</v>
      </c>
      <c r="F189" s="763" t="s">
        <v>535</v>
      </c>
      <c r="G189" s="166" t="s">
        <v>955</v>
      </c>
      <c r="I189" s="764">
        <v>-591807.22999999952</v>
      </c>
      <c r="J189" s="764">
        <v>46591.109999999993</v>
      </c>
      <c r="K189" s="764">
        <f t="shared" si="6"/>
        <v>-545216.11999999953</v>
      </c>
      <c r="M189" s="764"/>
      <c r="O189" s="764">
        <v>0</v>
      </c>
      <c r="P189" s="764">
        <v>0</v>
      </c>
      <c r="Q189" s="764">
        <v>0</v>
      </c>
      <c r="R189" s="764">
        <v>0</v>
      </c>
      <c r="S189" s="764"/>
      <c r="T189" s="764"/>
      <c r="U189" s="764"/>
      <c r="V189" s="764"/>
      <c r="W189" s="764"/>
      <c r="X189" s="764"/>
      <c r="Y189" s="764"/>
      <c r="Z189" s="764"/>
      <c r="AA189" s="764">
        <f t="shared" si="5"/>
        <v>0</v>
      </c>
    </row>
    <row r="190" spans="1:27">
      <c r="A190" s="160">
        <v>2425</v>
      </c>
      <c r="B190" s="133">
        <v>103356</v>
      </c>
      <c r="C190" s="133" t="s">
        <v>910</v>
      </c>
      <c r="D190" s="133" t="s">
        <v>911</v>
      </c>
      <c r="E190" s="763" t="s">
        <v>538</v>
      </c>
      <c r="F190" s="763" t="s">
        <v>535</v>
      </c>
      <c r="G190" s="166" t="s">
        <v>955</v>
      </c>
      <c r="I190" s="764">
        <v>-222996.50999999867</v>
      </c>
      <c r="J190" s="764">
        <v>22306.16</v>
      </c>
      <c r="K190" s="764">
        <f t="shared" si="6"/>
        <v>-200690.34999999867</v>
      </c>
      <c r="M190" s="764"/>
      <c r="O190" s="764">
        <v>0</v>
      </c>
      <c r="P190" s="764">
        <v>0</v>
      </c>
      <c r="Q190" s="764">
        <v>0</v>
      </c>
      <c r="R190" s="764">
        <v>0</v>
      </c>
      <c r="S190" s="764"/>
      <c r="T190" s="764"/>
      <c r="U190" s="764"/>
      <c r="V190" s="764"/>
      <c r="W190" s="764"/>
      <c r="X190" s="764"/>
      <c r="Y190" s="764"/>
      <c r="Z190" s="764"/>
      <c r="AA190" s="764">
        <f t="shared" si="5"/>
        <v>0</v>
      </c>
    </row>
    <row r="191" spans="1:27">
      <c r="A191" s="160">
        <v>7034</v>
      </c>
      <c r="B191" s="133">
        <v>103614</v>
      </c>
      <c r="C191" s="133" t="s">
        <v>912</v>
      </c>
      <c r="D191" s="133" t="s">
        <v>913</v>
      </c>
      <c r="E191" s="763" t="s">
        <v>553</v>
      </c>
      <c r="F191" s="763" t="s">
        <v>535</v>
      </c>
      <c r="G191" s="166" t="s">
        <v>955</v>
      </c>
      <c r="I191" s="764">
        <v>440479.65000000084</v>
      </c>
      <c r="J191" s="764">
        <v>12376.739999999998</v>
      </c>
      <c r="K191" s="764">
        <f t="shared" si="6"/>
        <v>452856.39000000083</v>
      </c>
      <c r="M191" s="764"/>
      <c r="O191" s="764">
        <v>0</v>
      </c>
      <c r="P191" s="764">
        <v>0</v>
      </c>
      <c r="Q191" s="764">
        <v>0</v>
      </c>
      <c r="R191" s="764">
        <v>0</v>
      </c>
      <c r="S191" s="764"/>
      <c r="T191" s="764"/>
      <c r="U191" s="764"/>
      <c r="V191" s="764"/>
      <c r="W191" s="764"/>
      <c r="X191" s="764"/>
      <c r="Y191" s="764"/>
      <c r="Z191" s="764"/>
      <c r="AA191" s="764">
        <f t="shared" si="5"/>
        <v>0</v>
      </c>
    </row>
    <row r="192" spans="1:27">
      <c r="A192" s="160">
        <v>2157</v>
      </c>
      <c r="B192" s="133">
        <v>103246</v>
      </c>
      <c r="C192" s="133" t="s">
        <v>914</v>
      </c>
      <c r="D192" s="133" t="s">
        <v>915</v>
      </c>
      <c r="E192" s="763" t="s">
        <v>538</v>
      </c>
      <c r="F192" s="763" t="s">
        <v>535</v>
      </c>
      <c r="G192" s="166" t="s">
        <v>955</v>
      </c>
      <c r="I192" s="764">
        <v>-404556.43000000017</v>
      </c>
      <c r="J192" s="764">
        <v>8713.75</v>
      </c>
      <c r="K192" s="764">
        <f t="shared" si="6"/>
        <v>-395842.68000000017</v>
      </c>
      <c r="M192" s="764"/>
      <c r="O192" s="764">
        <v>0</v>
      </c>
      <c r="P192" s="764">
        <v>0</v>
      </c>
      <c r="Q192" s="764">
        <v>0</v>
      </c>
      <c r="R192" s="764">
        <v>0</v>
      </c>
      <c r="S192" s="764"/>
      <c r="T192" s="764"/>
      <c r="U192" s="764"/>
      <c r="V192" s="764"/>
      <c r="W192" s="764"/>
      <c r="X192" s="764"/>
      <c r="Y192" s="764"/>
      <c r="Z192" s="764"/>
      <c r="AA192" s="764">
        <f t="shared" si="5"/>
        <v>0</v>
      </c>
    </row>
    <row r="193" spans="1:27">
      <c r="A193" s="160">
        <v>1000</v>
      </c>
      <c r="B193" s="133">
        <v>137796</v>
      </c>
      <c r="C193" s="133" t="s">
        <v>916</v>
      </c>
      <c r="D193" s="133" t="s">
        <v>917</v>
      </c>
      <c r="E193" s="763" t="s">
        <v>534</v>
      </c>
      <c r="F193" s="763" t="s">
        <v>535</v>
      </c>
      <c r="G193" s="166" t="s">
        <v>954</v>
      </c>
      <c r="I193" s="764">
        <v>47207.109999999811</v>
      </c>
      <c r="J193" s="764">
        <v>10140.75</v>
      </c>
      <c r="K193" s="764">
        <f t="shared" si="6"/>
        <v>57347.859999999811</v>
      </c>
      <c r="M193" s="764"/>
      <c r="O193" s="764">
        <v>0</v>
      </c>
      <c r="P193" s="764">
        <v>0</v>
      </c>
      <c r="Q193" s="764">
        <v>0</v>
      </c>
      <c r="R193" s="764">
        <v>0</v>
      </c>
      <c r="S193" s="764"/>
      <c r="T193" s="764"/>
      <c r="U193" s="764"/>
      <c r="V193" s="764"/>
      <c r="W193" s="764"/>
      <c r="X193" s="764"/>
      <c r="Y193" s="764">
        <v>60000</v>
      </c>
      <c r="Z193" s="764"/>
      <c r="AA193" s="764">
        <f t="shared" si="5"/>
        <v>60000</v>
      </c>
    </row>
    <row r="194" spans="1:27">
      <c r="A194" s="160">
        <v>3329</v>
      </c>
      <c r="B194" s="133">
        <v>103431</v>
      </c>
      <c r="C194" s="133" t="s">
        <v>918</v>
      </c>
      <c r="D194" s="133" t="s">
        <v>919</v>
      </c>
      <c r="E194" s="763" t="s">
        <v>538</v>
      </c>
      <c r="F194" s="763" t="s">
        <v>958</v>
      </c>
      <c r="G194" s="166" t="s">
        <v>583</v>
      </c>
      <c r="I194" s="764">
        <v>66913.609999999491</v>
      </c>
      <c r="J194" s="764">
        <v>0</v>
      </c>
      <c r="K194" s="764">
        <f t="shared" si="6"/>
        <v>66913.609999999491</v>
      </c>
      <c r="M194" s="764"/>
      <c r="O194" s="764">
        <v>0</v>
      </c>
      <c r="P194" s="764">
        <v>0</v>
      </c>
      <c r="Q194" s="764">
        <v>0</v>
      </c>
      <c r="R194" s="764">
        <v>0</v>
      </c>
      <c r="S194" s="764"/>
      <c r="T194" s="764"/>
      <c r="U194" s="764"/>
      <c r="V194" s="764"/>
      <c r="W194" s="764"/>
      <c r="X194" s="764"/>
      <c r="Y194" s="764"/>
      <c r="Z194" s="764"/>
      <c r="AA194" s="764">
        <f t="shared" si="5"/>
        <v>0</v>
      </c>
    </row>
    <row r="195" spans="1:27">
      <c r="A195" s="160">
        <v>3406</v>
      </c>
      <c r="B195" s="133">
        <v>103476</v>
      </c>
      <c r="C195" s="133" t="s">
        <v>920</v>
      </c>
      <c r="D195" s="133" t="s">
        <v>921</v>
      </c>
      <c r="E195" s="763" t="s">
        <v>538</v>
      </c>
      <c r="F195" s="763" t="s">
        <v>958</v>
      </c>
      <c r="G195" s="166" t="s">
        <v>583</v>
      </c>
      <c r="I195" s="764">
        <v>270476.17000000202</v>
      </c>
      <c r="J195" s="764">
        <v>0</v>
      </c>
      <c r="K195" s="764">
        <f t="shared" si="6"/>
        <v>270476.17000000202</v>
      </c>
      <c r="M195" s="764"/>
      <c r="O195" s="764">
        <v>0</v>
      </c>
      <c r="P195" s="764">
        <v>0</v>
      </c>
      <c r="Q195" s="764">
        <v>0</v>
      </c>
      <c r="R195" s="764">
        <v>0</v>
      </c>
      <c r="S195" s="764"/>
      <c r="T195" s="764"/>
      <c r="U195" s="764"/>
      <c r="V195" s="764"/>
      <c r="W195" s="764"/>
      <c r="X195" s="764"/>
      <c r="Y195" s="764"/>
      <c r="Z195" s="764"/>
      <c r="AA195" s="764">
        <f t="shared" si="5"/>
        <v>0</v>
      </c>
    </row>
    <row r="196" spans="1:27">
      <c r="A196" s="160">
        <v>3342</v>
      </c>
      <c r="B196" s="133">
        <v>103437</v>
      </c>
      <c r="C196" s="133" t="s">
        <v>922</v>
      </c>
      <c r="D196" s="133" t="s">
        <v>923</v>
      </c>
      <c r="E196" s="763" t="s">
        <v>538</v>
      </c>
      <c r="F196" s="763" t="s">
        <v>958</v>
      </c>
      <c r="G196" s="166" t="s">
        <v>583</v>
      </c>
      <c r="I196" s="764">
        <v>521227.93000000052</v>
      </c>
      <c r="J196" s="764">
        <v>0</v>
      </c>
      <c r="K196" s="764">
        <f t="shared" si="6"/>
        <v>521227.93000000052</v>
      </c>
      <c r="M196" s="764"/>
      <c r="O196" s="764">
        <v>0</v>
      </c>
      <c r="P196" s="764">
        <v>0</v>
      </c>
      <c r="Q196" s="764">
        <v>0</v>
      </c>
      <c r="R196" s="764">
        <v>0</v>
      </c>
      <c r="S196" s="764"/>
      <c r="T196" s="764"/>
      <c r="U196" s="764"/>
      <c r="V196" s="764"/>
      <c r="W196" s="764"/>
      <c r="X196" s="764"/>
      <c r="Y196" s="764"/>
      <c r="Z196" s="764"/>
      <c r="AA196" s="764">
        <f t="shared" si="5"/>
        <v>0</v>
      </c>
    </row>
    <row r="197" spans="1:27">
      <c r="A197" s="160">
        <v>3382</v>
      </c>
      <c r="B197" s="133">
        <v>103467</v>
      </c>
      <c r="C197" s="133" t="s">
        <v>924</v>
      </c>
      <c r="D197" s="133" t="s">
        <v>925</v>
      </c>
      <c r="E197" s="763" t="s">
        <v>538</v>
      </c>
      <c r="F197" s="763" t="s">
        <v>535</v>
      </c>
      <c r="G197" s="166" t="s">
        <v>954</v>
      </c>
      <c r="I197" s="764">
        <v>40897.279999999417</v>
      </c>
      <c r="J197" s="764">
        <v>0</v>
      </c>
      <c r="K197" s="764">
        <f t="shared" si="6"/>
        <v>40897.279999999417</v>
      </c>
      <c r="M197" s="764"/>
      <c r="O197" s="764">
        <v>0</v>
      </c>
      <c r="P197" s="764">
        <v>0</v>
      </c>
      <c r="Q197" s="764">
        <v>0</v>
      </c>
      <c r="R197" s="764">
        <v>0</v>
      </c>
      <c r="S197" s="764"/>
      <c r="T197" s="764"/>
      <c r="U197" s="764"/>
      <c r="V197" s="764"/>
      <c r="W197" s="764"/>
      <c r="X197" s="764"/>
      <c r="Y197" s="764"/>
      <c r="Z197" s="764"/>
      <c r="AA197" s="764">
        <f t="shared" si="5"/>
        <v>0</v>
      </c>
    </row>
    <row r="198" spans="1:27">
      <c r="A198" s="160">
        <v>3346</v>
      </c>
      <c r="B198" s="133">
        <v>103439</v>
      </c>
      <c r="C198" s="133" t="s">
        <v>926</v>
      </c>
      <c r="D198" s="133" t="s">
        <v>927</v>
      </c>
      <c r="E198" s="763" t="s">
        <v>538</v>
      </c>
      <c r="F198" s="763" t="s">
        <v>535</v>
      </c>
      <c r="G198" s="166" t="s">
        <v>955</v>
      </c>
      <c r="I198" s="764">
        <v>-714428.92443226802</v>
      </c>
      <c r="J198" s="764">
        <v>0</v>
      </c>
      <c r="K198" s="764">
        <f t="shared" si="6"/>
        <v>-714428.92443226802</v>
      </c>
      <c r="M198" s="764"/>
      <c r="O198" s="764">
        <v>0</v>
      </c>
      <c r="P198" s="764">
        <v>0</v>
      </c>
      <c r="Q198" s="764">
        <v>0</v>
      </c>
      <c r="R198" s="764">
        <v>0</v>
      </c>
      <c r="S198" s="764"/>
      <c r="T198" s="764"/>
      <c r="U198" s="764"/>
      <c r="V198" s="764"/>
      <c r="W198" s="764"/>
      <c r="X198" s="764"/>
      <c r="Y198" s="764"/>
      <c r="Z198" s="764"/>
      <c r="AA198" s="764">
        <f t="shared" ref="AA198:AA204" si="7">(-M198)+SUM(O198:Z198)</f>
        <v>0</v>
      </c>
    </row>
    <row r="199" spans="1:27">
      <c r="A199" s="160">
        <v>3365</v>
      </c>
      <c r="B199" s="133">
        <v>103456</v>
      </c>
      <c r="C199" s="133" t="s">
        <v>928</v>
      </c>
      <c r="D199" s="133" t="s">
        <v>929</v>
      </c>
      <c r="E199" s="763" t="s">
        <v>538</v>
      </c>
      <c r="F199" s="763" t="s">
        <v>958</v>
      </c>
      <c r="G199" s="166" t="s">
        <v>583</v>
      </c>
      <c r="I199" s="764">
        <v>8204.4899999999907</v>
      </c>
      <c r="J199" s="764">
        <v>0</v>
      </c>
      <c r="K199" s="764">
        <f t="shared" si="6"/>
        <v>8204.4899999999907</v>
      </c>
      <c r="M199" s="764"/>
      <c r="O199" s="764">
        <v>0</v>
      </c>
      <c r="P199" s="764">
        <v>0</v>
      </c>
      <c r="Q199" s="764">
        <v>0</v>
      </c>
      <c r="R199" s="764">
        <v>0</v>
      </c>
      <c r="S199" s="764"/>
      <c r="T199" s="764"/>
      <c r="U199" s="764"/>
      <c r="V199" s="764"/>
      <c r="W199" s="764"/>
      <c r="X199" s="764"/>
      <c r="Y199" s="764"/>
      <c r="Z199" s="764"/>
      <c r="AA199" s="764">
        <f t="shared" si="7"/>
        <v>0</v>
      </c>
    </row>
    <row r="200" spans="1:27">
      <c r="A200" s="160">
        <v>1009</v>
      </c>
      <c r="B200" s="133">
        <v>103124</v>
      </c>
      <c r="C200" s="133" t="s">
        <v>930</v>
      </c>
      <c r="D200" s="133" t="s">
        <v>931</v>
      </c>
      <c r="E200" s="763" t="s">
        <v>534</v>
      </c>
      <c r="F200" s="763" t="s">
        <v>535</v>
      </c>
      <c r="G200" s="166" t="s">
        <v>954</v>
      </c>
      <c r="I200" s="764">
        <v>-1348493.9999999998</v>
      </c>
      <c r="J200" s="764">
        <v>50214.05</v>
      </c>
      <c r="K200" s="764">
        <f t="shared" si="6"/>
        <v>-1298279.9499999997</v>
      </c>
      <c r="M200" s="764">
        <f>K200</f>
        <v>-1298279.9499999997</v>
      </c>
      <c r="O200" s="764">
        <v>0</v>
      </c>
      <c r="P200" s="765">
        <v>299542.21308482258</v>
      </c>
      <c r="Q200" s="764">
        <v>0</v>
      </c>
      <c r="R200" s="764">
        <v>0</v>
      </c>
      <c r="S200" s="764"/>
      <c r="T200" s="764"/>
      <c r="U200" s="764"/>
      <c r="V200" s="764"/>
      <c r="W200" s="764"/>
      <c r="X200" s="764"/>
      <c r="Y200" s="764"/>
      <c r="Z200" s="764"/>
      <c r="AA200" s="764">
        <f t="shared" si="7"/>
        <v>1597822.1630848222</v>
      </c>
    </row>
    <row r="201" spans="1:27">
      <c r="A201" s="160">
        <v>3310</v>
      </c>
      <c r="B201" s="133">
        <v>103417</v>
      </c>
      <c r="C201" s="133" t="s">
        <v>932</v>
      </c>
      <c r="D201" s="133" t="s">
        <v>933</v>
      </c>
      <c r="E201" s="763" t="s">
        <v>538</v>
      </c>
      <c r="F201" s="763" t="s">
        <v>958</v>
      </c>
      <c r="G201" s="166" t="s">
        <v>583</v>
      </c>
      <c r="I201" s="764">
        <v>-38202.860000000044</v>
      </c>
      <c r="J201" s="764">
        <v>0</v>
      </c>
      <c r="K201" s="764">
        <f t="shared" si="6"/>
        <v>-38202.860000000044</v>
      </c>
      <c r="M201" s="764"/>
      <c r="O201" s="764">
        <v>0</v>
      </c>
      <c r="P201" s="764">
        <v>0</v>
      </c>
      <c r="Q201" s="764">
        <v>0</v>
      </c>
      <c r="R201" s="764">
        <v>0</v>
      </c>
      <c r="S201" s="764"/>
      <c r="T201" s="764"/>
      <c r="U201" s="764"/>
      <c r="V201" s="764"/>
      <c r="W201" s="764"/>
      <c r="X201" s="764"/>
      <c r="Y201" s="764"/>
      <c r="Z201" s="764"/>
      <c r="AA201" s="764">
        <f t="shared" si="7"/>
        <v>0</v>
      </c>
    </row>
    <row r="202" spans="1:27">
      <c r="A202" s="160">
        <v>2246</v>
      </c>
      <c r="B202" s="133">
        <v>103296</v>
      </c>
      <c r="C202" s="133" t="s">
        <v>934</v>
      </c>
      <c r="D202" s="133" t="s">
        <v>935</v>
      </c>
      <c r="E202" s="763" t="s">
        <v>538</v>
      </c>
      <c r="F202" s="763" t="s">
        <v>583</v>
      </c>
      <c r="G202" s="166" t="s">
        <v>583</v>
      </c>
      <c r="I202" s="764">
        <v>314045</v>
      </c>
      <c r="J202" s="764">
        <v>15601</v>
      </c>
      <c r="K202" s="764">
        <f t="shared" si="6"/>
        <v>329646</v>
      </c>
      <c r="M202" s="764"/>
      <c r="O202" s="764">
        <v>0</v>
      </c>
      <c r="P202" s="764">
        <v>0</v>
      </c>
      <c r="Q202" s="764">
        <v>0</v>
      </c>
      <c r="R202" s="764">
        <v>0</v>
      </c>
      <c r="S202" s="764"/>
      <c r="T202" s="764"/>
      <c r="U202" s="764"/>
      <c r="V202" s="764"/>
      <c r="W202" s="764"/>
      <c r="X202" s="764"/>
      <c r="Y202" s="764"/>
      <c r="Z202" s="764"/>
      <c r="AA202" s="764">
        <f t="shared" si="7"/>
        <v>0</v>
      </c>
    </row>
    <row r="203" spans="1:27">
      <c r="A203" s="160">
        <v>1020</v>
      </c>
      <c r="B203" s="133">
        <v>103133</v>
      </c>
      <c r="C203" s="133" t="s">
        <v>936</v>
      </c>
      <c r="D203" s="133" t="s">
        <v>937</v>
      </c>
      <c r="E203" s="763" t="s">
        <v>534</v>
      </c>
      <c r="F203" s="763" t="s">
        <v>535</v>
      </c>
      <c r="G203" s="166" t="s">
        <v>955</v>
      </c>
      <c r="I203" s="764">
        <v>-213139.79000000103</v>
      </c>
      <c r="J203" s="764">
        <v>51725.5</v>
      </c>
      <c r="K203" s="764">
        <f t="shared" si="6"/>
        <v>-161414.29000000103</v>
      </c>
      <c r="M203" s="764"/>
      <c r="O203" s="764">
        <v>0</v>
      </c>
      <c r="P203" s="764">
        <v>0</v>
      </c>
      <c r="Q203" s="764">
        <v>0</v>
      </c>
      <c r="R203" s="764">
        <v>0</v>
      </c>
      <c r="S203" s="764"/>
      <c r="T203" s="764"/>
      <c r="U203" s="764"/>
      <c r="V203" s="764"/>
      <c r="W203" s="764"/>
      <c r="X203" s="764"/>
      <c r="Y203" s="764"/>
      <c r="Z203" s="764"/>
      <c r="AA203" s="764">
        <f t="shared" si="7"/>
        <v>0</v>
      </c>
    </row>
    <row r="204" spans="1:27">
      <c r="A204" s="160">
        <v>2019</v>
      </c>
      <c r="B204" s="133">
        <v>134279</v>
      </c>
      <c r="C204" s="133" t="s">
        <v>938</v>
      </c>
      <c r="D204" s="133" t="s">
        <v>939</v>
      </c>
      <c r="E204" s="763" t="s">
        <v>538</v>
      </c>
      <c r="F204" s="763" t="s">
        <v>535</v>
      </c>
      <c r="G204" s="166" t="s">
        <v>955</v>
      </c>
      <c r="I204" s="764">
        <v>123178.30999999872</v>
      </c>
      <c r="J204" s="764">
        <v>30887.72</v>
      </c>
      <c r="K204" s="764">
        <f t="shared" si="6"/>
        <v>154066.02999999872</v>
      </c>
      <c r="M204" s="764"/>
      <c r="O204" s="764">
        <v>0</v>
      </c>
      <c r="P204" s="764">
        <v>0</v>
      </c>
      <c r="Q204" s="764">
        <v>0</v>
      </c>
      <c r="R204" s="764">
        <v>0</v>
      </c>
      <c r="S204" s="764"/>
      <c r="T204" s="764"/>
      <c r="U204" s="764"/>
      <c r="V204" s="764"/>
      <c r="W204" s="764"/>
      <c r="X204" s="764"/>
      <c r="Y204" s="764"/>
      <c r="Z204" s="764"/>
      <c r="AA204" s="764">
        <f t="shared" si="7"/>
        <v>0</v>
      </c>
    </row>
    <row r="205" spans="1:27" ht="15" thickBot="1">
      <c r="A205" s="766"/>
      <c r="B205" s="767"/>
      <c r="C205" s="767"/>
      <c r="D205" s="768"/>
      <c r="E205" s="769"/>
      <c r="F205" s="770"/>
      <c r="G205" s="771"/>
      <c r="I205" s="764">
        <v>0</v>
      </c>
      <c r="J205" s="764">
        <v>0</v>
      </c>
      <c r="K205" s="764">
        <f t="shared" si="6"/>
        <v>0</v>
      </c>
      <c r="M205" s="764"/>
      <c r="O205" s="764">
        <v>0</v>
      </c>
      <c r="P205" s="764">
        <v>0</v>
      </c>
      <c r="Q205" s="764">
        <v>0</v>
      </c>
      <c r="R205" s="764">
        <v>0</v>
      </c>
      <c r="S205" s="764"/>
      <c r="T205" s="764"/>
      <c r="U205" s="764"/>
      <c r="V205" s="764"/>
      <c r="W205" s="764"/>
      <c r="X205" s="764"/>
      <c r="Y205" s="764"/>
      <c r="Z205" s="764"/>
      <c r="AA205" s="764"/>
    </row>
    <row r="207" spans="1:27">
      <c r="I207" s="407">
        <f>SUM(I5:I206)</f>
        <v>60140209.890045092</v>
      </c>
      <c r="J207" s="407">
        <f t="shared" ref="J207:AA207" si="8">SUM(J5:J206)</f>
        <v>4375814.7300000004</v>
      </c>
      <c r="K207" s="407">
        <f t="shared" si="8"/>
        <v>64516024.620045118</v>
      </c>
      <c r="M207" s="772">
        <f t="shared" si="8"/>
        <v>-1774779.3099999996</v>
      </c>
      <c r="O207" s="772">
        <f t="shared" si="8"/>
        <v>40000</v>
      </c>
      <c r="P207" s="772">
        <f t="shared" si="8"/>
        <v>519521.52366173855</v>
      </c>
      <c r="Q207" s="772">
        <f t="shared" si="8"/>
        <v>1127405.28</v>
      </c>
      <c r="R207" s="772">
        <f t="shared" si="8"/>
        <v>335192</v>
      </c>
      <c r="S207" s="772">
        <f t="shared" si="8"/>
        <v>0</v>
      </c>
      <c r="T207" s="772">
        <f t="shared" si="8"/>
        <v>0</v>
      </c>
      <c r="U207" s="772">
        <f t="shared" si="8"/>
        <v>100000</v>
      </c>
      <c r="V207" s="772">
        <f t="shared" si="8"/>
        <v>0</v>
      </c>
      <c r="W207" s="772">
        <f t="shared" si="8"/>
        <v>755714</v>
      </c>
      <c r="X207" s="772">
        <f t="shared" si="8"/>
        <v>0</v>
      </c>
      <c r="Y207" s="772">
        <f t="shared" si="8"/>
        <v>60000</v>
      </c>
      <c r="Z207" s="772">
        <f t="shared" si="8"/>
        <v>0</v>
      </c>
      <c r="AA207" s="772">
        <f t="shared" si="8"/>
        <v>4712612.1136617381</v>
      </c>
    </row>
    <row r="209" spans="26:27">
      <c r="Z209" s="773" t="s">
        <v>959</v>
      </c>
      <c r="AA209" s="94">
        <v>3.6617377772927284E-3</v>
      </c>
    </row>
  </sheetData>
  <autoFilter ref="A4:AA204" xr:uid="{CD067C11-F7C1-47EC-823D-82310A4F0FE2}"/>
  <conditionalFormatting sqref="M3:M4 AA3:AA4 A4:G4 I4:K4 O4:Z4 A5:E5 E6:E205">
    <cfRule type="cellIs" dxfId="18" priority="1" operator="lessThan">
      <formula>0</formula>
    </cfRule>
  </conditionalFormatting>
  <hyperlinks>
    <hyperlink ref="O2" r:id="rId1" xr:uid="{952CD014-4220-488A-AC1C-4C5721947FAF}"/>
    <hyperlink ref="P2" r:id="rId2" xr:uid="{97627C27-5B4D-48D5-923D-1D3D99D447F7}"/>
    <hyperlink ref="Q2" r:id="rId3" xr:uid="{475AC51B-D928-401E-B676-3AA072C53088}"/>
    <hyperlink ref="R2" r:id="rId4" xr:uid="{E25213A7-6D48-43D9-A3B1-41F1857D555A}"/>
  </hyperlinks>
  <pageMargins left="0.7" right="0.7" top="0.75" bottom="0.75" header="0.3" footer="0.3"/>
  <pageSetup paperSize="9" orientation="portrait" r:id="rId5"/>
  <headerFooter>
    <oddFooter>&amp;C_x000D_&amp;1#&amp;"Calibri"&amp;10&amp;K000000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BD1CA-A247-4EB8-8DAE-5A2CE1729335}">
  <sheetPr>
    <tabColor theme="1"/>
  </sheetPr>
  <dimension ref="A1:N89"/>
  <sheetViews>
    <sheetView zoomScale="80" zoomScaleNormal="80" workbookViewId="0">
      <selection activeCell="I89" sqref="I89"/>
    </sheetView>
  </sheetViews>
  <sheetFormatPr defaultRowHeight="14.4"/>
  <cols>
    <col min="1" max="1" width="19.88671875" customWidth="1"/>
    <col min="2" max="2" width="20.5546875" customWidth="1"/>
    <col min="3" max="3" width="11.88671875" customWidth="1"/>
    <col min="4" max="4" width="6.44140625" customWidth="1"/>
    <col min="5" max="5" width="8.88671875" customWidth="1"/>
    <col min="6" max="6" width="14" customWidth="1"/>
    <col min="7" max="8" width="9.33203125" customWidth="1"/>
    <col min="9" max="10" width="16.88671875" customWidth="1"/>
    <col min="11" max="11" width="52.33203125" bestFit="1" customWidth="1"/>
    <col min="12" max="12" width="14.88671875" customWidth="1"/>
    <col min="13" max="13" width="32.109375" customWidth="1"/>
    <col min="14" max="14" width="12.109375" customWidth="1"/>
  </cols>
  <sheetData>
    <row r="1" spans="1:14">
      <c r="A1" s="834" t="s">
        <v>314</v>
      </c>
      <c r="B1" s="835"/>
      <c r="C1" s="835"/>
      <c r="D1" s="835"/>
      <c r="E1" s="835"/>
      <c r="F1" s="357"/>
      <c r="G1" s="357"/>
    </row>
    <row r="2" spans="1:14" ht="15.6">
      <c r="A2" s="358"/>
      <c r="B2" s="359"/>
      <c r="C2" s="359"/>
      <c r="D2" s="359"/>
      <c r="E2" s="360"/>
      <c r="F2" s="77"/>
      <c r="G2" s="77"/>
    </row>
    <row r="3" spans="1:14" ht="15.6">
      <c r="A3" s="361" t="s">
        <v>315</v>
      </c>
      <c r="B3" s="362" t="str">
        <f>'CFR Return'!C3</f>
        <v>0000</v>
      </c>
      <c r="C3" s="363"/>
      <c r="D3" s="363"/>
      <c r="E3" s="364"/>
      <c r="F3" s="365"/>
      <c r="G3" s="366"/>
    </row>
    <row r="4" spans="1:14">
      <c r="A4" s="367" t="s">
        <v>47</v>
      </c>
      <c r="B4" s="368" t="str">
        <f>'CFR Return'!C2</f>
        <v>Select School</v>
      </c>
      <c r="C4" s="368"/>
      <c r="D4" s="368"/>
      <c r="E4" s="369"/>
      <c r="F4" s="370"/>
      <c r="G4" s="371"/>
    </row>
    <row r="5" spans="1:14">
      <c r="A5" s="367" t="s">
        <v>316</v>
      </c>
      <c r="B5" s="368" t="str">
        <f>VLOOKUP(B3,Lookup!B:C,2,FALSE)</f>
        <v>0000</v>
      </c>
      <c r="C5" s="368"/>
      <c r="D5" s="368"/>
      <c r="E5" s="369"/>
      <c r="F5" s="370"/>
      <c r="G5" s="371"/>
    </row>
    <row r="6" spans="1:14">
      <c r="A6" s="372"/>
      <c r="B6" s="373"/>
      <c r="C6" s="373"/>
      <c r="D6" s="373"/>
      <c r="E6" s="685"/>
      <c r="F6" s="77"/>
      <c r="G6" s="77"/>
    </row>
    <row r="7" spans="1:14">
      <c r="I7" s="775">
        <f>SUM(I9:I86)</f>
        <v>0</v>
      </c>
      <c r="J7" s="775">
        <f>SUM(J9:J86)</f>
        <v>0</v>
      </c>
    </row>
    <row r="8" spans="1:14" ht="52.8">
      <c r="A8" s="650" t="s">
        <v>317</v>
      </c>
      <c r="B8" s="651" t="s">
        <v>318</v>
      </c>
      <c r="C8" s="651" t="s">
        <v>319</v>
      </c>
      <c r="D8" s="652" t="s">
        <v>320</v>
      </c>
      <c r="E8" s="652" t="s">
        <v>321</v>
      </c>
      <c r="F8" s="652" t="s">
        <v>322</v>
      </c>
      <c r="G8" s="652" t="s">
        <v>323</v>
      </c>
      <c r="H8" s="652" t="s">
        <v>324</v>
      </c>
      <c r="I8" s="653" t="s">
        <v>325</v>
      </c>
      <c r="J8" s="653" t="s">
        <v>326</v>
      </c>
      <c r="K8" s="654" t="s">
        <v>327</v>
      </c>
      <c r="L8" s="654" t="s">
        <v>960</v>
      </c>
      <c r="M8" s="659" t="s">
        <v>961</v>
      </c>
      <c r="N8" s="659" t="s">
        <v>962</v>
      </c>
    </row>
    <row r="9" spans="1:14">
      <c r="A9" s="655" t="s">
        <v>334</v>
      </c>
      <c r="B9" s="658" t="str">
        <f>$B$5</f>
        <v>0000</v>
      </c>
      <c r="C9" s="658" t="str">
        <f>IF('2. Accruals'!I9&gt;0,LEFT('2. Accruals'!I9,4),LEFT('2. Accruals'!J9,4))</f>
        <v>FY00</v>
      </c>
      <c r="D9" s="656" t="s">
        <v>335</v>
      </c>
      <c r="E9" s="656" t="s">
        <v>336</v>
      </c>
      <c r="F9" s="656" t="s">
        <v>337</v>
      </c>
      <c r="G9" s="656" t="s">
        <v>338</v>
      </c>
      <c r="H9" s="656" t="s">
        <v>339</v>
      </c>
      <c r="I9" s="657">
        <f>IF(MID(C9,1,1)="D",'2. Accruals'!F9,0)</f>
        <v>0</v>
      </c>
      <c r="J9" s="657">
        <f>IF(MID(C9,1,1)="F",'2. Accruals'!F9,0)</f>
        <v>0</v>
      </c>
      <c r="K9" s="660" t="str">
        <f>_xlfn.CONCAT('2. Accruals'!L9," ",'2. Accruals'!M9," ",'2. Accruals'!N9," ",'2. Accruals'!O9," ",'2. Accruals'!H9)</f>
        <v xml:space="preserve">   0000 BCC SF1 </v>
      </c>
      <c r="L9" s="658" t="str">
        <f>MID('2. Accruals'!L9,5,6)</f>
        <v/>
      </c>
      <c r="M9" s="656" t="s">
        <v>963</v>
      </c>
      <c r="N9" s="656">
        <v>9</v>
      </c>
    </row>
    <row r="10" spans="1:14">
      <c r="A10" s="655" t="s">
        <v>334</v>
      </c>
      <c r="B10" s="658" t="str">
        <f t="shared" ref="B10:B73" si="0">$B$5</f>
        <v>0000</v>
      </c>
      <c r="C10" s="658" t="str">
        <f>IF('2. Accruals'!I10&gt;0,LEFT('2. Accruals'!I10,4),LEFT('2. Accruals'!J10,4))</f>
        <v>FY00</v>
      </c>
      <c r="D10" s="656" t="s">
        <v>335</v>
      </c>
      <c r="E10" s="656" t="s">
        <v>336</v>
      </c>
      <c r="F10" s="656" t="s">
        <v>337</v>
      </c>
      <c r="G10" s="656" t="s">
        <v>338</v>
      </c>
      <c r="H10" s="656" t="s">
        <v>339</v>
      </c>
      <c r="I10" s="657">
        <f>IF(MID(C10,1,1)="D",'2. Accruals'!F10,0)</f>
        <v>0</v>
      </c>
      <c r="J10" s="657">
        <f>IF(MID(C10,1,1)="F",'2. Accruals'!F10,0)</f>
        <v>0</v>
      </c>
      <c r="K10" s="660" t="str">
        <f>_xlfn.CONCAT('2. Accruals'!L10," ",'2. Accruals'!M10," ",'2. Accruals'!N10," ",'2. Accruals'!O10," ",'2. Accruals'!H10)</f>
        <v xml:space="preserve">   0000 BCC SF2 </v>
      </c>
      <c r="L10" s="658" t="str">
        <f>MID('2. Accruals'!L10,5,6)</f>
        <v/>
      </c>
      <c r="M10" s="656" t="s">
        <v>963</v>
      </c>
      <c r="N10" s="656">
        <v>10</v>
      </c>
    </row>
    <row r="11" spans="1:14">
      <c r="A11" s="655" t="s">
        <v>334</v>
      </c>
      <c r="B11" s="658" t="str">
        <f t="shared" si="0"/>
        <v>0000</v>
      </c>
      <c r="C11" s="658" t="str">
        <f>IF('2. Accruals'!I11&gt;0,LEFT('2. Accruals'!I11,4),LEFT('2. Accruals'!J11,4))</f>
        <v>FY00</v>
      </c>
      <c r="D11" s="656" t="s">
        <v>335</v>
      </c>
      <c r="E11" s="656" t="s">
        <v>336</v>
      </c>
      <c r="F11" s="656" t="s">
        <v>337</v>
      </c>
      <c r="G11" s="656" t="s">
        <v>338</v>
      </c>
      <c r="H11" s="656" t="s">
        <v>339</v>
      </c>
      <c r="I11" s="657">
        <f>IF(MID(C11,1,1)="D",'2. Accruals'!F11,0)</f>
        <v>0</v>
      </c>
      <c r="J11" s="657">
        <f>IF(MID(C11,1,1)="F",'2. Accruals'!F11,0)</f>
        <v>0</v>
      </c>
      <c r="K11" s="660" t="str">
        <f>_xlfn.CONCAT('2. Accruals'!L11," ",'2. Accruals'!M11," ",'2. Accruals'!N11," ",'2. Accruals'!O11," ",'2. Accruals'!H11)</f>
        <v xml:space="preserve">   0000 BCC SF3 </v>
      </c>
      <c r="L11" s="658" t="str">
        <f>MID('2. Accruals'!L11,5,6)</f>
        <v/>
      </c>
      <c r="M11" s="656" t="s">
        <v>963</v>
      </c>
      <c r="N11" s="656">
        <v>11</v>
      </c>
    </row>
    <row r="12" spans="1:14">
      <c r="A12" s="655" t="s">
        <v>334</v>
      </c>
      <c r="B12" s="658" t="str">
        <f t="shared" si="0"/>
        <v>0000</v>
      </c>
      <c r="C12" s="658" t="str">
        <f>IF('2. Accruals'!I12&gt;0,LEFT('2. Accruals'!I12,4),LEFT('2. Accruals'!J12,4))</f>
        <v>FY00</v>
      </c>
      <c r="D12" s="656" t="s">
        <v>335</v>
      </c>
      <c r="E12" s="656" t="s">
        <v>336</v>
      </c>
      <c r="F12" s="656" t="s">
        <v>337</v>
      </c>
      <c r="G12" s="656" t="s">
        <v>338</v>
      </c>
      <c r="H12" s="656" t="s">
        <v>339</v>
      </c>
      <c r="I12" s="657">
        <f>IF(MID(C12,1,1)="D",'2. Accruals'!F12,0)</f>
        <v>0</v>
      </c>
      <c r="J12" s="657">
        <f>IF(MID(C12,1,1)="F",'2. Accruals'!F12,0)</f>
        <v>0</v>
      </c>
      <c r="K12" s="660" t="str">
        <f>_xlfn.CONCAT('2. Accruals'!L12," ",'2. Accruals'!M12," ",'2. Accruals'!N12," ",'2. Accruals'!O12," ",'2. Accruals'!H12)</f>
        <v xml:space="preserve">   0000 BCC SF4 </v>
      </c>
      <c r="L12" s="658" t="str">
        <f>MID('2. Accruals'!L12,5,6)</f>
        <v/>
      </c>
      <c r="M12" s="656" t="s">
        <v>963</v>
      </c>
      <c r="N12" s="656">
        <v>12</v>
      </c>
    </row>
    <row r="13" spans="1:14">
      <c r="A13" s="655" t="s">
        <v>334</v>
      </c>
      <c r="B13" s="658" t="str">
        <f t="shared" si="0"/>
        <v>0000</v>
      </c>
      <c r="C13" s="658" t="str">
        <f>IF('2. Accruals'!I13&gt;0,LEFT('2. Accruals'!I13,4),LEFT('2. Accruals'!J13,4))</f>
        <v>FY00</v>
      </c>
      <c r="D13" s="656" t="s">
        <v>335</v>
      </c>
      <c r="E13" s="656" t="s">
        <v>336</v>
      </c>
      <c r="F13" s="656" t="s">
        <v>337</v>
      </c>
      <c r="G13" s="656" t="s">
        <v>338</v>
      </c>
      <c r="H13" s="656" t="s">
        <v>339</v>
      </c>
      <c r="I13" s="657">
        <f>IF(MID(C13,1,1)="D",'2. Accruals'!F13,0)</f>
        <v>0</v>
      </c>
      <c r="J13" s="657">
        <f>IF(MID(C13,1,1)="F",'2. Accruals'!F13,0)</f>
        <v>0</v>
      </c>
      <c r="K13" s="660" t="str">
        <f>_xlfn.CONCAT('2. Accruals'!L13," ",'2. Accruals'!M13," ",'2. Accruals'!N13," ",'2. Accruals'!O13," ",'2. Accruals'!H13)</f>
        <v xml:space="preserve">   0000 BCC SF5 </v>
      </c>
      <c r="L13" s="658" t="str">
        <f>MID('2. Accruals'!L13,5,6)</f>
        <v/>
      </c>
      <c r="M13" s="656" t="s">
        <v>963</v>
      </c>
      <c r="N13" s="656">
        <v>13</v>
      </c>
    </row>
    <row r="14" spans="1:14">
      <c r="A14" s="655" t="s">
        <v>334</v>
      </c>
      <c r="B14" s="658" t="str">
        <f t="shared" si="0"/>
        <v>0000</v>
      </c>
      <c r="C14" s="658" t="str">
        <f>IF('2. Accruals'!I14&gt;0,LEFT('2. Accruals'!I14,4),LEFT('2. Accruals'!J14,4))</f>
        <v>FY00</v>
      </c>
      <c r="D14" s="656" t="s">
        <v>335</v>
      </c>
      <c r="E14" s="656" t="s">
        <v>336</v>
      </c>
      <c r="F14" s="656" t="s">
        <v>337</v>
      </c>
      <c r="G14" s="656" t="s">
        <v>338</v>
      </c>
      <c r="H14" s="656" t="s">
        <v>339</v>
      </c>
      <c r="I14" s="657">
        <f>IF(MID(C14,1,1)="D",'2. Accruals'!F14,0)</f>
        <v>0</v>
      </c>
      <c r="J14" s="657">
        <f>IF(MID(C14,1,1)="F",'2. Accruals'!F14,0)</f>
        <v>0</v>
      </c>
      <c r="K14" s="660" t="str">
        <f>_xlfn.CONCAT('2. Accruals'!L14," ",'2. Accruals'!M14," ",'2. Accruals'!N14," ",'2. Accruals'!O14," ",'2. Accruals'!H14)</f>
        <v xml:space="preserve">   0000 BCC SF6 </v>
      </c>
      <c r="L14" s="658" t="str">
        <f>MID('2. Accruals'!L14,5,6)</f>
        <v/>
      </c>
      <c r="M14" s="656" t="s">
        <v>963</v>
      </c>
      <c r="N14" s="656">
        <v>14</v>
      </c>
    </row>
    <row r="15" spans="1:14">
      <c r="A15" s="655" t="s">
        <v>334</v>
      </c>
      <c r="B15" s="658" t="str">
        <f t="shared" si="0"/>
        <v>0000</v>
      </c>
      <c r="C15" s="658" t="str">
        <f>IF('2. Accruals'!I15&gt;0,LEFT('2. Accruals'!I15,4),LEFT('2. Accruals'!J15,4))</f>
        <v>FY00</v>
      </c>
      <c r="D15" s="656" t="s">
        <v>335</v>
      </c>
      <c r="E15" s="656" t="s">
        <v>336</v>
      </c>
      <c r="F15" s="656" t="s">
        <v>337</v>
      </c>
      <c r="G15" s="656" t="s">
        <v>338</v>
      </c>
      <c r="H15" s="656" t="s">
        <v>339</v>
      </c>
      <c r="I15" s="657">
        <f>IF(MID(C15,1,1)="D",'2. Accruals'!F15,0)</f>
        <v>0</v>
      </c>
      <c r="J15" s="657">
        <f>IF(MID(C15,1,1)="F",'2. Accruals'!F15,0)</f>
        <v>0</v>
      </c>
      <c r="K15" s="660" t="str">
        <f>_xlfn.CONCAT('2. Accruals'!L15," ",'2. Accruals'!M15," ",'2. Accruals'!N15," ",'2. Accruals'!O15," ",'2. Accruals'!H15)</f>
        <v xml:space="preserve">   0000 BCC SF7 </v>
      </c>
      <c r="L15" s="658" t="str">
        <f>MID('2. Accruals'!L15,5,6)</f>
        <v/>
      </c>
      <c r="M15" s="656" t="s">
        <v>963</v>
      </c>
      <c r="N15" s="656">
        <v>15</v>
      </c>
    </row>
    <row r="16" spans="1:14">
      <c r="A16" s="655" t="s">
        <v>334</v>
      </c>
      <c r="B16" s="658" t="str">
        <f t="shared" si="0"/>
        <v>0000</v>
      </c>
      <c r="C16" s="658" t="str">
        <f>IF('2. Accruals'!I16&gt;0,LEFT('2. Accruals'!I16,4),LEFT('2. Accruals'!J16,4))</f>
        <v/>
      </c>
      <c r="D16" s="656" t="s">
        <v>335</v>
      </c>
      <c r="E16" s="656" t="s">
        <v>336</v>
      </c>
      <c r="F16" s="656" t="s">
        <v>337</v>
      </c>
      <c r="G16" s="656" t="s">
        <v>338</v>
      </c>
      <c r="H16" s="656" t="s">
        <v>339</v>
      </c>
      <c r="I16" s="657">
        <f>IF(MID(C16,1,1)="D",'2. Accruals'!F16,0)</f>
        <v>0</v>
      </c>
      <c r="J16" s="657">
        <f>IF(MID(C16,1,1)="F",'2. Accruals'!F16,0)</f>
        <v>0</v>
      </c>
      <c r="K16" s="660" t="str">
        <f>_xlfn.CONCAT('2. Accruals'!L16," ",'2. Accruals'!M16," ",'2. Accruals'!N16," ",'2. Accruals'!O16," ",'2. Accruals'!H16)</f>
        <v xml:space="preserve">   0000 BCC SF8 </v>
      </c>
      <c r="L16" s="658" t="str">
        <f>MID('2. Accruals'!L16,5,6)</f>
        <v/>
      </c>
      <c r="M16" s="656" t="s">
        <v>963</v>
      </c>
      <c r="N16" s="656">
        <v>16</v>
      </c>
    </row>
    <row r="17" spans="1:14">
      <c r="A17" s="655" t="s">
        <v>334</v>
      </c>
      <c r="B17" s="658" t="str">
        <f t="shared" si="0"/>
        <v>0000</v>
      </c>
      <c r="C17" s="658" t="str">
        <f>IF('2. Accruals'!I17&gt;0,LEFT('2. Accruals'!I17,4),LEFT('2. Accruals'!J17,4))</f>
        <v/>
      </c>
      <c r="D17" s="656" t="s">
        <v>335</v>
      </c>
      <c r="E17" s="656" t="s">
        <v>336</v>
      </c>
      <c r="F17" s="656" t="s">
        <v>337</v>
      </c>
      <c r="G17" s="656" t="s">
        <v>338</v>
      </c>
      <c r="H17" s="656" t="s">
        <v>339</v>
      </c>
      <c r="I17" s="657">
        <f>IF(MID(C17,1,1)="D",'2. Accruals'!F17,0)</f>
        <v>0</v>
      </c>
      <c r="J17" s="657">
        <f>IF(MID(C17,1,1)="F",'2. Accruals'!F17,0)</f>
        <v>0</v>
      </c>
      <c r="K17" s="660" t="str">
        <f>_xlfn.CONCAT('2. Accruals'!L17," ",'2. Accruals'!M17," ",'2. Accruals'!N17," ",'2. Accruals'!O17," ",'2. Accruals'!H17)</f>
        <v xml:space="preserve">   0000 BCC SF9 </v>
      </c>
      <c r="L17" s="658" t="str">
        <f>MID('2. Accruals'!L17,5,6)</f>
        <v/>
      </c>
      <c r="M17" s="656" t="s">
        <v>963</v>
      </c>
      <c r="N17" s="656">
        <v>17</v>
      </c>
    </row>
    <row r="18" spans="1:14">
      <c r="A18" s="655" t="s">
        <v>334</v>
      </c>
      <c r="B18" s="658" t="str">
        <f t="shared" si="0"/>
        <v>0000</v>
      </c>
      <c r="C18" s="658" t="str">
        <f>IF('2. Accruals'!I18&gt;0,LEFT('2. Accruals'!I18,4),LEFT('2. Accruals'!J18,4))</f>
        <v/>
      </c>
      <c r="D18" s="656" t="s">
        <v>335</v>
      </c>
      <c r="E18" s="656" t="s">
        <v>336</v>
      </c>
      <c r="F18" s="656" t="s">
        <v>337</v>
      </c>
      <c r="G18" s="656" t="s">
        <v>338</v>
      </c>
      <c r="H18" s="656" t="s">
        <v>339</v>
      </c>
      <c r="I18" s="657">
        <f>IF(MID(C18,1,1)="D",'2. Accruals'!F18,0)</f>
        <v>0</v>
      </c>
      <c r="J18" s="657">
        <f>IF(MID(C18,1,1)="F",'2. Accruals'!F18,0)</f>
        <v>0</v>
      </c>
      <c r="K18" s="660" t="str">
        <f>_xlfn.CONCAT('2. Accruals'!L18," ",'2. Accruals'!M18," ",'2. Accruals'!N18," ",'2. Accruals'!O18," ",'2. Accruals'!H18)</f>
        <v xml:space="preserve">   0000 BCC SF10 </v>
      </c>
      <c r="L18" s="658" t="str">
        <f>MID('2. Accruals'!L18,5,6)</f>
        <v/>
      </c>
      <c r="M18" s="656" t="s">
        <v>963</v>
      </c>
      <c r="N18" s="656">
        <v>18</v>
      </c>
    </row>
    <row r="19" spans="1:14">
      <c r="A19" s="655" t="s">
        <v>334</v>
      </c>
      <c r="B19" s="658" t="str">
        <f t="shared" si="0"/>
        <v>0000</v>
      </c>
      <c r="C19" s="658" t="str">
        <f>IF('2. Accruals'!I19&gt;0,LEFT('2. Accruals'!I19,4),LEFT('2. Accruals'!J19,4))</f>
        <v/>
      </c>
      <c r="D19" s="656" t="s">
        <v>335</v>
      </c>
      <c r="E19" s="656" t="s">
        <v>336</v>
      </c>
      <c r="F19" s="656" t="s">
        <v>337</v>
      </c>
      <c r="G19" s="656" t="s">
        <v>338</v>
      </c>
      <c r="H19" s="656" t="s">
        <v>339</v>
      </c>
      <c r="I19" s="657">
        <f>IF(MID(C19,1,1)="D",'2. Accruals'!F19,0)</f>
        <v>0</v>
      </c>
      <c r="J19" s="657">
        <f>IF(MID(C19,1,1)="F",'2. Accruals'!F19,0)</f>
        <v>0</v>
      </c>
      <c r="K19" s="660" t="str">
        <f>_xlfn.CONCAT('2. Accruals'!L19," ",'2. Accruals'!M19," ",'2. Accruals'!N19," ",'2. Accruals'!O19," ",'2. Accruals'!H19)</f>
        <v xml:space="preserve">   0000 BCC SF11 </v>
      </c>
      <c r="L19" s="658" t="str">
        <f>MID('2. Accruals'!L19,5,6)</f>
        <v/>
      </c>
      <c r="M19" s="656" t="s">
        <v>963</v>
      </c>
      <c r="N19" s="656">
        <v>19</v>
      </c>
    </row>
    <row r="20" spans="1:14">
      <c r="A20" s="655" t="s">
        <v>334</v>
      </c>
      <c r="B20" s="658" t="str">
        <f t="shared" si="0"/>
        <v>0000</v>
      </c>
      <c r="C20" s="658" t="str">
        <f>IF('2. Accruals'!I20&gt;0,LEFT('2. Accruals'!I20,4),LEFT('2. Accruals'!J20,4))</f>
        <v/>
      </c>
      <c r="D20" s="656" t="s">
        <v>335</v>
      </c>
      <c r="E20" s="656" t="s">
        <v>336</v>
      </c>
      <c r="F20" s="656" t="s">
        <v>337</v>
      </c>
      <c r="G20" s="656" t="s">
        <v>338</v>
      </c>
      <c r="H20" s="656" t="s">
        <v>339</v>
      </c>
      <c r="I20" s="657">
        <f>IF(MID(C20,1,1)="D",'2. Accruals'!F20,0)</f>
        <v>0</v>
      </c>
      <c r="J20" s="657">
        <f>IF(MID(C20,1,1)="F",'2. Accruals'!F20,0)</f>
        <v>0</v>
      </c>
      <c r="K20" s="660" t="str">
        <f>_xlfn.CONCAT('2. Accruals'!L20," ",'2. Accruals'!M20," ",'2. Accruals'!N20," ",'2. Accruals'!O20," ",'2. Accruals'!H20)</f>
        <v xml:space="preserve">   0000 BCC SF12 </v>
      </c>
      <c r="L20" s="658" t="str">
        <f>MID('2. Accruals'!L20,5,6)</f>
        <v/>
      </c>
      <c r="M20" s="656" t="s">
        <v>963</v>
      </c>
      <c r="N20" s="656">
        <v>20</v>
      </c>
    </row>
    <row r="21" spans="1:14">
      <c r="A21" s="655" t="s">
        <v>334</v>
      </c>
      <c r="B21" s="658" t="str">
        <f t="shared" si="0"/>
        <v>0000</v>
      </c>
      <c r="C21" s="658" t="str">
        <f>IF('2. Accruals'!I21&gt;0,LEFT('2. Accruals'!I21,4),LEFT('2. Accruals'!J21,4))</f>
        <v/>
      </c>
      <c r="D21" s="656" t="s">
        <v>335</v>
      </c>
      <c r="E21" s="656" t="s">
        <v>336</v>
      </c>
      <c r="F21" s="656" t="s">
        <v>337</v>
      </c>
      <c r="G21" s="656" t="s">
        <v>338</v>
      </c>
      <c r="H21" s="656" t="s">
        <v>339</v>
      </c>
      <c r="I21" s="657">
        <f>IF(MID(C21,1,1)="D",'2. Accruals'!F21,0)</f>
        <v>0</v>
      </c>
      <c r="J21" s="657">
        <f>IF(MID(C21,1,1)="F",'2. Accruals'!F21,0)</f>
        <v>0</v>
      </c>
      <c r="K21" s="660" t="str">
        <f>_xlfn.CONCAT('2. Accruals'!L21," ",'2. Accruals'!M21," ",'2. Accruals'!N21," ",'2. Accruals'!O21," ",'2. Accruals'!H21)</f>
        <v xml:space="preserve">   0000 BCC SF13 </v>
      </c>
      <c r="L21" s="658" t="str">
        <f>MID('2. Accruals'!L21,5,6)</f>
        <v/>
      </c>
      <c r="M21" s="656" t="s">
        <v>963</v>
      </c>
      <c r="N21" s="656">
        <v>21</v>
      </c>
    </row>
    <row r="22" spans="1:14">
      <c r="A22" s="655" t="s">
        <v>334</v>
      </c>
      <c r="B22" s="658" t="str">
        <f t="shared" si="0"/>
        <v>0000</v>
      </c>
      <c r="C22" s="658" t="str">
        <f>IF('2. Accruals'!I22&gt;0,LEFT('2. Accruals'!I22,4),LEFT('2. Accruals'!J22,4))</f>
        <v/>
      </c>
      <c r="D22" s="656" t="s">
        <v>335</v>
      </c>
      <c r="E22" s="656" t="s">
        <v>336</v>
      </c>
      <c r="F22" s="656" t="s">
        <v>337</v>
      </c>
      <c r="G22" s="656" t="s">
        <v>338</v>
      </c>
      <c r="H22" s="656" t="s">
        <v>339</v>
      </c>
      <c r="I22" s="657">
        <f>IF(MID(C22,1,1)="D",'2. Accruals'!F22,0)</f>
        <v>0</v>
      </c>
      <c r="J22" s="657">
        <f>IF(MID(C22,1,1)="F",'2. Accruals'!F22,0)</f>
        <v>0</v>
      </c>
      <c r="K22" s="660" t="str">
        <f>_xlfn.CONCAT('2. Accruals'!L22," ",'2. Accruals'!M22," ",'2. Accruals'!N22," ",'2. Accruals'!O22," ",'2. Accruals'!H22)</f>
        <v xml:space="preserve">   0000 BCC SF14 </v>
      </c>
      <c r="L22" s="658" t="str">
        <f>MID('2. Accruals'!L22,5,6)</f>
        <v/>
      </c>
      <c r="M22" s="656" t="s">
        <v>963</v>
      </c>
      <c r="N22" s="656">
        <v>22</v>
      </c>
    </row>
    <row r="23" spans="1:14">
      <c r="A23" s="655" t="s">
        <v>334</v>
      </c>
      <c r="B23" s="658" t="str">
        <f t="shared" si="0"/>
        <v>0000</v>
      </c>
      <c r="C23" s="658" t="str">
        <f>IF('2. Accruals'!I23&gt;0,LEFT('2. Accruals'!I23,4),LEFT('2. Accruals'!J23,4))</f>
        <v/>
      </c>
      <c r="D23" s="656" t="s">
        <v>335</v>
      </c>
      <c r="E23" s="656" t="s">
        <v>336</v>
      </c>
      <c r="F23" s="656" t="s">
        <v>337</v>
      </c>
      <c r="G23" s="656" t="s">
        <v>338</v>
      </c>
      <c r="H23" s="656" t="s">
        <v>339</v>
      </c>
      <c r="I23" s="657">
        <f>IF(MID(C23,1,1)="D",'2. Accruals'!F23,0)</f>
        <v>0</v>
      </c>
      <c r="J23" s="657">
        <f>IF(MID(C23,1,1)="F",'2. Accruals'!F23,0)</f>
        <v>0</v>
      </c>
      <c r="K23" s="660" t="str">
        <f>_xlfn.CONCAT('2. Accruals'!L23," ",'2. Accruals'!M23," ",'2. Accruals'!N23," ",'2. Accruals'!O23," ",'2. Accruals'!H23)</f>
        <v xml:space="preserve">   0000 BCC SF15 </v>
      </c>
      <c r="L23" s="658" t="str">
        <f>MID('2. Accruals'!L23,5,6)</f>
        <v/>
      </c>
      <c r="M23" s="656" t="s">
        <v>963</v>
      </c>
      <c r="N23" s="656">
        <v>23</v>
      </c>
    </row>
    <row r="24" spans="1:14">
      <c r="A24" s="655" t="s">
        <v>334</v>
      </c>
      <c r="B24" s="658" t="str">
        <f t="shared" si="0"/>
        <v>0000</v>
      </c>
      <c r="C24" s="658" t="str">
        <f>IF('2. Accruals'!I24&gt;0,LEFT('2. Accruals'!I24,4),LEFT('2. Accruals'!J24,4))</f>
        <v/>
      </c>
      <c r="D24" s="656" t="s">
        <v>335</v>
      </c>
      <c r="E24" s="656" t="s">
        <v>336</v>
      </c>
      <c r="F24" s="656" t="s">
        <v>337</v>
      </c>
      <c r="G24" s="656" t="s">
        <v>338</v>
      </c>
      <c r="H24" s="656" t="s">
        <v>339</v>
      </c>
      <c r="I24" s="657">
        <f>IF(MID(C24,1,1)="D",'2. Accruals'!F24,0)</f>
        <v>0</v>
      </c>
      <c r="J24" s="657">
        <f>IF(MID(C24,1,1)="F",'2. Accruals'!F24,0)</f>
        <v>0</v>
      </c>
      <c r="K24" s="660" t="str">
        <f>_xlfn.CONCAT('2. Accruals'!L24," ",'2. Accruals'!M24," ",'2. Accruals'!N24," ",'2. Accruals'!O24," ",'2. Accruals'!H24)</f>
        <v xml:space="preserve">   0000 BCC SF16 </v>
      </c>
      <c r="L24" s="658" t="str">
        <f>MID('2. Accruals'!L24,5,6)</f>
        <v/>
      </c>
      <c r="M24" s="656" t="s">
        <v>963</v>
      </c>
      <c r="N24" s="656">
        <v>24</v>
      </c>
    </row>
    <row r="25" spans="1:14">
      <c r="A25" s="655" t="s">
        <v>334</v>
      </c>
      <c r="B25" s="658" t="str">
        <f t="shared" si="0"/>
        <v>0000</v>
      </c>
      <c r="C25" s="658" t="str">
        <f>IF('2. Accruals'!I25&gt;0,LEFT('2. Accruals'!I25,4),LEFT('2. Accruals'!J25,4))</f>
        <v/>
      </c>
      <c r="D25" s="656" t="s">
        <v>335</v>
      </c>
      <c r="E25" s="656" t="s">
        <v>336</v>
      </c>
      <c r="F25" s="656" t="s">
        <v>337</v>
      </c>
      <c r="G25" s="656" t="s">
        <v>338</v>
      </c>
      <c r="H25" s="656" t="s">
        <v>339</v>
      </c>
      <c r="I25" s="657">
        <f>IF(MID(C25,1,1)="D",'2. Accruals'!F25,0)</f>
        <v>0</v>
      </c>
      <c r="J25" s="657">
        <f>IF(MID(C25,1,1)="F",'2. Accruals'!F25,0)</f>
        <v>0</v>
      </c>
      <c r="K25" s="660" t="str">
        <f>_xlfn.CONCAT('2. Accruals'!L25," ",'2. Accruals'!M25," ",'2. Accruals'!N25," ",'2. Accruals'!O25," ",'2. Accruals'!H25)</f>
        <v xml:space="preserve">   0000 BCC SF17 </v>
      </c>
      <c r="L25" s="658" t="str">
        <f>MID('2. Accruals'!L25,5,6)</f>
        <v/>
      </c>
      <c r="M25" s="656" t="s">
        <v>963</v>
      </c>
      <c r="N25" s="656">
        <v>25</v>
      </c>
    </row>
    <row r="26" spans="1:14">
      <c r="A26" s="655" t="s">
        <v>334</v>
      </c>
      <c r="B26" s="658" t="str">
        <f t="shared" si="0"/>
        <v>0000</v>
      </c>
      <c r="C26" s="658" t="str">
        <f>IF('2. Accruals'!I26&gt;0,LEFT('2. Accruals'!I26,4),LEFT('2. Accruals'!J26,4))</f>
        <v/>
      </c>
      <c r="D26" s="656" t="s">
        <v>335</v>
      </c>
      <c r="E26" s="656" t="s">
        <v>336</v>
      </c>
      <c r="F26" s="656" t="s">
        <v>337</v>
      </c>
      <c r="G26" s="656" t="s">
        <v>338</v>
      </c>
      <c r="H26" s="656" t="s">
        <v>339</v>
      </c>
      <c r="I26" s="657">
        <f>IF(MID(C26,1,1)="D",'2. Accruals'!F26,0)</f>
        <v>0</v>
      </c>
      <c r="J26" s="657">
        <f>IF(MID(C26,1,1)="F",'2. Accruals'!F26,0)</f>
        <v>0</v>
      </c>
      <c r="K26" s="660" t="str">
        <f>_xlfn.CONCAT('2. Accruals'!L26," ",'2. Accruals'!M26," ",'2. Accruals'!N26," ",'2. Accruals'!O26," ",'2. Accruals'!H26)</f>
        <v xml:space="preserve">   0000 BCC SF18 </v>
      </c>
      <c r="L26" s="658" t="str">
        <f>MID('2. Accruals'!L26,5,6)</f>
        <v/>
      </c>
      <c r="M26" s="656" t="s">
        <v>963</v>
      </c>
      <c r="N26" s="656">
        <v>26</v>
      </c>
    </row>
    <row r="27" spans="1:14">
      <c r="A27" s="655" t="s">
        <v>334</v>
      </c>
      <c r="B27" s="658" t="str">
        <f t="shared" si="0"/>
        <v>0000</v>
      </c>
      <c r="C27" s="658" t="str">
        <f>IF('2. Accruals'!I27&gt;0,LEFT('2. Accruals'!I27,4),LEFT('2. Accruals'!J27,4))</f>
        <v/>
      </c>
      <c r="D27" s="656" t="s">
        <v>335</v>
      </c>
      <c r="E27" s="656" t="s">
        <v>336</v>
      </c>
      <c r="F27" s="656" t="s">
        <v>337</v>
      </c>
      <c r="G27" s="656" t="s">
        <v>338</v>
      </c>
      <c r="H27" s="656" t="s">
        <v>339</v>
      </c>
      <c r="I27" s="657">
        <f>IF(MID(C27,1,1)="D",'2. Accruals'!F27,0)</f>
        <v>0</v>
      </c>
      <c r="J27" s="657">
        <f>IF(MID(C27,1,1)="F",'2. Accruals'!F27,0)</f>
        <v>0</v>
      </c>
      <c r="K27" s="660" t="str">
        <f>_xlfn.CONCAT('2. Accruals'!L27," ",'2. Accruals'!M27," ",'2. Accruals'!N27," ",'2. Accruals'!O27," ",'2. Accruals'!H27)</f>
        <v xml:space="preserve">   0000 BCC SF19 </v>
      </c>
      <c r="L27" s="658" t="str">
        <f>MID('2. Accruals'!L27,5,6)</f>
        <v/>
      </c>
      <c r="M27" s="656" t="s">
        <v>963</v>
      </c>
      <c r="N27" s="656">
        <v>27</v>
      </c>
    </row>
    <row r="28" spans="1:14">
      <c r="A28" s="655" t="s">
        <v>334</v>
      </c>
      <c r="B28" s="658" t="str">
        <f t="shared" si="0"/>
        <v>0000</v>
      </c>
      <c r="C28" s="658" t="str">
        <f>IF('2. Accruals'!I28&gt;0,LEFT('2. Accruals'!I28,4),LEFT('2. Accruals'!J28,4))</f>
        <v/>
      </c>
      <c r="D28" s="656" t="s">
        <v>335</v>
      </c>
      <c r="E28" s="656" t="s">
        <v>336</v>
      </c>
      <c r="F28" s="656" t="s">
        <v>337</v>
      </c>
      <c r="G28" s="656" t="s">
        <v>338</v>
      </c>
      <c r="H28" s="656" t="s">
        <v>339</v>
      </c>
      <c r="I28" s="657">
        <f>IF(MID(C28,1,1)="D",'2. Accruals'!F28,0)</f>
        <v>0</v>
      </c>
      <c r="J28" s="657">
        <f>IF(MID(C28,1,1)="F",'2. Accruals'!F28,0)</f>
        <v>0</v>
      </c>
      <c r="K28" s="660" t="str">
        <f>_xlfn.CONCAT('2. Accruals'!L28," ",'2. Accruals'!M28," ",'2. Accruals'!N28," ",'2. Accruals'!O28," ",'2. Accruals'!H28)</f>
        <v xml:space="preserve">   0000 BCC SF20 </v>
      </c>
      <c r="L28" s="658" t="str">
        <f>MID('2. Accruals'!L28,5,6)</f>
        <v/>
      </c>
      <c r="M28" s="656" t="s">
        <v>963</v>
      </c>
      <c r="N28" s="656">
        <v>28</v>
      </c>
    </row>
    <row r="29" spans="1:14">
      <c r="A29" s="655" t="s">
        <v>334</v>
      </c>
      <c r="B29" s="658" t="str">
        <f t="shared" si="0"/>
        <v>0000</v>
      </c>
      <c r="C29" s="658" t="str">
        <f>IF('2. Accruals'!I29&gt;0,LEFT('2. Accruals'!I29,4),LEFT('2. Accruals'!J29,4))</f>
        <v/>
      </c>
      <c r="D29" s="656" t="s">
        <v>335</v>
      </c>
      <c r="E29" s="656" t="s">
        <v>336</v>
      </c>
      <c r="F29" s="656" t="s">
        <v>337</v>
      </c>
      <c r="G29" s="656" t="s">
        <v>338</v>
      </c>
      <c r="H29" s="656" t="s">
        <v>339</v>
      </c>
      <c r="I29" s="657">
        <f>IF(MID(C29,1,1)="D",'2. Accruals'!F29,0)</f>
        <v>0</v>
      </c>
      <c r="J29" s="657">
        <f>IF(MID(C29,1,1)="F",'2. Accruals'!F29,0)</f>
        <v>0</v>
      </c>
      <c r="K29" s="660" t="str">
        <f>_xlfn.CONCAT('2. Accruals'!L29," ",'2. Accruals'!M29," ",'2. Accruals'!N29," ",'2. Accruals'!O29," ",'2. Accruals'!H29)</f>
        <v xml:space="preserve">   0000 BCC SF21 </v>
      </c>
      <c r="L29" s="658" t="str">
        <f>MID('2. Accruals'!L29,5,6)</f>
        <v/>
      </c>
      <c r="M29" s="656" t="s">
        <v>963</v>
      </c>
      <c r="N29" s="656">
        <v>29</v>
      </c>
    </row>
    <row r="30" spans="1:14">
      <c r="A30" s="655" t="s">
        <v>334</v>
      </c>
      <c r="B30" s="658" t="str">
        <f t="shared" si="0"/>
        <v>0000</v>
      </c>
      <c r="C30" s="658" t="str">
        <f>IF('2. Accruals'!I30&gt;0,LEFT('2. Accruals'!I30,4),LEFT('2. Accruals'!J30,4))</f>
        <v/>
      </c>
      <c r="D30" s="656" t="s">
        <v>335</v>
      </c>
      <c r="E30" s="656" t="s">
        <v>336</v>
      </c>
      <c r="F30" s="656" t="s">
        <v>337</v>
      </c>
      <c r="G30" s="656" t="s">
        <v>338</v>
      </c>
      <c r="H30" s="656" t="s">
        <v>339</v>
      </c>
      <c r="I30" s="657">
        <f>IF(MID(C30,1,1)="D",'2. Accruals'!F30,0)</f>
        <v>0</v>
      </c>
      <c r="J30" s="657">
        <f>IF(MID(C30,1,1)="F",'2. Accruals'!F30,0)</f>
        <v>0</v>
      </c>
      <c r="K30" s="660" t="str">
        <f>_xlfn.CONCAT('2. Accruals'!L30," ",'2. Accruals'!M30," ",'2. Accruals'!N30," ",'2. Accruals'!O30," ",'2. Accruals'!H30)</f>
        <v xml:space="preserve">   0000 BCC SF22 </v>
      </c>
      <c r="L30" s="658" t="str">
        <f>MID('2. Accruals'!L30,5,6)</f>
        <v/>
      </c>
      <c r="M30" s="656" t="s">
        <v>963</v>
      </c>
      <c r="N30" s="656">
        <v>30</v>
      </c>
    </row>
    <row r="31" spans="1:14">
      <c r="A31" s="655" t="s">
        <v>334</v>
      </c>
      <c r="B31" s="658" t="str">
        <f t="shared" si="0"/>
        <v>0000</v>
      </c>
      <c r="C31" s="658" t="str">
        <f>IF('2. Accruals'!I31&gt;0,LEFT('2. Accruals'!I31,4),LEFT('2. Accruals'!J31,4))</f>
        <v/>
      </c>
      <c r="D31" s="656" t="s">
        <v>335</v>
      </c>
      <c r="E31" s="656" t="s">
        <v>336</v>
      </c>
      <c r="F31" s="656" t="s">
        <v>337</v>
      </c>
      <c r="G31" s="656" t="s">
        <v>338</v>
      </c>
      <c r="H31" s="656" t="s">
        <v>339</v>
      </c>
      <c r="I31" s="657">
        <f>IF(MID(C31,1,1)="D",'2. Accruals'!F31,0)</f>
        <v>0</v>
      </c>
      <c r="J31" s="657">
        <f>IF(MID(C31,1,1)="F",'2. Accruals'!F31,0)</f>
        <v>0</v>
      </c>
      <c r="K31" s="660" t="str">
        <f>_xlfn.CONCAT('2. Accruals'!L31," ",'2. Accruals'!M31," ",'2. Accruals'!N31," ",'2. Accruals'!O31," ",'2. Accruals'!H31)</f>
        <v xml:space="preserve">   0000 BCC SF23 </v>
      </c>
      <c r="L31" s="658" t="str">
        <f>MID('2. Accruals'!L31,5,6)</f>
        <v/>
      </c>
      <c r="M31" s="656" t="s">
        <v>963</v>
      </c>
      <c r="N31" s="656">
        <v>31</v>
      </c>
    </row>
    <row r="32" spans="1:14">
      <c r="A32" s="655" t="s">
        <v>334</v>
      </c>
      <c r="B32" s="658" t="str">
        <f t="shared" si="0"/>
        <v>0000</v>
      </c>
      <c r="C32" s="658" t="str">
        <f>IF('2. Accruals'!I32&gt;0,LEFT('2. Accruals'!I32,4),LEFT('2. Accruals'!J32,4))</f>
        <v/>
      </c>
      <c r="D32" s="656" t="s">
        <v>335</v>
      </c>
      <c r="E32" s="656" t="s">
        <v>336</v>
      </c>
      <c r="F32" s="656" t="s">
        <v>337</v>
      </c>
      <c r="G32" s="656" t="s">
        <v>338</v>
      </c>
      <c r="H32" s="656" t="s">
        <v>339</v>
      </c>
      <c r="I32" s="657">
        <f>IF(MID(C32,1,1)="D",'2. Accruals'!F32,0)</f>
        <v>0</v>
      </c>
      <c r="J32" s="657">
        <f>IF(MID(C32,1,1)="F",'2. Accruals'!F32,0)</f>
        <v>0</v>
      </c>
      <c r="K32" s="660" t="str">
        <f>_xlfn.CONCAT('2. Accruals'!L32," ",'2. Accruals'!M32," ",'2. Accruals'!N32," ",'2. Accruals'!O32," ",'2. Accruals'!H32)</f>
        <v xml:space="preserve">   0000 BCC SF24 </v>
      </c>
      <c r="L32" s="658" t="str">
        <f>MID('2. Accruals'!L32,5,6)</f>
        <v/>
      </c>
      <c r="M32" s="656" t="s">
        <v>963</v>
      </c>
      <c r="N32" s="656">
        <v>32</v>
      </c>
    </row>
    <row r="33" spans="1:14">
      <c r="A33" s="655" t="s">
        <v>334</v>
      </c>
      <c r="B33" s="658" t="str">
        <f t="shared" si="0"/>
        <v>0000</v>
      </c>
      <c r="C33" s="658" t="str">
        <f>IF('2. Accruals'!I33&gt;0,LEFT('2. Accruals'!I33,4),LEFT('2. Accruals'!J33,4))</f>
        <v/>
      </c>
      <c r="D33" s="656" t="s">
        <v>335</v>
      </c>
      <c r="E33" s="656" t="s">
        <v>336</v>
      </c>
      <c r="F33" s="656" t="s">
        <v>337</v>
      </c>
      <c r="G33" s="656" t="s">
        <v>338</v>
      </c>
      <c r="H33" s="656" t="s">
        <v>339</v>
      </c>
      <c r="I33" s="657">
        <f>IF(MID(C33,1,1)="D",'2. Accruals'!F33,0)</f>
        <v>0</v>
      </c>
      <c r="J33" s="657">
        <f>IF(MID(C33,1,1)="F",'2. Accruals'!F33,0)</f>
        <v>0</v>
      </c>
      <c r="K33" s="660" t="str">
        <f>_xlfn.CONCAT('2. Accruals'!L33," ",'2. Accruals'!M33," ",'2. Accruals'!N33," ",'2. Accruals'!O33," ",'2. Accruals'!H33)</f>
        <v xml:space="preserve">   0000 BCC SF25 </v>
      </c>
      <c r="L33" s="658" t="str">
        <f>MID('2. Accruals'!L33,5,6)</f>
        <v/>
      </c>
      <c r="M33" s="656" t="s">
        <v>963</v>
      </c>
      <c r="N33" s="656">
        <v>33</v>
      </c>
    </row>
    <row r="34" spans="1:14">
      <c r="A34" s="655" t="s">
        <v>334</v>
      </c>
      <c r="B34" s="658" t="str">
        <f t="shared" si="0"/>
        <v>0000</v>
      </c>
      <c r="C34" s="658" t="str">
        <f>IF('2. Accruals'!I34&gt;0,LEFT('2. Accruals'!I34,4),LEFT('2. Accruals'!J34,4))</f>
        <v/>
      </c>
      <c r="D34" s="656" t="s">
        <v>335</v>
      </c>
      <c r="E34" s="656" t="s">
        <v>336</v>
      </c>
      <c r="F34" s="656" t="s">
        <v>337</v>
      </c>
      <c r="G34" s="656" t="s">
        <v>338</v>
      </c>
      <c r="H34" s="656" t="s">
        <v>339</v>
      </c>
      <c r="I34" s="657">
        <f>IF(MID(C34,1,1)="D",'2. Accruals'!F34,0)</f>
        <v>0</v>
      </c>
      <c r="J34" s="657">
        <f>IF(MID(C34,1,1)="F",'2. Accruals'!F34,0)</f>
        <v>0</v>
      </c>
      <c r="K34" s="660" t="str">
        <f>_xlfn.CONCAT('2. Accruals'!L34," ",'2. Accruals'!M34," ",'2. Accruals'!N34," ",'2. Accruals'!O34," ",'2. Accruals'!H34)</f>
        <v xml:space="preserve">   0000 BCC SF26 </v>
      </c>
      <c r="L34" s="658" t="str">
        <f>MID('2. Accruals'!L34,5,6)</f>
        <v/>
      </c>
      <c r="M34" s="656" t="s">
        <v>963</v>
      </c>
      <c r="N34" s="656">
        <v>34</v>
      </c>
    </row>
    <row r="35" spans="1:14">
      <c r="A35" s="655" t="s">
        <v>334</v>
      </c>
      <c r="B35" s="658" t="str">
        <f t="shared" si="0"/>
        <v>0000</v>
      </c>
      <c r="C35" s="658" t="str">
        <f>IF('2. Accruals'!I35&gt;0,LEFT('2. Accruals'!I35,4),LEFT('2. Accruals'!J35,4))</f>
        <v/>
      </c>
      <c r="D35" s="656" t="s">
        <v>335</v>
      </c>
      <c r="E35" s="656" t="s">
        <v>336</v>
      </c>
      <c r="F35" s="656" t="s">
        <v>337</v>
      </c>
      <c r="G35" s="656" t="s">
        <v>338</v>
      </c>
      <c r="H35" s="656" t="s">
        <v>339</v>
      </c>
      <c r="I35" s="657">
        <f>IF(MID(C35,1,1)="D",'2. Accruals'!F35,0)</f>
        <v>0</v>
      </c>
      <c r="J35" s="657">
        <f>IF(MID(C35,1,1)="F",'2. Accruals'!F35,0)</f>
        <v>0</v>
      </c>
      <c r="K35" s="660" t="str">
        <f>_xlfn.CONCAT('2. Accruals'!L35," ",'2. Accruals'!M35," ",'2. Accruals'!N35," ",'2. Accruals'!O35," ",'2. Accruals'!H35)</f>
        <v xml:space="preserve">   0000 BCC SF27 </v>
      </c>
      <c r="L35" s="658" t="str">
        <f>MID('2. Accruals'!L35,5,6)</f>
        <v/>
      </c>
      <c r="M35" s="656" t="s">
        <v>963</v>
      </c>
      <c r="N35" s="656">
        <v>35</v>
      </c>
    </row>
    <row r="36" spans="1:14">
      <c r="A36" s="655" t="s">
        <v>334</v>
      </c>
      <c r="B36" s="658" t="str">
        <f t="shared" si="0"/>
        <v>0000</v>
      </c>
      <c r="C36" s="658" t="str">
        <f>IF('2. Accruals'!I36&gt;0,LEFT('2. Accruals'!I36,4),LEFT('2. Accruals'!J36,4))</f>
        <v/>
      </c>
      <c r="D36" s="656" t="s">
        <v>335</v>
      </c>
      <c r="E36" s="656" t="s">
        <v>336</v>
      </c>
      <c r="F36" s="656" t="s">
        <v>337</v>
      </c>
      <c r="G36" s="656" t="s">
        <v>338</v>
      </c>
      <c r="H36" s="656" t="s">
        <v>339</v>
      </c>
      <c r="I36" s="657">
        <f>IF(MID(C36,1,1)="D",'2. Accruals'!F36,0)</f>
        <v>0</v>
      </c>
      <c r="J36" s="657">
        <f>IF(MID(C36,1,1)="F",'2. Accruals'!F36,0)</f>
        <v>0</v>
      </c>
      <c r="K36" s="660" t="str">
        <f>_xlfn.CONCAT('2. Accruals'!L36," ",'2. Accruals'!M36," ",'2. Accruals'!N36," ",'2. Accruals'!O36," ",'2. Accruals'!H36)</f>
        <v xml:space="preserve">   0000 BCC SF28 </v>
      </c>
      <c r="L36" s="658" t="str">
        <f>MID('2. Accruals'!L36,5,6)</f>
        <v/>
      </c>
      <c r="M36" s="656" t="s">
        <v>963</v>
      </c>
      <c r="N36" s="656">
        <v>36</v>
      </c>
    </row>
    <row r="37" spans="1:14">
      <c r="A37" s="655" t="s">
        <v>334</v>
      </c>
      <c r="B37" s="658" t="str">
        <f t="shared" si="0"/>
        <v>0000</v>
      </c>
      <c r="C37" s="658" t="str">
        <f>IF('2. Accruals'!I37&gt;0,LEFT('2. Accruals'!I37,4),LEFT('2. Accruals'!J37,4))</f>
        <v/>
      </c>
      <c r="D37" s="656" t="s">
        <v>335</v>
      </c>
      <c r="E37" s="656" t="s">
        <v>336</v>
      </c>
      <c r="F37" s="656" t="s">
        <v>337</v>
      </c>
      <c r="G37" s="656" t="s">
        <v>338</v>
      </c>
      <c r="H37" s="656" t="s">
        <v>339</v>
      </c>
      <c r="I37" s="657">
        <f>IF(MID(C37,1,1)="D",'2. Accruals'!F37,0)</f>
        <v>0</v>
      </c>
      <c r="J37" s="657">
        <f>IF(MID(C37,1,1)="F",'2. Accruals'!F37,0)</f>
        <v>0</v>
      </c>
      <c r="K37" s="660" t="str">
        <f>_xlfn.CONCAT('2. Accruals'!L37," ",'2. Accruals'!M37," ",'2. Accruals'!N37," ",'2. Accruals'!O37," ",'2. Accruals'!H37)</f>
        <v xml:space="preserve">   0000 BCC SF29 </v>
      </c>
      <c r="L37" s="658" t="str">
        <f>MID('2. Accruals'!L37,5,6)</f>
        <v/>
      </c>
      <c r="M37" s="656" t="s">
        <v>963</v>
      </c>
      <c r="N37" s="656">
        <v>37</v>
      </c>
    </row>
    <row r="38" spans="1:14">
      <c r="A38" s="655" t="s">
        <v>334</v>
      </c>
      <c r="B38" s="658" t="str">
        <f t="shared" si="0"/>
        <v>0000</v>
      </c>
      <c r="C38" s="658" t="str">
        <f>IF('2. Accruals'!I38&gt;0,LEFT('2. Accruals'!I38,4),LEFT('2. Accruals'!J38,4))</f>
        <v/>
      </c>
      <c r="D38" s="656" t="s">
        <v>335</v>
      </c>
      <c r="E38" s="656" t="s">
        <v>336</v>
      </c>
      <c r="F38" s="656" t="s">
        <v>337</v>
      </c>
      <c r="G38" s="656" t="s">
        <v>338</v>
      </c>
      <c r="H38" s="656" t="s">
        <v>339</v>
      </c>
      <c r="I38" s="657">
        <f>IF(MID(C38,1,1)="D",'2. Accruals'!F38,0)</f>
        <v>0</v>
      </c>
      <c r="J38" s="657">
        <f>IF(MID(C38,1,1)="F",'2. Accruals'!F38,0)</f>
        <v>0</v>
      </c>
      <c r="K38" s="660" t="str">
        <f>_xlfn.CONCAT('2. Accruals'!L38," ",'2. Accruals'!M38," ",'2. Accruals'!N38," ",'2. Accruals'!O38," ",'2. Accruals'!H38)</f>
        <v xml:space="preserve">   0000 BCC SF30 </v>
      </c>
      <c r="L38" s="658" t="str">
        <f>MID('2. Accruals'!L38,5,6)</f>
        <v/>
      </c>
      <c r="M38" s="656" t="s">
        <v>963</v>
      </c>
      <c r="N38" s="656">
        <v>38</v>
      </c>
    </row>
    <row r="39" spans="1:14">
      <c r="A39" s="655" t="s">
        <v>334</v>
      </c>
      <c r="B39" s="658" t="str">
        <f t="shared" si="0"/>
        <v>0000</v>
      </c>
      <c r="C39" s="658" t="str">
        <f>IF('2. Accruals'!I39&gt;0,LEFT('2. Accruals'!I39,4),LEFT('2. Accruals'!J39,4))</f>
        <v/>
      </c>
      <c r="D39" s="656" t="s">
        <v>335</v>
      </c>
      <c r="E39" s="656" t="s">
        <v>336</v>
      </c>
      <c r="F39" s="656" t="s">
        <v>337</v>
      </c>
      <c r="G39" s="656" t="s">
        <v>338</v>
      </c>
      <c r="H39" s="656" t="s">
        <v>339</v>
      </c>
      <c r="I39" s="657">
        <f>IF(MID(C39,1,1)="D",'2. Accruals'!F39,0)</f>
        <v>0</v>
      </c>
      <c r="J39" s="657">
        <f>IF(MID(C39,1,1)="F",'2. Accruals'!F39,0)</f>
        <v>0</v>
      </c>
      <c r="K39" s="660" t="str">
        <f>_xlfn.CONCAT('2. Accruals'!L39," ",'2. Accruals'!M39," ",'2. Accruals'!N39," ",'2. Accruals'!O39," ",'2. Accruals'!H39)</f>
        <v xml:space="preserve">   0000 BCC SF31 </v>
      </c>
      <c r="L39" s="658" t="str">
        <f>MID('2. Accruals'!L39,5,6)</f>
        <v/>
      </c>
      <c r="M39" s="656" t="s">
        <v>963</v>
      </c>
      <c r="N39" s="656">
        <v>39</v>
      </c>
    </row>
    <row r="40" spans="1:14">
      <c r="A40" s="655" t="s">
        <v>334</v>
      </c>
      <c r="B40" s="658" t="str">
        <f t="shared" si="0"/>
        <v>0000</v>
      </c>
      <c r="C40" s="658" t="str">
        <f>IF('2. Accruals'!I40&gt;0,LEFT('2. Accruals'!I40,4),LEFT('2. Accruals'!J40,4))</f>
        <v/>
      </c>
      <c r="D40" s="656" t="s">
        <v>335</v>
      </c>
      <c r="E40" s="656" t="s">
        <v>336</v>
      </c>
      <c r="F40" s="656" t="s">
        <v>337</v>
      </c>
      <c r="G40" s="656" t="s">
        <v>338</v>
      </c>
      <c r="H40" s="656" t="s">
        <v>339</v>
      </c>
      <c r="I40" s="657">
        <f>IF(MID(C40,1,1)="D",'2. Accruals'!F40,0)</f>
        <v>0</v>
      </c>
      <c r="J40" s="657">
        <f>IF(MID(C40,1,1)="F",'2. Accruals'!F40,0)</f>
        <v>0</v>
      </c>
      <c r="K40" s="660" t="str">
        <f>_xlfn.CONCAT('2. Accruals'!L40," ",'2. Accruals'!M40," ",'2. Accruals'!N40," ",'2. Accruals'!O40," ",'2. Accruals'!H40)</f>
        <v xml:space="preserve">   0000 BCC SF32 </v>
      </c>
      <c r="L40" s="658" t="str">
        <f>MID('2. Accruals'!L40,5,6)</f>
        <v/>
      </c>
      <c r="M40" s="656" t="s">
        <v>963</v>
      </c>
      <c r="N40" s="656">
        <v>40</v>
      </c>
    </row>
    <row r="41" spans="1:14">
      <c r="A41" s="655" t="s">
        <v>334</v>
      </c>
      <c r="B41" s="658" t="str">
        <f t="shared" si="0"/>
        <v>0000</v>
      </c>
      <c r="C41" s="658" t="str">
        <f>IF('2. Accruals'!I41&gt;0,LEFT('2. Accruals'!I41,4),LEFT('2. Accruals'!J41,4))</f>
        <v/>
      </c>
      <c r="D41" s="656" t="s">
        <v>335</v>
      </c>
      <c r="E41" s="656" t="s">
        <v>336</v>
      </c>
      <c r="F41" s="656" t="s">
        <v>337</v>
      </c>
      <c r="G41" s="656" t="s">
        <v>338</v>
      </c>
      <c r="H41" s="656" t="s">
        <v>339</v>
      </c>
      <c r="I41" s="657">
        <f>IF(MID(C41,1,1)="D",'2. Accruals'!F41,0)</f>
        <v>0</v>
      </c>
      <c r="J41" s="657">
        <f>IF(MID(C41,1,1)="F",'2. Accruals'!F41,0)</f>
        <v>0</v>
      </c>
      <c r="K41" s="660" t="str">
        <f>_xlfn.CONCAT('2. Accruals'!L41," ",'2. Accruals'!M41," ",'2. Accruals'!N41," ",'2. Accruals'!O41," ",'2. Accruals'!H41)</f>
        <v xml:space="preserve">   0000 BCC SF33 </v>
      </c>
      <c r="L41" s="658" t="str">
        <f>MID('2. Accruals'!L41,5,6)</f>
        <v/>
      </c>
      <c r="M41" s="656" t="s">
        <v>963</v>
      </c>
      <c r="N41" s="656">
        <v>41</v>
      </c>
    </row>
    <row r="42" spans="1:14">
      <c r="A42" s="655" t="s">
        <v>334</v>
      </c>
      <c r="B42" s="658" t="str">
        <f t="shared" si="0"/>
        <v>0000</v>
      </c>
      <c r="C42" s="658" t="str">
        <f>IF('2. Accruals'!I42&gt;0,LEFT('2. Accruals'!I42,4),LEFT('2. Accruals'!J42,4))</f>
        <v/>
      </c>
      <c r="D42" s="656" t="s">
        <v>335</v>
      </c>
      <c r="E42" s="656" t="s">
        <v>336</v>
      </c>
      <c r="F42" s="656" t="s">
        <v>337</v>
      </c>
      <c r="G42" s="656" t="s">
        <v>338</v>
      </c>
      <c r="H42" s="656" t="s">
        <v>339</v>
      </c>
      <c r="I42" s="657">
        <f>IF(MID(C42,1,1)="D",'2. Accruals'!F42,0)</f>
        <v>0</v>
      </c>
      <c r="J42" s="657">
        <f>IF(MID(C42,1,1)="F",'2. Accruals'!F42,0)</f>
        <v>0</v>
      </c>
      <c r="K42" s="660" t="str">
        <f>_xlfn.CONCAT('2. Accruals'!L42," ",'2. Accruals'!M42," ",'2. Accruals'!N42," ",'2. Accruals'!O42," ",'2. Accruals'!H42)</f>
        <v xml:space="preserve">   0000 BCC SF34 </v>
      </c>
      <c r="L42" s="658" t="str">
        <f>MID('2. Accruals'!L42,5,6)</f>
        <v/>
      </c>
      <c r="M42" s="656" t="s">
        <v>963</v>
      </c>
      <c r="N42" s="656">
        <v>42</v>
      </c>
    </row>
    <row r="43" spans="1:14">
      <c r="A43" s="655" t="s">
        <v>334</v>
      </c>
      <c r="B43" s="658" t="str">
        <f t="shared" si="0"/>
        <v>0000</v>
      </c>
      <c r="C43" s="658" t="str">
        <f>IF('2. Accruals'!I43&gt;0,LEFT('2. Accruals'!I43,4),LEFT('2. Accruals'!J43,4))</f>
        <v/>
      </c>
      <c r="D43" s="656" t="s">
        <v>335</v>
      </c>
      <c r="E43" s="656" t="s">
        <v>336</v>
      </c>
      <c r="F43" s="656" t="s">
        <v>337</v>
      </c>
      <c r="G43" s="656" t="s">
        <v>338</v>
      </c>
      <c r="H43" s="656" t="s">
        <v>339</v>
      </c>
      <c r="I43" s="657">
        <f>IF(MID(C43,1,1)="D",'2. Accruals'!F43,0)</f>
        <v>0</v>
      </c>
      <c r="J43" s="657">
        <f>IF(MID(C43,1,1)="F",'2. Accruals'!F43,0)</f>
        <v>0</v>
      </c>
      <c r="K43" s="660" t="str">
        <f>_xlfn.CONCAT('2. Accruals'!L43," ",'2. Accruals'!M43," ",'2. Accruals'!N43," ",'2. Accruals'!O43," ",'2. Accruals'!H43)</f>
        <v xml:space="preserve">   0000 BCC SF35 </v>
      </c>
      <c r="L43" s="658" t="str">
        <f>MID('2. Accruals'!L43,5,6)</f>
        <v/>
      </c>
      <c r="M43" s="656" t="s">
        <v>963</v>
      </c>
      <c r="N43" s="656">
        <v>43</v>
      </c>
    </row>
    <row r="44" spans="1:14">
      <c r="A44" s="655" t="s">
        <v>334</v>
      </c>
      <c r="B44" s="658" t="str">
        <f t="shared" si="0"/>
        <v>0000</v>
      </c>
      <c r="C44" s="658" t="str">
        <f>IF('2. Accruals'!I44&gt;0,LEFT('2. Accruals'!I44,4),LEFT('2. Accruals'!J44,4))</f>
        <v/>
      </c>
      <c r="D44" s="656" t="s">
        <v>335</v>
      </c>
      <c r="E44" s="656" t="s">
        <v>336</v>
      </c>
      <c r="F44" s="656" t="s">
        <v>337</v>
      </c>
      <c r="G44" s="656" t="s">
        <v>338</v>
      </c>
      <c r="H44" s="656" t="s">
        <v>339</v>
      </c>
      <c r="I44" s="657">
        <f>IF(MID(C44,1,1)="D",'2. Accruals'!F44,0)</f>
        <v>0</v>
      </c>
      <c r="J44" s="657">
        <f>IF(MID(C44,1,1)="F",'2. Accruals'!F44,0)</f>
        <v>0</v>
      </c>
      <c r="K44" s="660" t="str">
        <f>_xlfn.CONCAT('2. Accruals'!L44," ",'2. Accruals'!M44," ",'2. Accruals'!N44," ",'2. Accruals'!O44," ",'2. Accruals'!H44)</f>
        <v xml:space="preserve">   0000 BCC SF36 </v>
      </c>
      <c r="L44" s="658" t="str">
        <f>MID('2. Accruals'!L44,5,6)</f>
        <v/>
      </c>
      <c r="M44" s="656" t="s">
        <v>963</v>
      </c>
      <c r="N44" s="656">
        <v>44</v>
      </c>
    </row>
    <row r="45" spans="1:14">
      <c r="A45" s="655" t="s">
        <v>334</v>
      </c>
      <c r="B45" s="658" t="str">
        <f t="shared" si="0"/>
        <v>0000</v>
      </c>
      <c r="C45" s="658" t="str">
        <f>IF('2. Accruals'!I45&gt;0,LEFT('2. Accruals'!I45,4),LEFT('2. Accruals'!J45,4))</f>
        <v/>
      </c>
      <c r="D45" s="656" t="s">
        <v>335</v>
      </c>
      <c r="E45" s="656" t="s">
        <v>336</v>
      </c>
      <c r="F45" s="656" t="s">
        <v>337</v>
      </c>
      <c r="G45" s="656" t="s">
        <v>338</v>
      </c>
      <c r="H45" s="656" t="s">
        <v>339</v>
      </c>
      <c r="I45" s="657">
        <f>IF(MID(C45,1,1)="D",'2. Accruals'!F45,0)</f>
        <v>0</v>
      </c>
      <c r="J45" s="657">
        <f>IF(MID(C45,1,1)="F",'2. Accruals'!F45,0)</f>
        <v>0</v>
      </c>
      <c r="K45" s="660" t="str">
        <f>_xlfn.CONCAT('2. Accruals'!L45," ",'2. Accruals'!M45," ",'2. Accruals'!N45," ",'2. Accruals'!O45," ",'2. Accruals'!H45)</f>
        <v xml:space="preserve">   0000 BCC SF37 </v>
      </c>
      <c r="L45" s="658" t="str">
        <f>MID('2. Accruals'!L45,5,6)</f>
        <v/>
      </c>
      <c r="M45" s="656" t="s">
        <v>963</v>
      </c>
      <c r="N45" s="656">
        <v>45</v>
      </c>
    </row>
    <row r="46" spans="1:14">
      <c r="A46" s="655" t="s">
        <v>334</v>
      </c>
      <c r="B46" s="658" t="str">
        <f t="shared" si="0"/>
        <v>0000</v>
      </c>
      <c r="C46" s="658" t="str">
        <f>IF('2. Accruals'!I46&gt;0,LEFT('2. Accruals'!I46,4),LEFT('2. Accruals'!J46,4))</f>
        <v/>
      </c>
      <c r="D46" s="656" t="s">
        <v>335</v>
      </c>
      <c r="E46" s="656" t="s">
        <v>336</v>
      </c>
      <c r="F46" s="656" t="s">
        <v>337</v>
      </c>
      <c r="G46" s="656" t="s">
        <v>338</v>
      </c>
      <c r="H46" s="656" t="s">
        <v>339</v>
      </c>
      <c r="I46" s="657">
        <f>IF(MID(C46,1,1)="D",'2. Accruals'!F46,0)</f>
        <v>0</v>
      </c>
      <c r="J46" s="657">
        <f>IF(MID(C46,1,1)="F",'2. Accruals'!F46,0)</f>
        <v>0</v>
      </c>
      <c r="K46" s="660" t="str">
        <f>_xlfn.CONCAT('2. Accruals'!L46," ",'2. Accruals'!M46," ",'2. Accruals'!N46," ",'2. Accruals'!O46," ",'2. Accruals'!H46)</f>
        <v xml:space="preserve">   0000 BCC SF38 </v>
      </c>
      <c r="L46" s="658" t="str">
        <f>MID('2. Accruals'!L46,5,6)</f>
        <v/>
      </c>
      <c r="M46" s="656" t="s">
        <v>963</v>
      </c>
      <c r="N46" s="656">
        <v>46</v>
      </c>
    </row>
    <row r="47" spans="1:14">
      <c r="A47" s="655" t="s">
        <v>334</v>
      </c>
      <c r="B47" s="658" t="str">
        <f t="shared" si="0"/>
        <v>0000</v>
      </c>
      <c r="C47" s="658" t="str">
        <f>IF('2. Accruals'!I47&gt;0,LEFT('2. Accruals'!I47,4),LEFT('2. Accruals'!J47,4))</f>
        <v/>
      </c>
      <c r="D47" s="656" t="s">
        <v>335</v>
      </c>
      <c r="E47" s="656" t="s">
        <v>336</v>
      </c>
      <c r="F47" s="656" t="s">
        <v>337</v>
      </c>
      <c r="G47" s="656" t="s">
        <v>338</v>
      </c>
      <c r="H47" s="656" t="s">
        <v>339</v>
      </c>
      <c r="I47" s="657">
        <f>IF(MID(C47,1,1)="D",'2. Accruals'!F47,0)</f>
        <v>0</v>
      </c>
      <c r="J47" s="657">
        <f>IF(MID(C47,1,1)="F",'2. Accruals'!F47,0)</f>
        <v>0</v>
      </c>
      <c r="K47" s="660" t="str">
        <f>_xlfn.CONCAT('2. Accruals'!L47," ",'2. Accruals'!M47," ",'2. Accruals'!N47," ",'2. Accruals'!O47," ",'2. Accruals'!H47)</f>
        <v xml:space="preserve">   0000 BCC SF39 </v>
      </c>
      <c r="L47" s="658" t="str">
        <f>MID('2. Accruals'!L47,5,6)</f>
        <v/>
      </c>
      <c r="M47" s="656" t="s">
        <v>963</v>
      </c>
      <c r="N47" s="656">
        <v>47</v>
      </c>
    </row>
    <row r="48" spans="1:14">
      <c r="A48" s="655" t="s">
        <v>334</v>
      </c>
      <c r="B48" s="658" t="str">
        <f t="shared" si="0"/>
        <v>0000</v>
      </c>
      <c r="C48" s="658" t="str">
        <f>IF('2. Accruals'!I48&gt;0,LEFT('2. Accruals'!I48,4),LEFT('2. Accruals'!J48,4))</f>
        <v/>
      </c>
      <c r="D48" s="656" t="s">
        <v>335</v>
      </c>
      <c r="E48" s="656" t="s">
        <v>336</v>
      </c>
      <c r="F48" s="656" t="s">
        <v>337</v>
      </c>
      <c r="G48" s="656" t="s">
        <v>338</v>
      </c>
      <c r="H48" s="656" t="s">
        <v>339</v>
      </c>
      <c r="I48" s="657">
        <f>IF(MID(C48,1,1)="D",'2. Accruals'!F48,0)</f>
        <v>0</v>
      </c>
      <c r="J48" s="657">
        <f>IF(MID(C48,1,1)="F",'2. Accruals'!F48,0)</f>
        <v>0</v>
      </c>
      <c r="K48" s="660" t="str">
        <f>_xlfn.CONCAT('2. Accruals'!L48," ",'2. Accruals'!M48," ",'2. Accruals'!N48," ",'2. Accruals'!O48," ",'2. Accruals'!H48)</f>
        <v xml:space="preserve">   0000 BCC SF40 </v>
      </c>
      <c r="L48" s="658" t="str">
        <f>MID('2. Accruals'!L48,5,6)</f>
        <v/>
      </c>
      <c r="M48" s="656" t="s">
        <v>963</v>
      </c>
      <c r="N48" s="656">
        <v>48</v>
      </c>
    </row>
    <row r="49" spans="1:14">
      <c r="A49" s="655" t="s">
        <v>334</v>
      </c>
      <c r="B49" s="658" t="str">
        <f t="shared" si="0"/>
        <v>0000</v>
      </c>
      <c r="C49" s="658" t="str">
        <f>IF('2. Accruals'!I49&gt;0,LEFT('2. Accruals'!I49,4),LEFT('2. Accruals'!J49,4))</f>
        <v/>
      </c>
      <c r="D49" s="656" t="s">
        <v>335</v>
      </c>
      <c r="E49" s="656" t="s">
        <v>336</v>
      </c>
      <c r="F49" s="656" t="s">
        <v>337</v>
      </c>
      <c r="G49" s="656" t="s">
        <v>338</v>
      </c>
      <c r="H49" s="656" t="s">
        <v>339</v>
      </c>
      <c r="I49" s="657">
        <f>IF(MID(C49,1,1)="D",'2. Accruals'!F49,0)</f>
        <v>0</v>
      </c>
      <c r="J49" s="657">
        <f>IF(MID(C49,1,1)="F",'2. Accruals'!F49,0)</f>
        <v>0</v>
      </c>
      <c r="K49" s="660" t="str">
        <f>_xlfn.CONCAT('2. Accruals'!L49," ",'2. Accruals'!M49," ",'2. Accruals'!N49," ",'2. Accruals'!O49," ",'2. Accruals'!H49)</f>
        <v xml:space="preserve">   0000 BCC SF41 </v>
      </c>
      <c r="L49" s="658" t="str">
        <f>MID('2. Accruals'!L49,5,6)</f>
        <v/>
      </c>
      <c r="M49" s="656" t="s">
        <v>963</v>
      </c>
      <c r="N49" s="656">
        <v>49</v>
      </c>
    </row>
    <row r="50" spans="1:14">
      <c r="A50" s="655" t="s">
        <v>334</v>
      </c>
      <c r="B50" s="658" t="str">
        <f t="shared" si="0"/>
        <v>0000</v>
      </c>
      <c r="C50" s="658" t="str">
        <f>IF('2. Accruals'!I50&gt;0,LEFT('2. Accruals'!I50,4),LEFT('2. Accruals'!J50,4))</f>
        <v/>
      </c>
      <c r="D50" s="656" t="s">
        <v>335</v>
      </c>
      <c r="E50" s="656" t="s">
        <v>336</v>
      </c>
      <c r="F50" s="656" t="s">
        <v>337</v>
      </c>
      <c r="G50" s="656" t="s">
        <v>338</v>
      </c>
      <c r="H50" s="656" t="s">
        <v>339</v>
      </c>
      <c r="I50" s="657">
        <f>IF(MID(C50,1,1)="D",'2. Accruals'!F50,0)</f>
        <v>0</v>
      </c>
      <c r="J50" s="657">
        <f>IF(MID(C50,1,1)="F",'2. Accruals'!F50,0)</f>
        <v>0</v>
      </c>
      <c r="K50" s="660" t="str">
        <f>_xlfn.CONCAT('2. Accruals'!L50," ",'2. Accruals'!M50," ",'2. Accruals'!N50," ",'2. Accruals'!O50," ",'2. Accruals'!H50)</f>
        <v xml:space="preserve">   0000 BCC SF42 </v>
      </c>
      <c r="L50" s="658" t="str">
        <f>MID('2. Accruals'!L50,5,6)</f>
        <v/>
      </c>
      <c r="M50" s="656" t="s">
        <v>963</v>
      </c>
      <c r="N50" s="656">
        <v>50</v>
      </c>
    </row>
    <row r="51" spans="1:14">
      <c r="A51" s="655" t="s">
        <v>334</v>
      </c>
      <c r="B51" s="658" t="str">
        <f t="shared" si="0"/>
        <v>0000</v>
      </c>
      <c r="C51" s="658" t="str">
        <f>IF('2. Accruals'!I51&gt;0,LEFT('2. Accruals'!I51,4),LEFT('2. Accruals'!J51,4))</f>
        <v/>
      </c>
      <c r="D51" s="656" t="s">
        <v>335</v>
      </c>
      <c r="E51" s="656" t="s">
        <v>336</v>
      </c>
      <c r="F51" s="656" t="s">
        <v>337</v>
      </c>
      <c r="G51" s="656" t="s">
        <v>338</v>
      </c>
      <c r="H51" s="656" t="s">
        <v>339</v>
      </c>
      <c r="I51" s="657">
        <f>IF(MID(C51,1,1)="D",'2. Accruals'!F51,0)</f>
        <v>0</v>
      </c>
      <c r="J51" s="657">
        <f>IF(MID(C51,1,1)="F",'2. Accruals'!F51,0)</f>
        <v>0</v>
      </c>
      <c r="K51" s="660" t="str">
        <f>_xlfn.CONCAT('2. Accruals'!L51," ",'2. Accruals'!M51," ",'2. Accruals'!N51," ",'2. Accruals'!O51," ",'2. Accruals'!H51)</f>
        <v xml:space="preserve">   0000 BCC SF43 </v>
      </c>
      <c r="L51" s="658" t="str">
        <f>MID('2. Accruals'!L51,5,6)</f>
        <v/>
      </c>
      <c r="M51" s="656" t="s">
        <v>963</v>
      </c>
      <c r="N51" s="656">
        <v>51</v>
      </c>
    </row>
    <row r="52" spans="1:14">
      <c r="A52" s="655" t="s">
        <v>334</v>
      </c>
      <c r="B52" s="658" t="str">
        <f t="shared" si="0"/>
        <v>0000</v>
      </c>
      <c r="C52" s="658" t="str">
        <f>IF('2. Accruals'!I52&gt;0,LEFT('2. Accruals'!I52,4),LEFT('2. Accruals'!J52,4))</f>
        <v/>
      </c>
      <c r="D52" s="656" t="s">
        <v>335</v>
      </c>
      <c r="E52" s="656" t="s">
        <v>336</v>
      </c>
      <c r="F52" s="656" t="s">
        <v>337</v>
      </c>
      <c r="G52" s="656" t="s">
        <v>338</v>
      </c>
      <c r="H52" s="656" t="s">
        <v>339</v>
      </c>
      <c r="I52" s="657">
        <f>IF(MID(C52,1,1)="D",'2. Accruals'!F52,0)</f>
        <v>0</v>
      </c>
      <c r="J52" s="657">
        <f>IF(MID(C52,1,1)="F",'2. Accruals'!F52,0)</f>
        <v>0</v>
      </c>
      <c r="K52" s="660" t="str">
        <f>_xlfn.CONCAT('2. Accruals'!L52," ",'2. Accruals'!M52," ",'2. Accruals'!N52," ",'2. Accruals'!O52," ",'2. Accruals'!H52)</f>
        <v xml:space="preserve">   0000 BCC SF44 </v>
      </c>
      <c r="L52" s="658" t="str">
        <f>MID('2. Accruals'!L52,5,6)</f>
        <v/>
      </c>
      <c r="M52" s="656" t="s">
        <v>963</v>
      </c>
      <c r="N52" s="656">
        <v>52</v>
      </c>
    </row>
    <row r="53" spans="1:14">
      <c r="A53" s="655" t="s">
        <v>334</v>
      </c>
      <c r="B53" s="658" t="str">
        <f t="shared" si="0"/>
        <v>0000</v>
      </c>
      <c r="C53" s="658" t="str">
        <f>IF('2. Accruals'!I53&gt;0,LEFT('2. Accruals'!I53,4),LEFT('2. Accruals'!J53,4))</f>
        <v/>
      </c>
      <c r="D53" s="656" t="s">
        <v>335</v>
      </c>
      <c r="E53" s="656" t="s">
        <v>336</v>
      </c>
      <c r="F53" s="656" t="s">
        <v>337</v>
      </c>
      <c r="G53" s="656" t="s">
        <v>338</v>
      </c>
      <c r="H53" s="656" t="s">
        <v>339</v>
      </c>
      <c r="I53" s="657">
        <f>IF(MID(C53,1,1)="D",'2. Accruals'!F53,0)</f>
        <v>0</v>
      </c>
      <c r="J53" s="657">
        <f>IF(MID(C53,1,1)="F",'2. Accruals'!F53,0)</f>
        <v>0</v>
      </c>
      <c r="K53" s="660" t="str">
        <f>_xlfn.CONCAT('2. Accruals'!L53," ",'2. Accruals'!M53," ",'2. Accruals'!N53," ",'2. Accruals'!O53," ",'2. Accruals'!H53)</f>
        <v xml:space="preserve">   0000 BCC SF45 </v>
      </c>
      <c r="L53" s="658" t="str">
        <f>MID('2. Accruals'!L53,5,6)</f>
        <v/>
      </c>
      <c r="M53" s="656" t="s">
        <v>963</v>
      </c>
      <c r="N53" s="656">
        <v>53</v>
      </c>
    </row>
    <row r="54" spans="1:14">
      <c r="A54" s="655" t="s">
        <v>334</v>
      </c>
      <c r="B54" s="658" t="str">
        <f t="shared" si="0"/>
        <v>0000</v>
      </c>
      <c r="C54" s="658" t="str">
        <f>IF('2. Accruals'!I54&gt;0,LEFT('2. Accruals'!I54,4),LEFT('2. Accruals'!J54,4))</f>
        <v/>
      </c>
      <c r="D54" s="656" t="s">
        <v>335</v>
      </c>
      <c r="E54" s="656" t="s">
        <v>336</v>
      </c>
      <c r="F54" s="656" t="s">
        <v>337</v>
      </c>
      <c r="G54" s="656" t="s">
        <v>338</v>
      </c>
      <c r="H54" s="656" t="s">
        <v>339</v>
      </c>
      <c r="I54" s="657">
        <f>IF(MID(C54,1,1)="D",'2. Accruals'!F54,0)</f>
        <v>0</v>
      </c>
      <c r="J54" s="657">
        <f>IF(MID(C54,1,1)="F",'2. Accruals'!F54,0)</f>
        <v>0</v>
      </c>
      <c r="K54" s="660" t="str">
        <f>_xlfn.CONCAT('2. Accruals'!L54," ",'2. Accruals'!M54," ",'2. Accruals'!N54," ",'2. Accruals'!O54," ",'2. Accruals'!H54)</f>
        <v xml:space="preserve">   0000 BCC SF46 </v>
      </c>
      <c r="L54" s="658" t="str">
        <f>MID('2. Accruals'!L54,5,6)</f>
        <v/>
      </c>
      <c r="M54" s="656" t="s">
        <v>963</v>
      </c>
      <c r="N54" s="656">
        <v>54</v>
      </c>
    </row>
    <row r="55" spans="1:14">
      <c r="A55" s="655" t="s">
        <v>334</v>
      </c>
      <c r="B55" s="658" t="str">
        <f t="shared" si="0"/>
        <v>0000</v>
      </c>
      <c r="C55" s="658" t="str">
        <f>IF('2. Accruals'!I55&gt;0,LEFT('2. Accruals'!I55,4),LEFT('2. Accruals'!J55,4))</f>
        <v/>
      </c>
      <c r="D55" s="656" t="s">
        <v>335</v>
      </c>
      <c r="E55" s="656" t="s">
        <v>336</v>
      </c>
      <c r="F55" s="656" t="s">
        <v>337</v>
      </c>
      <c r="G55" s="656" t="s">
        <v>338</v>
      </c>
      <c r="H55" s="656" t="s">
        <v>339</v>
      </c>
      <c r="I55" s="657">
        <f>IF(MID(C55,1,1)="D",'2. Accruals'!F55,0)</f>
        <v>0</v>
      </c>
      <c r="J55" s="657">
        <f>IF(MID(C55,1,1)="F",'2. Accruals'!F55,0)</f>
        <v>0</v>
      </c>
      <c r="K55" s="660" t="str">
        <f>_xlfn.CONCAT('2. Accruals'!L55," ",'2. Accruals'!M55," ",'2. Accruals'!N55," ",'2. Accruals'!O55," ",'2. Accruals'!H55)</f>
        <v xml:space="preserve">   0000 BCC SF47 </v>
      </c>
      <c r="L55" s="658" t="str">
        <f>MID('2. Accruals'!L55,5,6)</f>
        <v/>
      </c>
      <c r="M55" s="656" t="s">
        <v>963</v>
      </c>
      <c r="N55" s="656">
        <v>55</v>
      </c>
    </row>
    <row r="56" spans="1:14">
      <c r="A56" s="655" t="s">
        <v>334</v>
      </c>
      <c r="B56" s="658" t="str">
        <f t="shared" si="0"/>
        <v>0000</v>
      </c>
      <c r="C56" s="658" t="str">
        <f>IF('2. Accruals'!I56&gt;0,LEFT('2. Accruals'!I56,4),LEFT('2. Accruals'!J56,4))</f>
        <v/>
      </c>
      <c r="D56" s="656" t="s">
        <v>335</v>
      </c>
      <c r="E56" s="656" t="s">
        <v>336</v>
      </c>
      <c r="F56" s="656" t="s">
        <v>337</v>
      </c>
      <c r="G56" s="656" t="s">
        <v>338</v>
      </c>
      <c r="H56" s="656" t="s">
        <v>339</v>
      </c>
      <c r="I56" s="657">
        <f>IF(MID(C56,1,1)="D",'2. Accruals'!F56,0)</f>
        <v>0</v>
      </c>
      <c r="J56" s="657">
        <f>IF(MID(C56,1,1)="F",'2. Accruals'!F56,0)</f>
        <v>0</v>
      </c>
      <c r="K56" s="660" t="str">
        <f>_xlfn.CONCAT('2. Accruals'!L56," ",'2. Accruals'!M56," ",'2. Accruals'!N56," ",'2. Accruals'!O56," ",'2. Accruals'!H56)</f>
        <v xml:space="preserve">   0000 BCC SF48 </v>
      </c>
      <c r="L56" s="658" t="str">
        <f>MID('2. Accruals'!L56,5,6)</f>
        <v/>
      </c>
      <c r="M56" s="656" t="s">
        <v>963</v>
      </c>
      <c r="N56" s="656">
        <v>56</v>
      </c>
    </row>
    <row r="57" spans="1:14">
      <c r="A57" s="655" t="s">
        <v>334</v>
      </c>
      <c r="B57" s="658" t="str">
        <f t="shared" si="0"/>
        <v>0000</v>
      </c>
      <c r="C57" s="658" t="str">
        <f>IF('2. Accruals'!I57&gt;0,LEFT('2. Accruals'!I57,4),LEFT('2. Accruals'!J57,4))</f>
        <v/>
      </c>
      <c r="D57" s="656" t="s">
        <v>335</v>
      </c>
      <c r="E57" s="656" t="s">
        <v>336</v>
      </c>
      <c r="F57" s="656" t="s">
        <v>337</v>
      </c>
      <c r="G57" s="656" t="s">
        <v>338</v>
      </c>
      <c r="H57" s="656" t="s">
        <v>339</v>
      </c>
      <c r="I57" s="657">
        <f>IF(MID(C57,1,1)="D",'2. Accruals'!F57,0)</f>
        <v>0</v>
      </c>
      <c r="J57" s="657">
        <f>IF(MID(C57,1,1)="F",'2. Accruals'!F57,0)</f>
        <v>0</v>
      </c>
      <c r="K57" s="660" t="str">
        <f>_xlfn.CONCAT('2. Accruals'!L57," ",'2. Accruals'!M57," ",'2. Accruals'!N57," ",'2. Accruals'!O57," ",'2. Accruals'!H57)</f>
        <v xml:space="preserve">   0000 BCC SF49 </v>
      </c>
      <c r="L57" s="658" t="str">
        <f>MID('2. Accruals'!L57,5,6)</f>
        <v/>
      </c>
      <c r="M57" s="656" t="s">
        <v>963</v>
      </c>
      <c r="N57" s="656">
        <v>57</v>
      </c>
    </row>
    <row r="58" spans="1:14">
      <c r="A58" s="655" t="s">
        <v>334</v>
      </c>
      <c r="B58" s="658" t="str">
        <f t="shared" si="0"/>
        <v>0000</v>
      </c>
      <c r="C58" s="658" t="str">
        <f>IF('2. Accruals'!I58&gt;0,LEFT('2. Accruals'!I58,4),LEFT('2. Accruals'!J58,4))</f>
        <v/>
      </c>
      <c r="D58" s="656" t="s">
        <v>335</v>
      </c>
      <c r="E58" s="656" t="s">
        <v>336</v>
      </c>
      <c r="F58" s="656" t="s">
        <v>337</v>
      </c>
      <c r="G58" s="656" t="s">
        <v>338</v>
      </c>
      <c r="H58" s="656" t="s">
        <v>339</v>
      </c>
      <c r="I58" s="657">
        <f>IF(MID(C58,1,1)="D",'2. Accruals'!F58,0)</f>
        <v>0</v>
      </c>
      <c r="J58" s="657">
        <f>IF(MID(C58,1,1)="F",'2. Accruals'!F58,0)</f>
        <v>0</v>
      </c>
      <c r="K58" s="660" t="str">
        <f>_xlfn.CONCAT('2. Accruals'!L58," ",'2. Accruals'!M58," ",'2. Accruals'!N58," ",'2. Accruals'!O58," ",'2. Accruals'!H58)</f>
        <v xml:space="preserve">   0000 BCC SF50 </v>
      </c>
      <c r="L58" s="658" t="str">
        <f>MID('2. Accruals'!L58,5,6)</f>
        <v/>
      </c>
      <c r="M58" s="656" t="s">
        <v>963</v>
      </c>
      <c r="N58" s="656">
        <v>58</v>
      </c>
    </row>
    <row r="59" spans="1:14">
      <c r="A59" s="655" t="s">
        <v>334</v>
      </c>
      <c r="B59" s="658" t="str">
        <f t="shared" si="0"/>
        <v>0000</v>
      </c>
      <c r="C59" s="658" t="str">
        <f>IF('2. Accruals'!I59&gt;0,LEFT('2. Accruals'!I59,4),LEFT('2. Accruals'!J59,4))</f>
        <v/>
      </c>
      <c r="D59" s="656" t="s">
        <v>335</v>
      </c>
      <c r="E59" s="656" t="s">
        <v>336</v>
      </c>
      <c r="F59" s="656" t="s">
        <v>337</v>
      </c>
      <c r="G59" s="656" t="s">
        <v>338</v>
      </c>
      <c r="H59" s="656" t="s">
        <v>339</v>
      </c>
      <c r="I59" s="657">
        <f>IF(MID(C59,1,1)="D",'2. Accruals'!F59,0)</f>
        <v>0</v>
      </c>
      <c r="J59" s="657">
        <f>IF(MID(C59,1,1)="F",'2. Accruals'!F59,0)</f>
        <v>0</v>
      </c>
      <c r="K59" s="660" t="str">
        <f>_xlfn.CONCAT('2. Accruals'!L59," ",'2. Accruals'!M59," ",'2. Accruals'!N59," ",'2. Accruals'!O59," ",'2. Accruals'!H59)</f>
        <v xml:space="preserve">   0000 BCC SF51 </v>
      </c>
      <c r="L59" s="658" t="str">
        <f>MID('2. Accruals'!L59,5,6)</f>
        <v/>
      </c>
      <c r="M59" s="656" t="s">
        <v>963</v>
      </c>
      <c r="N59" s="656">
        <v>59</v>
      </c>
    </row>
    <row r="60" spans="1:14">
      <c r="A60" s="655" t="s">
        <v>334</v>
      </c>
      <c r="B60" s="658" t="str">
        <f t="shared" si="0"/>
        <v>0000</v>
      </c>
      <c r="C60" s="658" t="str">
        <f>IF('2. Accruals'!I60&gt;0,LEFT('2. Accruals'!I60,4),LEFT('2. Accruals'!J60,4))</f>
        <v/>
      </c>
      <c r="D60" s="656" t="s">
        <v>335</v>
      </c>
      <c r="E60" s="656" t="s">
        <v>336</v>
      </c>
      <c r="F60" s="656" t="s">
        <v>337</v>
      </c>
      <c r="G60" s="656" t="s">
        <v>338</v>
      </c>
      <c r="H60" s="656" t="s">
        <v>339</v>
      </c>
      <c r="I60" s="657">
        <f>IF(MID(C60,1,1)="D",'2. Accruals'!F60,0)</f>
        <v>0</v>
      </c>
      <c r="J60" s="657">
        <f>IF(MID(C60,1,1)="F",'2. Accruals'!F60,0)</f>
        <v>0</v>
      </c>
      <c r="K60" s="660" t="str">
        <f>_xlfn.CONCAT('2. Accruals'!L60," ",'2. Accruals'!M60," ",'2. Accruals'!N60," ",'2. Accruals'!O60," ",'2. Accruals'!H60)</f>
        <v xml:space="preserve">   0000 BCC SF52 </v>
      </c>
      <c r="L60" s="658" t="str">
        <f>MID('2. Accruals'!L60,5,6)</f>
        <v/>
      </c>
      <c r="M60" s="656" t="s">
        <v>963</v>
      </c>
      <c r="N60" s="656">
        <v>60</v>
      </c>
    </row>
    <row r="61" spans="1:14">
      <c r="A61" s="655" t="s">
        <v>334</v>
      </c>
      <c r="B61" s="658" t="str">
        <f t="shared" si="0"/>
        <v>0000</v>
      </c>
      <c r="C61" s="658" t="str">
        <f>IF('2. Accruals'!I61&gt;0,LEFT('2. Accruals'!I61,4),LEFT('2. Accruals'!J61,4))</f>
        <v/>
      </c>
      <c r="D61" s="656" t="s">
        <v>335</v>
      </c>
      <c r="E61" s="656" t="s">
        <v>336</v>
      </c>
      <c r="F61" s="656" t="s">
        <v>337</v>
      </c>
      <c r="G61" s="656" t="s">
        <v>338</v>
      </c>
      <c r="H61" s="656" t="s">
        <v>339</v>
      </c>
      <c r="I61" s="657">
        <f>IF(MID(C61,1,1)="D",'2. Accruals'!F61,0)</f>
        <v>0</v>
      </c>
      <c r="J61" s="657">
        <f>IF(MID(C61,1,1)="F",'2. Accruals'!F61,0)</f>
        <v>0</v>
      </c>
      <c r="K61" s="660" t="str">
        <f>_xlfn.CONCAT('2. Accruals'!L61," ",'2. Accruals'!M61," ",'2. Accruals'!N61," ",'2. Accruals'!O61," ",'2. Accruals'!H61)</f>
        <v xml:space="preserve">   0000 BCC SF53 </v>
      </c>
      <c r="L61" s="658" t="str">
        <f>MID('2. Accruals'!L61,5,6)</f>
        <v/>
      </c>
      <c r="M61" s="656" t="s">
        <v>963</v>
      </c>
      <c r="N61" s="656">
        <v>61</v>
      </c>
    </row>
    <row r="62" spans="1:14">
      <c r="A62" s="655" t="s">
        <v>334</v>
      </c>
      <c r="B62" s="658" t="str">
        <f t="shared" si="0"/>
        <v>0000</v>
      </c>
      <c r="C62" s="658" t="str">
        <f>IF('2. Accruals'!I62&gt;0,LEFT('2. Accruals'!I62,4),LEFT('2. Accruals'!J62,4))</f>
        <v/>
      </c>
      <c r="D62" s="656" t="s">
        <v>335</v>
      </c>
      <c r="E62" s="656" t="s">
        <v>336</v>
      </c>
      <c r="F62" s="656" t="s">
        <v>337</v>
      </c>
      <c r="G62" s="656" t="s">
        <v>338</v>
      </c>
      <c r="H62" s="656" t="s">
        <v>339</v>
      </c>
      <c r="I62" s="657">
        <f>IF(MID(C62,1,1)="D",'2. Accruals'!F62,0)</f>
        <v>0</v>
      </c>
      <c r="J62" s="657">
        <f>IF(MID(C62,1,1)="F",'2. Accruals'!F62,0)</f>
        <v>0</v>
      </c>
      <c r="K62" s="660" t="str">
        <f>_xlfn.CONCAT('2. Accruals'!L62," ",'2. Accruals'!M62," ",'2. Accruals'!N62," ",'2. Accruals'!O62," ",'2. Accruals'!H62)</f>
        <v xml:space="preserve">   0000 BCC SF54 </v>
      </c>
      <c r="L62" s="658" t="str">
        <f>MID('2. Accruals'!L62,5,6)</f>
        <v/>
      </c>
      <c r="M62" s="656" t="s">
        <v>963</v>
      </c>
      <c r="N62" s="656">
        <v>62</v>
      </c>
    </row>
    <row r="63" spans="1:14">
      <c r="A63" s="655" t="s">
        <v>334</v>
      </c>
      <c r="B63" s="658" t="str">
        <f t="shared" si="0"/>
        <v>0000</v>
      </c>
      <c r="C63" s="658" t="str">
        <f>IF('2. Accruals'!I63&gt;0,LEFT('2. Accruals'!I63,4),LEFT('2. Accruals'!J63,4))</f>
        <v/>
      </c>
      <c r="D63" s="656" t="s">
        <v>335</v>
      </c>
      <c r="E63" s="656" t="s">
        <v>336</v>
      </c>
      <c r="F63" s="656" t="s">
        <v>337</v>
      </c>
      <c r="G63" s="656" t="s">
        <v>338</v>
      </c>
      <c r="H63" s="656" t="s">
        <v>339</v>
      </c>
      <c r="I63" s="657">
        <f>IF(MID(C63,1,1)="D",'2. Accruals'!F63,0)</f>
        <v>0</v>
      </c>
      <c r="J63" s="657">
        <f>IF(MID(C63,1,1)="F",'2. Accruals'!F63,0)</f>
        <v>0</v>
      </c>
      <c r="K63" s="660" t="str">
        <f>_xlfn.CONCAT('2. Accruals'!L63," ",'2. Accruals'!M63," ",'2. Accruals'!N63," ",'2. Accruals'!O63," ",'2. Accruals'!H63)</f>
        <v xml:space="preserve">   0000 BCC SF55 </v>
      </c>
      <c r="L63" s="658" t="str">
        <f>MID('2. Accruals'!L63,5,6)</f>
        <v/>
      </c>
      <c r="M63" s="656" t="s">
        <v>963</v>
      </c>
      <c r="N63" s="656">
        <v>63</v>
      </c>
    </row>
    <row r="64" spans="1:14">
      <c r="A64" s="655" t="s">
        <v>334</v>
      </c>
      <c r="B64" s="658" t="str">
        <f t="shared" si="0"/>
        <v>0000</v>
      </c>
      <c r="C64" s="658" t="str">
        <f>IF('2. Accruals'!I64&gt;0,LEFT('2. Accruals'!I64,4),LEFT('2. Accruals'!J64,4))</f>
        <v/>
      </c>
      <c r="D64" s="656" t="s">
        <v>335</v>
      </c>
      <c r="E64" s="656" t="s">
        <v>336</v>
      </c>
      <c r="F64" s="656" t="s">
        <v>337</v>
      </c>
      <c r="G64" s="656" t="s">
        <v>338</v>
      </c>
      <c r="H64" s="656" t="s">
        <v>339</v>
      </c>
      <c r="I64" s="657">
        <f>IF(MID(C64,1,1)="D",'2. Accruals'!F64,0)</f>
        <v>0</v>
      </c>
      <c r="J64" s="657">
        <f>IF(MID(C64,1,1)="F",'2. Accruals'!F64,0)</f>
        <v>0</v>
      </c>
      <c r="K64" s="660" t="str">
        <f>_xlfn.CONCAT('2. Accruals'!L64," ",'2. Accruals'!M64," ",'2. Accruals'!N64," ",'2. Accruals'!O64," ",'2. Accruals'!H64)</f>
        <v xml:space="preserve">   0000 BCC SF56 </v>
      </c>
      <c r="L64" s="658" t="str">
        <f>MID('2. Accruals'!L64,5,6)</f>
        <v/>
      </c>
      <c r="M64" s="656" t="s">
        <v>963</v>
      </c>
      <c r="N64" s="656">
        <v>64</v>
      </c>
    </row>
    <row r="65" spans="1:14">
      <c r="A65" s="655" t="s">
        <v>334</v>
      </c>
      <c r="B65" s="658" t="str">
        <f t="shared" si="0"/>
        <v>0000</v>
      </c>
      <c r="C65" s="658" t="str">
        <f>IF('2. Accruals'!I65&gt;0,LEFT('2. Accruals'!I65,4),LEFT('2. Accruals'!J65,4))</f>
        <v/>
      </c>
      <c r="D65" s="656" t="s">
        <v>335</v>
      </c>
      <c r="E65" s="656" t="s">
        <v>336</v>
      </c>
      <c r="F65" s="656" t="s">
        <v>337</v>
      </c>
      <c r="G65" s="656" t="s">
        <v>338</v>
      </c>
      <c r="H65" s="656" t="s">
        <v>339</v>
      </c>
      <c r="I65" s="657">
        <f>IF(MID(C65,1,1)="D",'2. Accruals'!F65,0)</f>
        <v>0</v>
      </c>
      <c r="J65" s="657">
        <f>IF(MID(C65,1,1)="F",'2. Accruals'!F65,0)</f>
        <v>0</v>
      </c>
      <c r="K65" s="660" t="str">
        <f>_xlfn.CONCAT('2. Accruals'!L65," ",'2. Accruals'!M65," ",'2. Accruals'!N65," ",'2. Accruals'!O65," ",'2. Accruals'!H65)</f>
        <v xml:space="preserve">   0000 BCC SF57 </v>
      </c>
      <c r="L65" s="658" t="str">
        <f>MID('2. Accruals'!L65,5,6)</f>
        <v/>
      </c>
      <c r="M65" s="656" t="s">
        <v>963</v>
      </c>
      <c r="N65" s="656">
        <v>65</v>
      </c>
    </row>
    <row r="66" spans="1:14">
      <c r="A66" s="655" t="s">
        <v>334</v>
      </c>
      <c r="B66" s="658" t="str">
        <f t="shared" si="0"/>
        <v>0000</v>
      </c>
      <c r="C66" s="658" t="str">
        <f>IF('2. Accruals'!I66&gt;0,LEFT('2. Accruals'!I66,4),LEFT('2. Accruals'!J66,4))</f>
        <v/>
      </c>
      <c r="D66" s="656" t="s">
        <v>335</v>
      </c>
      <c r="E66" s="656" t="s">
        <v>336</v>
      </c>
      <c r="F66" s="656" t="s">
        <v>337</v>
      </c>
      <c r="G66" s="656" t="s">
        <v>338</v>
      </c>
      <c r="H66" s="656" t="s">
        <v>339</v>
      </c>
      <c r="I66" s="657">
        <f>IF(MID(C66,1,1)="D",'2. Accruals'!F66,0)</f>
        <v>0</v>
      </c>
      <c r="J66" s="657">
        <f>IF(MID(C66,1,1)="F",'2. Accruals'!F66,0)</f>
        <v>0</v>
      </c>
      <c r="K66" s="660" t="str">
        <f>_xlfn.CONCAT('2. Accruals'!L66," ",'2. Accruals'!M66," ",'2. Accruals'!N66," ",'2. Accruals'!O66," ",'2. Accruals'!H66)</f>
        <v xml:space="preserve">   0000 BCC SF58 </v>
      </c>
      <c r="L66" s="658" t="str">
        <f>MID('2. Accruals'!L66,5,6)</f>
        <v/>
      </c>
      <c r="M66" s="656" t="s">
        <v>963</v>
      </c>
      <c r="N66" s="656">
        <v>66</v>
      </c>
    </row>
    <row r="67" spans="1:14">
      <c r="A67" s="655" t="s">
        <v>334</v>
      </c>
      <c r="B67" s="658" t="str">
        <f t="shared" si="0"/>
        <v>0000</v>
      </c>
      <c r="C67" s="658" t="str">
        <f>IF('2. Accruals'!I67&gt;0,LEFT('2. Accruals'!I67,4),LEFT('2. Accruals'!J67,4))</f>
        <v/>
      </c>
      <c r="D67" s="656" t="s">
        <v>335</v>
      </c>
      <c r="E67" s="656" t="s">
        <v>336</v>
      </c>
      <c r="F67" s="656" t="s">
        <v>337</v>
      </c>
      <c r="G67" s="656" t="s">
        <v>338</v>
      </c>
      <c r="H67" s="656" t="s">
        <v>339</v>
      </c>
      <c r="I67" s="657">
        <f>IF(MID(C67,1,1)="D",'2. Accruals'!F67,0)</f>
        <v>0</v>
      </c>
      <c r="J67" s="657">
        <f>IF(MID(C67,1,1)="F",'2. Accruals'!F67,0)</f>
        <v>0</v>
      </c>
      <c r="K67" s="660" t="str">
        <f>_xlfn.CONCAT('2. Accruals'!L67," ",'2. Accruals'!M67," ",'2. Accruals'!N67," ",'2. Accruals'!O67," ",'2. Accruals'!H67)</f>
        <v xml:space="preserve">   0000 BCC SF59 </v>
      </c>
      <c r="L67" s="658" t="str">
        <f>MID('2. Accruals'!L67,5,6)</f>
        <v/>
      </c>
      <c r="M67" s="656" t="s">
        <v>963</v>
      </c>
      <c r="N67" s="656">
        <v>67</v>
      </c>
    </row>
    <row r="68" spans="1:14">
      <c r="A68" s="655" t="s">
        <v>334</v>
      </c>
      <c r="B68" s="658" t="str">
        <f t="shared" si="0"/>
        <v>0000</v>
      </c>
      <c r="C68" s="658" t="str">
        <f>IF('2. Accruals'!I68&gt;0,LEFT('2. Accruals'!I68,4),LEFT('2. Accruals'!J68,4))</f>
        <v/>
      </c>
      <c r="D68" s="656" t="s">
        <v>335</v>
      </c>
      <c r="E68" s="656" t="s">
        <v>336</v>
      </c>
      <c r="F68" s="656" t="s">
        <v>337</v>
      </c>
      <c r="G68" s="656" t="s">
        <v>338</v>
      </c>
      <c r="H68" s="656" t="s">
        <v>339</v>
      </c>
      <c r="I68" s="657">
        <f>IF(MID(C68,1,1)="D",'2. Accruals'!F68,0)</f>
        <v>0</v>
      </c>
      <c r="J68" s="657">
        <f>IF(MID(C68,1,1)="F",'2. Accruals'!F68,0)</f>
        <v>0</v>
      </c>
      <c r="K68" s="660" t="str">
        <f>_xlfn.CONCAT('2. Accruals'!L68," ",'2. Accruals'!M68," ",'2. Accruals'!N68," ",'2. Accruals'!O68," ",'2. Accruals'!H68)</f>
        <v xml:space="preserve">   0000 BCC SF60 </v>
      </c>
      <c r="L68" s="658" t="str">
        <f>MID('2. Accruals'!L68,5,6)</f>
        <v/>
      </c>
      <c r="M68" s="656" t="s">
        <v>963</v>
      </c>
      <c r="N68" s="656">
        <v>68</v>
      </c>
    </row>
    <row r="69" spans="1:14">
      <c r="A69" s="655" t="s">
        <v>334</v>
      </c>
      <c r="B69" s="658" t="str">
        <f t="shared" si="0"/>
        <v>0000</v>
      </c>
      <c r="C69" s="658" t="str">
        <f>IF('2. Accruals'!I69&gt;0,LEFT('2. Accruals'!I69,4),LEFT('2. Accruals'!J69,4))</f>
        <v/>
      </c>
      <c r="D69" s="656" t="s">
        <v>335</v>
      </c>
      <c r="E69" s="656" t="s">
        <v>336</v>
      </c>
      <c r="F69" s="656" t="s">
        <v>337</v>
      </c>
      <c r="G69" s="656" t="s">
        <v>338</v>
      </c>
      <c r="H69" s="656" t="s">
        <v>339</v>
      </c>
      <c r="I69" s="657">
        <f>IF(MID(C69,1,1)="D",'2. Accruals'!F69,0)</f>
        <v>0</v>
      </c>
      <c r="J69" s="657">
        <f>IF(MID(C69,1,1)="F",'2. Accruals'!F69,0)</f>
        <v>0</v>
      </c>
      <c r="K69" s="660" t="str">
        <f>_xlfn.CONCAT('2. Accruals'!L69," ",'2. Accruals'!M69," ",'2. Accruals'!N69," ",'2. Accruals'!O69," ",'2. Accruals'!H69)</f>
        <v xml:space="preserve">   0000 BCC SF61 </v>
      </c>
      <c r="L69" s="658" t="str">
        <f>MID('2. Accruals'!L69,5,6)</f>
        <v/>
      </c>
      <c r="M69" s="656" t="s">
        <v>963</v>
      </c>
      <c r="N69" s="656">
        <v>69</v>
      </c>
    </row>
    <row r="70" spans="1:14">
      <c r="A70" s="655" t="s">
        <v>334</v>
      </c>
      <c r="B70" s="658" t="str">
        <f t="shared" si="0"/>
        <v>0000</v>
      </c>
      <c r="C70" s="658" t="str">
        <f>IF('2. Accruals'!I70&gt;0,LEFT('2. Accruals'!I70,4),LEFT('2. Accruals'!J70,4))</f>
        <v/>
      </c>
      <c r="D70" s="656" t="s">
        <v>335</v>
      </c>
      <c r="E70" s="656" t="s">
        <v>336</v>
      </c>
      <c r="F70" s="656" t="s">
        <v>337</v>
      </c>
      <c r="G70" s="656" t="s">
        <v>338</v>
      </c>
      <c r="H70" s="656" t="s">
        <v>339</v>
      </c>
      <c r="I70" s="657">
        <f>IF(MID(C70,1,1)="D",'2. Accruals'!F70,0)</f>
        <v>0</v>
      </c>
      <c r="J70" s="657">
        <f>IF(MID(C70,1,1)="F",'2. Accruals'!F70,0)</f>
        <v>0</v>
      </c>
      <c r="K70" s="660" t="str">
        <f>_xlfn.CONCAT('2. Accruals'!L70," ",'2. Accruals'!M70," ",'2. Accruals'!N70," ",'2. Accruals'!O70," ",'2. Accruals'!H70)</f>
        <v xml:space="preserve">   0000 BCC SF62 </v>
      </c>
      <c r="L70" s="658" t="str">
        <f>MID('2. Accruals'!L70,5,6)</f>
        <v/>
      </c>
      <c r="M70" s="656" t="s">
        <v>963</v>
      </c>
      <c r="N70" s="656">
        <v>70</v>
      </c>
    </row>
    <row r="71" spans="1:14">
      <c r="A71" s="655" t="s">
        <v>334</v>
      </c>
      <c r="B71" s="658" t="str">
        <f t="shared" si="0"/>
        <v>0000</v>
      </c>
      <c r="C71" s="658" t="str">
        <f>IF('2. Accruals'!I71&gt;0,LEFT('2. Accruals'!I71,4),LEFT('2. Accruals'!J71,4))</f>
        <v/>
      </c>
      <c r="D71" s="656" t="s">
        <v>335</v>
      </c>
      <c r="E71" s="656" t="s">
        <v>336</v>
      </c>
      <c r="F71" s="656" t="s">
        <v>337</v>
      </c>
      <c r="G71" s="656" t="s">
        <v>338</v>
      </c>
      <c r="H71" s="656" t="s">
        <v>339</v>
      </c>
      <c r="I71" s="657">
        <f>IF(MID(C71,1,1)="D",'2. Accruals'!F71,0)</f>
        <v>0</v>
      </c>
      <c r="J71" s="657">
        <f>IF(MID(C71,1,1)="F",'2. Accruals'!F71,0)</f>
        <v>0</v>
      </c>
      <c r="K71" s="660" t="str">
        <f>_xlfn.CONCAT('2. Accruals'!L71," ",'2. Accruals'!M71," ",'2. Accruals'!N71," ",'2. Accruals'!O71," ",'2. Accruals'!H71)</f>
        <v xml:space="preserve">   0000 BCC SF63 </v>
      </c>
      <c r="L71" s="658" t="str">
        <f>MID('2. Accruals'!L71,5,6)</f>
        <v/>
      </c>
      <c r="M71" s="656" t="s">
        <v>963</v>
      </c>
      <c r="N71" s="656">
        <v>71</v>
      </c>
    </row>
    <row r="72" spans="1:14">
      <c r="A72" s="655" t="s">
        <v>334</v>
      </c>
      <c r="B72" s="658" t="str">
        <f t="shared" si="0"/>
        <v>0000</v>
      </c>
      <c r="C72" s="658" t="str">
        <f>IF('2. Accruals'!I72&gt;0,LEFT('2. Accruals'!I72,4),LEFT('2. Accruals'!J72,4))</f>
        <v/>
      </c>
      <c r="D72" s="656" t="s">
        <v>335</v>
      </c>
      <c r="E72" s="656" t="s">
        <v>336</v>
      </c>
      <c r="F72" s="656" t="s">
        <v>337</v>
      </c>
      <c r="G72" s="656" t="s">
        <v>338</v>
      </c>
      <c r="H72" s="656" t="s">
        <v>339</v>
      </c>
      <c r="I72" s="657">
        <f>IF(MID(C72,1,1)="D",'2. Accruals'!F72,0)</f>
        <v>0</v>
      </c>
      <c r="J72" s="657">
        <f>IF(MID(C72,1,1)="F",'2. Accruals'!F72,0)</f>
        <v>0</v>
      </c>
      <c r="K72" s="660" t="str">
        <f>_xlfn.CONCAT('2. Accruals'!L72," ",'2. Accruals'!M72," ",'2. Accruals'!N72," ",'2. Accruals'!O72," ",'2. Accruals'!H72)</f>
        <v xml:space="preserve">   0000 BCC SF64 </v>
      </c>
      <c r="L72" s="658" t="str">
        <f>MID('2. Accruals'!L72,5,6)</f>
        <v/>
      </c>
      <c r="M72" s="656" t="s">
        <v>963</v>
      </c>
      <c r="N72" s="656">
        <v>72</v>
      </c>
    </row>
    <row r="73" spans="1:14">
      <c r="A73" s="655" t="s">
        <v>334</v>
      </c>
      <c r="B73" s="658" t="str">
        <f t="shared" si="0"/>
        <v>0000</v>
      </c>
      <c r="C73" s="658" t="str">
        <f>IF('2. Accruals'!I73&gt;0,LEFT('2. Accruals'!I73,4),LEFT('2. Accruals'!J73,4))</f>
        <v/>
      </c>
      <c r="D73" s="656" t="s">
        <v>335</v>
      </c>
      <c r="E73" s="656" t="s">
        <v>336</v>
      </c>
      <c r="F73" s="656" t="s">
        <v>337</v>
      </c>
      <c r="G73" s="656" t="s">
        <v>338</v>
      </c>
      <c r="H73" s="656" t="s">
        <v>339</v>
      </c>
      <c r="I73" s="657">
        <f>IF(MID(C73,1,1)="D",'2. Accruals'!F73,0)</f>
        <v>0</v>
      </c>
      <c r="J73" s="657">
        <f>IF(MID(C73,1,1)="F",'2. Accruals'!F73,0)</f>
        <v>0</v>
      </c>
      <c r="K73" s="660" t="str">
        <f>_xlfn.CONCAT('2. Accruals'!L73," ",'2. Accruals'!M73," ",'2. Accruals'!N73," ",'2. Accruals'!O73," ",'2. Accruals'!H73)</f>
        <v xml:space="preserve">   0000 BCC SF65 </v>
      </c>
      <c r="L73" s="658" t="str">
        <f>MID('2. Accruals'!L73,5,6)</f>
        <v/>
      </c>
      <c r="M73" s="656" t="s">
        <v>963</v>
      </c>
      <c r="N73" s="656">
        <v>73</v>
      </c>
    </row>
    <row r="74" spans="1:14">
      <c r="A74" s="655" t="s">
        <v>334</v>
      </c>
      <c r="B74" s="658" t="str">
        <f t="shared" ref="B74:B86" si="1">$B$5</f>
        <v>0000</v>
      </c>
      <c r="C74" s="658" t="str">
        <f>IF('2. Accruals'!I74&gt;0,LEFT('2. Accruals'!I74,4),LEFT('2. Accruals'!J74,4))</f>
        <v/>
      </c>
      <c r="D74" s="656" t="s">
        <v>335</v>
      </c>
      <c r="E74" s="656" t="s">
        <v>336</v>
      </c>
      <c r="F74" s="656" t="s">
        <v>337</v>
      </c>
      <c r="G74" s="656" t="s">
        <v>338</v>
      </c>
      <c r="H74" s="656" t="s">
        <v>339</v>
      </c>
      <c r="I74" s="657">
        <f>IF(MID(C74,1,1)="D",'2. Accruals'!F74,0)</f>
        <v>0</v>
      </c>
      <c r="J74" s="657">
        <f>IF(MID(C74,1,1)="F",'2. Accruals'!F74,0)</f>
        <v>0</v>
      </c>
      <c r="K74" s="660" t="str">
        <f>_xlfn.CONCAT('2. Accruals'!L74," ",'2. Accruals'!M74," ",'2. Accruals'!N74," ",'2. Accruals'!O74," ",'2. Accruals'!H74)</f>
        <v xml:space="preserve">   0000 BCC SF66 </v>
      </c>
      <c r="L74" s="658" t="str">
        <f>MID('2. Accruals'!L74,5,6)</f>
        <v/>
      </c>
      <c r="M74" s="656" t="s">
        <v>963</v>
      </c>
      <c r="N74" s="656">
        <v>74</v>
      </c>
    </row>
    <row r="75" spans="1:14">
      <c r="A75" s="655" t="s">
        <v>334</v>
      </c>
      <c r="B75" s="658" t="str">
        <f t="shared" si="1"/>
        <v>0000</v>
      </c>
      <c r="C75" s="658" t="str">
        <f>IF('2. Accruals'!I75&gt;0,LEFT('2. Accruals'!I75,4),LEFT('2. Accruals'!J75,4))</f>
        <v/>
      </c>
      <c r="D75" s="656" t="s">
        <v>335</v>
      </c>
      <c r="E75" s="656" t="s">
        <v>336</v>
      </c>
      <c r="F75" s="656" t="s">
        <v>337</v>
      </c>
      <c r="G75" s="656" t="s">
        <v>338</v>
      </c>
      <c r="H75" s="656" t="s">
        <v>339</v>
      </c>
      <c r="I75" s="657">
        <f>IF(MID(C75,1,1)="D",'2. Accruals'!F75,0)</f>
        <v>0</v>
      </c>
      <c r="J75" s="657">
        <f>IF(MID(C75,1,1)="F",'2. Accruals'!F75,0)</f>
        <v>0</v>
      </c>
      <c r="K75" s="660" t="str">
        <f>_xlfn.CONCAT('2. Accruals'!L75," ",'2. Accruals'!M75," ",'2. Accruals'!N75," ",'2. Accruals'!O75," ",'2. Accruals'!H75)</f>
        <v xml:space="preserve">   0000 BCC SF67 </v>
      </c>
      <c r="L75" s="658" t="str">
        <f>MID('2. Accruals'!L75,5,6)</f>
        <v/>
      </c>
      <c r="M75" s="656" t="s">
        <v>963</v>
      </c>
      <c r="N75" s="656">
        <v>75</v>
      </c>
    </row>
    <row r="76" spans="1:14">
      <c r="A76" s="655" t="s">
        <v>334</v>
      </c>
      <c r="B76" s="658" t="str">
        <f t="shared" si="1"/>
        <v>0000</v>
      </c>
      <c r="C76" s="658" t="str">
        <f>IF('2. Accruals'!I76&gt;0,LEFT('2. Accruals'!I76,4),LEFT('2. Accruals'!J76,4))</f>
        <v/>
      </c>
      <c r="D76" s="656" t="s">
        <v>335</v>
      </c>
      <c r="E76" s="656" t="s">
        <v>336</v>
      </c>
      <c r="F76" s="656" t="s">
        <v>337</v>
      </c>
      <c r="G76" s="656" t="s">
        <v>338</v>
      </c>
      <c r="H76" s="656" t="s">
        <v>339</v>
      </c>
      <c r="I76" s="657">
        <f>IF(MID(C76,1,1)="D",'2. Accruals'!F76,0)</f>
        <v>0</v>
      </c>
      <c r="J76" s="657">
        <f>IF(MID(C76,1,1)="F",'2. Accruals'!F76,0)</f>
        <v>0</v>
      </c>
      <c r="K76" s="660" t="str">
        <f>_xlfn.CONCAT('2. Accruals'!L76," ",'2. Accruals'!M76," ",'2. Accruals'!N76," ",'2. Accruals'!O76," ",'2. Accruals'!H76)</f>
        <v xml:space="preserve">   0000 BCC SF68 </v>
      </c>
      <c r="L76" s="658" t="str">
        <f>MID('2. Accruals'!L76,5,6)</f>
        <v/>
      </c>
      <c r="M76" s="656" t="s">
        <v>963</v>
      </c>
      <c r="N76" s="656">
        <v>76</v>
      </c>
    </row>
    <row r="77" spans="1:14">
      <c r="A77" s="655" t="s">
        <v>334</v>
      </c>
      <c r="B77" s="658" t="str">
        <f t="shared" si="1"/>
        <v>0000</v>
      </c>
      <c r="C77" s="656" t="s">
        <v>313</v>
      </c>
      <c r="D77" s="656" t="s">
        <v>335</v>
      </c>
      <c r="E77" s="656" t="s">
        <v>336</v>
      </c>
      <c r="F77" s="656" t="s">
        <v>337</v>
      </c>
      <c r="G77" s="656" t="s">
        <v>338</v>
      </c>
      <c r="H77" s="656" t="s">
        <v>339</v>
      </c>
      <c r="I77" s="657"/>
      <c r="J77" s="657">
        <f>SUM(I9:I76)</f>
        <v>0</v>
      </c>
      <c r="K77" s="660" t="str">
        <f>_xlfn.CONCAT($B$4," EOY Debtors")</f>
        <v>Select School EOY Debtors</v>
      </c>
      <c r="L77" s="656"/>
      <c r="M77" s="656"/>
      <c r="N77" s="656"/>
    </row>
    <row r="78" spans="1:14">
      <c r="A78" s="655" t="s">
        <v>334</v>
      </c>
      <c r="B78" s="658" t="str">
        <f t="shared" si="1"/>
        <v>0000</v>
      </c>
      <c r="C78" s="656" t="s">
        <v>313</v>
      </c>
      <c r="D78" s="656" t="s">
        <v>335</v>
      </c>
      <c r="E78" s="656" t="s">
        <v>336</v>
      </c>
      <c r="F78" s="656" t="s">
        <v>337</v>
      </c>
      <c r="G78" s="656" t="s">
        <v>338</v>
      </c>
      <c r="H78" s="656" t="s">
        <v>339</v>
      </c>
      <c r="I78" s="657">
        <f>SUM(J9:J76)</f>
        <v>0</v>
      </c>
      <c r="J78" s="657"/>
      <c r="K78" s="660" t="str">
        <f>_xlfn.CONCAT($B$4," EOY Creditors")</f>
        <v>Select School EOY Creditors</v>
      </c>
      <c r="L78" s="656"/>
      <c r="M78" s="656"/>
      <c r="N78" s="656"/>
    </row>
    <row r="79" spans="1:14">
      <c r="A79" s="655" t="s">
        <v>334</v>
      </c>
      <c r="B79" s="658" t="str">
        <f t="shared" si="1"/>
        <v>0000</v>
      </c>
      <c r="C79" s="656" t="s">
        <v>964</v>
      </c>
      <c r="D79" s="656" t="s">
        <v>335</v>
      </c>
      <c r="E79" s="656" t="s">
        <v>336</v>
      </c>
      <c r="F79" s="656" t="s">
        <v>337</v>
      </c>
      <c r="G79" s="656" t="s">
        <v>338</v>
      </c>
      <c r="H79" s="656" t="s">
        <v>339</v>
      </c>
      <c r="I79" s="657">
        <f>'CFR Return'!P170</f>
        <v>0</v>
      </c>
      <c r="J79" s="657"/>
      <c r="K79" s="660" t="str">
        <f>_xlfn.CONCAT($B$4," System Debtors Non BCC")</f>
        <v>Select School System Debtors Non BCC</v>
      </c>
      <c r="L79" s="656"/>
      <c r="M79" s="656" t="s">
        <v>965</v>
      </c>
      <c r="N79" s="656" t="s">
        <v>966</v>
      </c>
    </row>
    <row r="80" spans="1:14">
      <c r="A80" s="655" t="s">
        <v>334</v>
      </c>
      <c r="B80" s="658" t="str">
        <f t="shared" si="1"/>
        <v>0000</v>
      </c>
      <c r="C80" s="656" t="s">
        <v>967</v>
      </c>
      <c r="D80" s="656" t="s">
        <v>335</v>
      </c>
      <c r="E80" s="656" t="s">
        <v>336</v>
      </c>
      <c r="F80" s="656" t="s">
        <v>337</v>
      </c>
      <c r="G80" s="656" t="s">
        <v>338</v>
      </c>
      <c r="H80" s="656" t="s">
        <v>339</v>
      </c>
      <c r="I80" s="657">
        <f>'CFR Return'!P171</f>
        <v>0</v>
      </c>
      <c r="J80" s="657"/>
      <c r="K80" s="660" t="str">
        <f>_xlfn.CONCAT($B$4," System Debtors BCC")</f>
        <v>Select School System Debtors BCC</v>
      </c>
      <c r="L80" s="656"/>
      <c r="M80" s="656" t="s">
        <v>965</v>
      </c>
      <c r="N80" s="656" t="s">
        <v>968</v>
      </c>
    </row>
    <row r="81" spans="1:14">
      <c r="A81" s="655" t="s">
        <v>334</v>
      </c>
      <c r="B81" s="658" t="str">
        <f t="shared" si="1"/>
        <v>0000</v>
      </c>
      <c r="C81" s="656" t="s">
        <v>969</v>
      </c>
      <c r="D81" s="656" t="s">
        <v>335</v>
      </c>
      <c r="E81" s="656" t="s">
        <v>336</v>
      </c>
      <c r="F81" s="656" t="s">
        <v>337</v>
      </c>
      <c r="G81" s="656" t="s">
        <v>338</v>
      </c>
      <c r="H81" s="656" t="s">
        <v>339</v>
      </c>
      <c r="I81" s="657"/>
      <c r="J81" s="657">
        <f>-'CFR Return'!P174</f>
        <v>0</v>
      </c>
      <c r="K81" s="660" t="str">
        <f>_xlfn.CONCAT($B$4," System Creditors Non BCC")</f>
        <v>Select School System Creditors Non BCC</v>
      </c>
      <c r="L81" s="656"/>
      <c r="M81" s="656" t="s">
        <v>965</v>
      </c>
      <c r="N81" s="656" t="s">
        <v>970</v>
      </c>
    </row>
    <row r="82" spans="1:14">
      <c r="A82" s="655" t="s">
        <v>334</v>
      </c>
      <c r="B82" s="658" t="str">
        <f t="shared" si="1"/>
        <v>0000</v>
      </c>
      <c r="C82" s="656" t="s">
        <v>971</v>
      </c>
      <c r="D82" s="656" t="s">
        <v>335</v>
      </c>
      <c r="E82" s="656" t="s">
        <v>336</v>
      </c>
      <c r="F82" s="656" t="s">
        <v>337</v>
      </c>
      <c r="G82" s="656" t="s">
        <v>338</v>
      </c>
      <c r="H82" s="656" t="s">
        <v>339</v>
      </c>
      <c r="I82" s="657"/>
      <c r="J82" s="657">
        <f>-'CFR Return'!P175</f>
        <v>0</v>
      </c>
      <c r="K82" s="660" t="str">
        <f>_xlfn.CONCAT($B$4," System Creditors BCC")</f>
        <v>Select School System Creditors BCC</v>
      </c>
      <c r="L82" s="656"/>
      <c r="M82" s="656" t="s">
        <v>965</v>
      </c>
      <c r="N82" s="656" t="s">
        <v>972</v>
      </c>
    </row>
    <row r="83" spans="1:14">
      <c r="A83" s="655" t="s">
        <v>334</v>
      </c>
      <c r="B83" s="658" t="str">
        <f t="shared" si="1"/>
        <v>0000</v>
      </c>
      <c r="C83" s="656" t="s">
        <v>964</v>
      </c>
      <c r="D83" s="656" t="s">
        <v>335</v>
      </c>
      <c r="E83" s="656" t="s">
        <v>336</v>
      </c>
      <c r="F83" s="656" t="s">
        <v>337</v>
      </c>
      <c r="G83" s="656" t="s">
        <v>338</v>
      </c>
      <c r="H83" s="656" t="s">
        <v>339</v>
      </c>
      <c r="I83" s="657">
        <f>'CFR Return'!P177</f>
        <v>0</v>
      </c>
      <c r="J83" s="657"/>
      <c r="K83" s="660" t="str">
        <f>_xlfn.CONCAT($B$4," Non BCC Payroll Creditor")</f>
        <v>Select School Non BCC Payroll Creditor</v>
      </c>
      <c r="L83" s="656"/>
      <c r="M83" s="656" t="s">
        <v>965</v>
      </c>
      <c r="N83" s="656" t="s">
        <v>973</v>
      </c>
    </row>
    <row r="84" spans="1:14">
      <c r="A84" s="655" t="s">
        <v>334</v>
      </c>
      <c r="B84" s="658" t="str">
        <f t="shared" si="1"/>
        <v>0000</v>
      </c>
      <c r="C84" s="656" t="s">
        <v>969</v>
      </c>
      <c r="D84" s="656" t="s">
        <v>335</v>
      </c>
      <c r="E84" s="656" t="s">
        <v>336</v>
      </c>
      <c r="F84" s="656" t="s">
        <v>337</v>
      </c>
      <c r="G84" s="656" t="s">
        <v>338</v>
      </c>
      <c r="H84" s="656" t="s">
        <v>339</v>
      </c>
      <c r="I84" s="657"/>
      <c r="J84" s="657">
        <f>-'CFR Return'!P178</f>
        <v>0</v>
      </c>
      <c r="K84" s="660" t="str">
        <f>_xlfn.CONCAT($B$4," Non BCC Payroll Debtor")</f>
        <v>Select School Non BCC Payroll Debtor</v>
      </c>
      <c r="L84" s="656"/>
      <c r="M84" s="656" t="s">
        <v>965</v>
      </c>
      <c r="N84" s="656" t="s">
        <v>974</v>
      </c>
    </row>
    <row r="85" spans="1:14">
      <c r="A85" s="655" t="s">
        <v>334</v>
      </c>
      <c r="B85" s="658" t="str">
        <f t="shared" si="1"/>
        <v>0000</v>
      </c>
      <c r="C85" s="656" t="s">
        <v>313</v>
      </c>
      <c r="D85" s="656" t="s">
        <v>335</v>
      </c>
      <c r="E85" s="656" t="s">
        <v>336</v>
      </c>
      <c r="F85" s="656" t="s">
        <v>337</v>
      </c>
      <c r="G85" s="656" t="s">
        <v>338</v>
      </c>
      <c r="H85" s="656" t="s">
        <v>339</v>
      </c>
      <c r="I85" s="657"/>
      <c r="J85" s="657">
        <f>I79+I80+I83</f>
        <v>0</v>
      </c>
      <c r="K85" s="660" t="str">
        <f>_xlfn.CONCAT($B$4," System Debtors")</f>
        <v>Select School System Debtors</v>
      </c>
      <c r="L85" s="656"/>
      <c r="M85" s="656"/>
      <c r="N85" s="656"/>
    </row>
    <row r="86" spans="1:14">
      <c r="A86" s="655" t="s">
        <v>334</v>
      </c>
      <c r="B86" s="658" t="str">
        <f t="shared" si="1"/>
        <v>0000</v>
      </c>
      <c r="C86" s="656" t="s">
        <v>313</v>
      </c>
      <c r="D86" s="656" t="s">
        <v>335</v>
      </c>
      <c r="E86" s="656" t="s">
        <v>336</v>
      </c>
      <c r="F86" s="656" t="s">
        <v>337</v>
      </c>
      <c r="G86" s="656" t="s">
        <v>338</v>
      </c>
      <c r="H86" s="656" t="s">
        <v>339</v>
      </c>
      <c r="I86" s="657">
        <f>J81+J82+J84</f>
        <v>0</v>
      </c>
      <c r="J86" s="657"/>
      <c r="K86" s="660" t="str">
        <f>_xlfn.CONCAT($B$4," System Creditors")</f>
        <v>Select School System Creditors</v>
      </c>
      <c r="L86" s="656"/>
      <c r="M86" s="656"/>
      <c r="N86" s="656"/>
    </row>
    <row r="89" spans="1:14">
      <c r="I89" s="775">
        <f>I78+I86-J85</f>
        <v>0</v>
      </c>
    </row>
  </sheetData>
  <sheetProtection algorithmName="SHA-512" hashValue="cgbTJ7FWXgkqBQH621y+tsPUdL01BsVQiwbm6m5nfThfONxqmpUvcrok33RQImQhaa0GVTtT7z4a97TIN3gkvg==" saltValue="4pMa5FUJB4jM1KCmvPpV1g==" spinCount="100000" sheet="1" objects="1" scenarios="1" autoFilter="0"/>
  <autoFilter ref="A8:N86" xr:uid="{978BD1CA-A247-4EB8-8DAE-5A2CE1729335}"/>
  <mergeCells count="1">
    <mergeCell ref="A1:E1"/>
  </mergeCells>
  <phoneticPr fontId="46"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78"/>
  <sheetViews>
    <sheetView zoomScale="90" zoomScaleNormal="90" workbookViewId="0">
      <selection activeCell="F17" sqref="F17"/>
    </sheetView>
  </sheetViews>
  <sheetFormatPr defaultRowHeight="13.2"/>
  <cols>
    <col min="1" max="1" width="24.109375" style="77" customWidth="1"/>
    <col min="2" max="2" width="16.88671875" style="77" customWidth="1"/>
    <col min="3" max="3" width="29.109375" style="77" bestFit="1" customWidth="1"/>
    <col min="4" max="4" width="26.109375" style="77" hidden="1" customWidth="1"/>
    <col min="5" max="5" width="13.109375" style="90" customWidth="1"/>
    <col min="6" max="6" width="15.88671875" style="77" customWidth="1"/>
    <col min="7" max="7" width="27" style="77" customWidth="1"/>
    <col min="8" max="8" width="50.33203125" style="77" customWidth="1"/>
    <col min="9" max="9" width="39.33203125" style="77" customWidth="1"/>
    <col min="10" max="10" width="38.88671875" style="77" customWidth="1"/>
    <col min="11" max="11" width="15.6640625" style="77" customWidth="1"/>
    <col min="12" max="13" width="17" style="77" customWidth="1"/>
    <col min="14" max="14" width="54.109375" style="77" bestFit="1" customWidth="1"/>
    <col min="15" max="15" width="18.88671875" style="89" customWidth="1"/>
    <col min="16" max="16" width="11.5546875" style="77" customWidth="1"/>
    <col min="17" max="20" width="9.109375" style="77"/>
    <col min="21" max="21" width="9.88671875" style="77" hidden="1" customWidth="1"/>
    <col min="22" max="258" width="9.109375" style="77"/>
    <col min="259" max="259" width="9.88671875" style="77" customWidth="1"/>
    <col min="260" max="260" width="9.44140625" style="77" customWidth="1"/>
    <col min="261" max="261" width="13.109375" style="77" bestFit="1" customWidth="1"/>
    <col min="262" max="262" width="33.5546875" style="77" customWidth="1"/>
    <col min="263" max="263" width="41.5546875" style="77" customWidth="1"/>
    <col min="264" max="264" width="10.5546875" style="77" customWidth="1"/>
    <col min="265" max="265" width="9.5546875" style="77" customWidth="1"/>
    <col min="266" max="266" width="27.5546875" style="77" customWidth="1"/>
    <col min="267" max="268" width="0" style="77" hidden="1" customWidth="1"/>
    <col min="269" max="514" width="9.109375" style="77"/>
    <col min="515" max="515" width="9.88671875" style="77" customWidth="1"/>
    <col min="516" max="516" width="9.44140625" style="77" customWidth="1"/>
    <col min="517" max="517" width="13.109375" style="77" bestFit="1" customWidth="1"/>
    <col min="518" max="518" width="33.5546875" style="77" customWidth="1"/>
    <col min="519" max="519" width="41.5546875" style="77" customWidth="1"/>
    <col min="520" max="520" width="10.5546875" style="77" customWidth="1"/>
    <col min="521" max="521" width="9.5546875" style="77" customWidth="1"/>
    <col min="522" max="522" width="27.5546875" style="77" customWidth="1"/>
    <col min="523" max="524" width="0" style="77" hidden="1" customWidth="1"/>
    <col min="525" max="770" width="9.109375" style="77"/>
    <col min="771" max="771" width="9.88671875" style="77" customWidth="1"/>
    <col min="772" max="772" width="9.44140625" style="77" customWidth="1"/>
    <col min="773" max="773" width="13.109375" style="77" bestFit="1" customWidth="1"/>
    <col min="774" max="774" width="33.5546875" style="77" customWidth="1"/>
    <col min="775" max="775" width="41.5546875" style="77" customWidth="1"/>
    <col min="776" max="776" width="10.5546875" style="77" customWidth="1"/>
    <col min="777" max="777" width="9.5546875" style="77" customWidth="1"/>
    <col min="778" max="778" width="27.5546875" style="77" customWidth="1"/>
    <col min="779" max="780" width="0" style="77" hidden="1" customWidth="1"/>
    <col min="781" max="1026" width="9.109375" style="77"/>
    <col min="1027" max="1027" width="9.88671875" style="77" customWidth="1"/>
    <col min="1028" max="1028" width="9.44140625" style="77" customWidth="1"/>
    <col min="1029" max="1029" width="13.109375" style="77" bestFit="1" customWidth="1"/>
    <col min="1030" max="1030" width="33.5546875" style="77" customWidth="1"/>
    <col min="1031" max="1031" width="41.5546875" style="77" customWidth="1"/>
    <col min="1032" max="1032" width="10.5546875" style="77" customWidth="1"/>
    <col min="1033" max="1033" width="9.5546875" style="77" customWidth="1"/>
    <col min="1034" max="1034" width="27.5546875" style="77" customWidth="1"/>
    <col min="1035" max="1036" width="0" style="77" hidden="1" customWidth="1"/>
    <col min="1037" max="1282" width="9.109375" style="77"/>
    <col min="1283" max="1283" width="9.88671875" style="77" customWidth="1"/>
    <col min="1284" max="1284" width="9.44140625" style="77" customWidth="1"/>
    <col min="1285" max="1285" width="13.109375" style="77" bestFit="1" customWidth="1"/>
    <col min="1286" max="1286" width="33.5546875" style="77" customWidth="1"/>
    <col min="1287" max="1287" width="41.5546875" style="77" customWidth="1"/>
    <col min="1288" max="1288" width="10.5546875" style="77" customWidth="1"/>
    <col min="1289" max="1289" width="9.5546875" style="77" customWidth="1"/>
    <col min="1290" max="1290" width="27.5546875" style="77" customWidth="1"/>
    <col min="1291" max="1292" width="0" style="77" hidden="1" customWidth="1"/>
    <col min="1293" max="1538" width="9.109375" style="77"/>
    <col min="1539" max="1539" width="9.88671875" style="77" customWidth="1"/>
    <col min="1540" max="1540" width="9.44140625" style="77" customWidth="1"/>
    <col min="1541" max="1541" width="13.109375" style="77" bestFit="1" customWidth="1"/>
    <col min="1542" max="1542" width="33.5546875" style="77" customWidth="1"/>
    <col min="1543" max="1543" width="41.5546875" style="77" customWidth="1"/>
    <col min="1544" max="1544" width="10.5546875" style="77" customWidth="1"/>
    <col min="1545" max="1545" width="9.5546875" style="77" customWidth="1"/>
    <col min="1546" max="1546" width="27.5546875" style="77" customWidth="1"/>
    <col min="1547" max="1548" width="0" style="77" hidden="1" customWidth="1"/>
    <col min="1549" max="1794" width="9.109375" style="77"/>
    <col min="1795" max="1795" width="9.88671875" style="77" customWidth="1"/>
    <col min="1796" max="1796" width="9.44140625" style="77" customWidth="1"/>
    <col min="1797" max="1797" width="13.109375" style="77" bestFit="1" customWidth="1"/>
    <col min="1798" max="1798" width="33.5546875" style="77" customWidth="1"/>
    <col min="1799" max="1799" width="41.5546875" style="77" customWidth="1"/>
    <col min="1800" max="1800" width="10.5546875" style="77" customWidth="1"/>
    <col min="1801" max="1801" width="9.5546875" style="77" customWidth="1"/>
    <col min="1802" max="1802" width="27.5546875" style="77" customWidth="1"/>
    <col min="1803" max="1804" width="0" style="77" hidden="1" customWidth="1"/>
    <col min="1805" max="2050" width="9.109375" style="77"/>
    <col min="2051" max="2051" width="9.88671875" style="77" customWidth="1"/>
    <col min="2052" max="2052" width="9.44140625" style="77" customWidth="1"/>
    <col min="2053" max="2053" width="13.109375" style="77" bestFit="1" customWidth="1"/>
    <col min="2054" max="2054" width="33.5546875" style="77" customWidth="1"/>
    <col min="2055" max="2055" width="41.5546875" style="77" customWidth="1"/>
    <col min="2056" max="2056" width="10.5546875" style="77" customWidth="1"/>
    <col min="2057" max="2057" width="9.5546875" style="77" customWidth="1"/>
    <col min="2058" max="2058" width="27.5546875" style="77" customWidth="1"/>
    <col min="2059" max="2060" width="0" style="77" hidden="1" customWidth="1"/>
    <col min="2061" max="2306" width="9.109375" style="77"/>
    <col min="2307" max="2307" width="9.88671875" style="77" customWidth="1"/>
    <col min="2308" max="2308" width="9.44140625" style="77" customWidth="1"/>
    <col min="2309" max="2309" width="13.109375" style="77" bestFit="1" customWidth="1"/>
    <col min="2310" max="2310" width="33.5546875" style="77" customWidth="1"/>
    <col min="2311" max="2311" width="41.5546875" style="77" customWidth="1"/>
    <col min="2312" max="2312" width="10.5546875" style="77" customWidth="1"/>
    <col min="2313" max="2313" width="9.5546875" style="77" customWidth="1"/>
    <col min="2314" max="2314" width="27.5546875" style="77" customWidth="1"/>
    <col min="2315" max="2316" width="0" style="77" hidden="1" customWidth="1"/>
    <col min="2317" max="2562" width="9.109375" style="77"/>
    <col min="2563" max="2563" width="9.88671875" style="77" customWidth="1"/>
    <col min="2564" max="2564" width="9.44140625" style="77" customWidth="1"/>
    <col min="2565" max="2565" width="13.109375" style="77" bestFit="1" customWidth="1"/>
    <col min="2566" max="2566" width="33.5546875" style="77" customWidth="1"/>
    <col min="2567" max="2567" width="41.5546875" style="77" customWidth="1"/>
    <col min="2568" max="2568" width="10.5546875" style="77" customWidth="1"/>
    <col min="2569" max="2569" width="9.5546875" style="77" customWidth="1"/>
    <col min="2570" max="2570" width="27.5546875" style="77" customWidth="1"/>
    <col min="2571" max="2572" width="0" style="77" hidden="1" customWidth="1"/>
    <col min="2573" max="2818" width="9.109375" style="77"/>
    <col min="2819" max="2819" width="9.88671875" style="77" customWidth="1"/>
    <col min="2820" max="2820" width="9.44140625" style="77" customWidth="1"/>
    <col min="2821" max="2821" width="13.109375" style="77" bestFit="1" customWidth="1"/>
    <col min="2822" max="2822" width="33.5546875" style="77" customWidth="1"/>
    <col min="2823" max="2823" width="41.5546875" style="77" customWidth="1"/>
    <col min="2824" max="2824" width="10.5546875" style="77" customWidth="1"/>
    <col min="2825" max="2825" width="9.5546875" style="77" customWidth="1"/>
    <col min="2826" max="2826" width="27.5546875" style="77" customWidth="1"/>
    <col min="2827" max="2828" width="0" style="77" hidden="1" customWidth="1"/>
    <col min="2829" max="3074" width="9.109375" style="77"/>
    <col min="3075" max="3075" width="9.88671875" style="77" customWidth="1"/>
    <col min="3076" max="3076" width="9.44140625" style="77" customWidth="1"/>
    <col min="3077" max="3077" width="13.109375" style="77" bestFit="1" customWidth="1"/>
    <col min="3078" max="3078" width="33.5546875" style="77" customWidth="1"/>
    <col min="3079" max="3079" width="41.5546875" style="77" customWidth="1"/>
    <col min="3080" max="3080" width="10.5546875" style="77" customWidth="1"/>
    <col min="3081" max="3081" width="9.5546875" style="77" customWidth="1"/>
    <col min="3082" max="3082" width="27.5546875" style="77" customWidth="1"/>
    <col min="3083" max="3084" width="0" style="77" hidden="1" customWidth="1"/>
    <col min="3085" max="3330" width="9.109375" style="77"/>
    <col min="3331" max="3331" width="9.88671875" style="77" customWidth="1"/>
    <col min="3332" max="3332" width="9.44140625" style="77" customWidth="1"/>
    <col min="3333" max="3333" width="13.109375" style="77" bestFit="1" customWidth="1"/>
    <col min="3334" max="3334" width="33.5546875" style="77" customWidth="1"/>
    <col min="3335" max="3335" width="41.5546875" style="77" customWidth="1"/>
    <col min="3336" max="3336" width="10.5546875" style="77" customWidth="1"/>
    <col min="3337" max="3337" width="9.5546875" style="77" customWidth="1"/>
    <col min="3338" max="3338" width="27.5546875" style="77" customWidth="1"/>
    <col min="3339" max="3340" width="0" style="77" hidden="1" customWidth="1"/>
    <col min="3341" max="3586" width="9.109375" style="77"/>
    <col min="3587" max="3587" width="9.88671875" style="77" customWidth="1"/>
    <col min="3588" max="3588" width="9.44140625" style="77" customWidth="1"/>
    <col min="3589" max="3589" width="13.109375" style="77" bestFit="1" customWidth="1"/>
    <col min="3590" max="3590" width="33.5546875" style="77" customWidth="1"/>
    <col min="3591" max="3591" width="41.5546875" style="77" customWidth="1"/>
    <col min="3592" max="3592" width="10.5546875" style="77" customWidth="1"/>
    <col min="3593" max="3593" width="9.5546875" style="77" customWidth="1"/>
    <col min="3594" max="3594" width="27.5546875" style="77" customWidth="1"/>
    <col min="3595" max="3596" width="0" style="77" hidden="1" customWidth="1"/>
    <col min="3597" max="3842" width="9.109375" style="77"/>
    <col min="3843" max="3843" width="9.88671875" style="77" customWidth="1"/>
    <col min="3844" max="3844" width="9.44140625" style="77" customWidth="1"/>
    <col min="3845" max="3845" width="13.109375" style="77" bestFit="1" customWidth="1"/>
    <col min="3846" max="3846" width="33.5546875" style="77" customWidth="1"/>
    <col min="3847" max="3847" width="41.5546875" style="77" customWidth="1"/>
    <col min="3848" max="3848" width="10.5546875" style="77" customWidth="1"/>
    <col min="3849" max="3849" width="9.5546875" style="77" customWidth="1"/>
    <col min="3850" max="3850" width="27.5546875" style="77" customWidth="1"/>
    <col min="3851" max="3852" width="0" style="77" hidden="1" customWidth="1"/>
    <col min="3853" max="4098" width="9.109375" style="77"/>
    <col min="4099" max="4099" width="9.88671875" style="77" customWidth="1"/>
    <col min="4100" max="4100" width="9.44140625" style="77" customWidth="1"/>
    <col min="4101" max="4101" width="13.109375" style="77" bestFit="1" customWidth="1"/>
    <col min="4102" max="4102" width="33.5546875" style="77" customWidth="1"/>
    <col min="4103" max="4103" width="41.5546875" style="77" customWidth="1"/>
    <col min="4104" max="4104" width="10.5546875" style="77" customWidth="1"/>
    <col min="4105" max="4105" width="9.5546875" style="77" customWidth="1"/>
    <col min="4106" max="4106" width="27.5546875" style="77" customWidth="1"/>
    <col min="4107" max="4108" width="0" style="77" hidden="1" customWidth="1"/>
    <col min="4109" max="4354" width="9.109375" style="77"/>
    <col min="4355" max="4355" width="9.88671875" style="77" customWidth="1"/>
    <col min="4356" max="4356" width="9.44140625" style="77" customWidth="1"/>
    <col min="4357" max="4357" width="13.109375" style="77" bestFit="1" customWidth="1"/>
    <col min="4358" max="4358" width="33.5546875" style="77" customWidth="1"/>
    <col min="4359" max="4359" width="41.5546875" style="77" customWidth="1"/>
    <col min="4360" max="4360" width="10.5546875" style="77" customWidth="1"/>
    <col min="4361" max="4361" width="9.5546875" style="77" customWidth="1"/>
    <col min="4362" max="4362" width="27.5546875" style="77" customWidth="1"/>
    <col min="4363" max="4364" width="0" style="77" hidden="1" customWidth="1"/>
    <col min="4365" max="4610" width="9.109375" style="77"/>
    <col min="4611" max="4611" width="9.88671875" style="77" customWidth="1"/>
    <col min="4612" max="4612" width="9.44140625" style="77" customWidth="1"/>
    <col min="4613" max="4613" width="13.109375" style="77" bestFit="1" customWidth="1"/>
    <col min="4614" max="4614" width="33.5546875" style="77" customWidth="1"/>
    <col min="4615" max="4615" width="41.5546875" style="77" customWidth="1"/>
    <col min="4616" max="4616" width="10.5546875" style="77" customWidth="1"/>
    <col min="4617" max="4617" width="9.5546875" style="77" customWidth="1"/>
    <col min="4618" max="4618" width="27.5546875" style="77" customWidth="1"/>
    <col min="4619" max="4620" width="0" style="77" hidden="1" customWidth="1"/>
    <col min="4621" max="4866" width="9.109375" style="77"/>
    <col min="4867" max="4867" width="9.88671875" style="77" customWidth="1"/>
    <col min="4868" max="4868" width="9.44140625" style="77" customWidth="1"/>
    <col min="4869" max="4869" width="13.109375" style="77" bestFit="1" customWidth="1"/>
    <col min="4870" max="4870" width="33.5546875" style="77" customWidth="1"/>
    <col min="4871" max="4871" width="41.5546875" style="77" customWidth="1"/>
    <col min="4872" max="4872" width="10.5546875" style="77" customWidth="1"/>
    <col min="4873" max="4873" width="9.5546875" style="77" customWidth="1"/>
    <col min="4874" max="4874" width="27.5546875" style="77" customWidth="1"/>
    <col min="4875" max="4876" width="0" style="77" hidden="1" customWidth="1"/>
    <col min="4877" max="5122" width="9.109375" style="77"/>
    <col min="5123" max="5123" width="9.88671875" style="77" customWidth="1"/>
    <col min="5124" max="5124" width="9.44140625" style="77" customWidth="1"/>
    <col min="5125" max="5125" width="13.109375" style="77" bestFit="1" customWidth="1"/>
    <col min="5126" max="5126" width="33.5546875" style="77" customWidth="1"/>
    <col min="5127" max="5127" width="41.5546875" style="77" customWidth="1"/>
    <col min="5128" max="5128" width="10.5546875" style="77" customWidth="1"/>
    <col min="5129" max="5129" width="9.5546875" style="77" customWidth="1"/>
    <col min="5130" max="5130" width="27.5546875" style="77" customWidth="1"/>
    <col min="5131" max="5132" width="0" style="77" hidden="1" customWidth="1"/>
    <col min="5133" max="5378" width="9.109375" style="77"/>
    <col min="5379" max="5379" width="9.88671875" style="77" customWidth="1"/>
    <col min="5380" max="5380" width="9.44140625" style="77" customWidth="1"/>
    <col min="5381" max="5381" width="13.109375" style="77" bestFit="1" customWidth="1"/>
    <col min="5382" max="5382" width="33.5546875" style="77" customWidth="1"/>
    <col min="5383" max="5383" width="41.5546875" style="77" customWidth="1"/>
    <col min="5384" max="5384" width="10.5546875" style="77" customWidth="1"/>
    <col min="5385" max="5385" width="9.5546875" style="77" customWidth="1"/>
    <col min="5386" max="5386" width="27.5546875" style="77" customWidth="1"/>
    <col min="5387" max="5388" width="0" style="77" hidden="1" customWidth="1"/>
    <col min="5389" max="5634" width="9.109375" style="77"/>
    <col min="5635" max="5635" width="9.88671875" style="77" customWidth="1"/>
    <col min="5636" max="5636" width="9.44140625" style="77" customWidth="1"/>
    <col min="5637" max="5637" width="13.109375" style="77" bestFit="1" customWidth="1"/>
    <col min="5638" max="5638" width="33.5546875" style="77" customWidth="1"/>
    <col min="5639" max="5639" width="41.5546875" style="77" customWidth="1"/>
    <col min="5640" max="5640" width="10.5546875" style="77" customWidth="1"/>
    <col min="5641" max="5641" width="9.5546875" style="77" customWidth="1"/>
    <col min="5642" max="5642" width="27.5546875" style="77" customWidth="1"/>
    <col min="5643" max="5644" width="0" style="77" hidden="1" customWidth="1"/>
    <col min="5645" max="5890" width="9.109375" style="77"/>
    <col min="5891" max="5891" width="9.88671875" style="77" customWidth="1"/>
    <col min="5892" max="5892" width="9.44140625" style="77" customWidth="1"/>
    <col min="5893" max="5893" width="13.109375" style="77" bestFit="1" customWidth="1"/>
    <col min="5894" max="5894" width="33.5546875" style="77" customWidth="1"/>
    <col min="5895" max="5895" width="41.5546875" style="77" customWidth="1"/>
    <col min="5896" max="5896" width="10.5546875" style="77" customWidth="1"/>
    <col min="5897" max="5897" width="9.5546875" style="77" customWidth="1"/>
    <col min="5898" max="5898" width="27.5546875" style="77" customWidth="1"/>
    <col min="5899" max="5900" width="0" style="77" hidden="1" customWidth="1"/>
    <col min="5901" max="6146" width="9.109375" style="77"/>
    <col min="6147" max="6147" width="9.88671875" style="77" customWidth="1"/>
    <col min="6148" max="6148" width="9.44140625" style="77" customWidth="1"/>
    <col min="6149" max="6149" width="13.109375" style="77" bestFit="1" customWidth="1"/>
    <col min="6150" max="6150" width="33.5546875" style="77" customWidth="1"/>
    <col min="6151" max="6151" width="41.5546875" style="77" customWidth="1"/>
    <col min="6152" max="6152" width="10.5546875" style="77" customWidth="1"/>
    <col min="6153" max="6153" width="9.5546875" style="77" customWidth="1"/>
    <col min="6154" max="6154" width="27.5546875" style="77" customWidth="1"/>
    <col min="6155" max="6156" width="0" style="77" hidden="1" customWidth="1"/>
    <col min="6157" max="6402" width="9.109375" style="77"/>
    <col min="6403" max="6403" width="9.88671875" style="77" customWidth="1"/>
    <col min="6404" max="6404" width="9.44140625" style="77" customWidth="1"/>
    <col min="6405" max="6405" width="13.109375" style="77" bestFit="1" customWidth="1"/>
    <col min="6406" max="6406" width="33.5546875" style="77" customWidth="1"/>
    <col min="6407" max="6407" width="41.5546875" style="77" customWidth="1"/>
    <col min="6408" max="6408" width="10.5546875" style="77" customWidth="1"/>
    <col min="6409" max="6409" width="9.5546875" style="77" customWidth="1"/>
    <col min="6410" max="6410" width="27.5546875" style="77" customWidth="1"/>
    <col min="6411" max="6412" width="0" style="77" hidden="1" customWidth="1"/>
    <col min="6413" max="6658" width="9.109375" style="77"/>
    <col min="6659" max="6659" width="9.88671875" style="77" customWidth="1"/>
    <col min="6660" max="6660" width="9.44140625" style="77" customWidth="1"/>
    <col min="6661" max="6661" width="13.109375" style="77" bestFit="1" customWidth="1"/>
    <col min="6662" max="6662" width="33.5546875" style="77" customWidth="1"/>
    <col min="6663" max="6663" width="41.5546875" style="77" customWidth="1"/>
    <col min="6664" max="6664" width="10.5546875" style="77" customWidth="1"/>
    <col min="6665" max="6665" width="9.5546875" style="77" customWidth="1"/>
    <col min="6666" max="6666" width="27.5546875" style="77" customWidth="1"/>
    <col min="6667" max="6668" width="0" style="77" hidden="1" customWidth="1"/>
    <col min="6669" max="6914" width="9.109375" style="77"/>
    <col min="6915" max="6915" width="9.88671875" style="77" customWidth="1"/>
    <col min="6916" max="6916" width="9.44140625" style="77" customWidth="1"/>
    <col min="6917" max="6917" width="13.109375" style="77" bestFit="1" customWidth="1"/>
    <col min="6918" max="6918" width="33.5546875" style="77" customWidth="1"/>
    <col min="6919" max="6919" width="41.5546875" style="77" customWidth="1"/>
    <col min="6920" max="6920" width="10.5546875" style="77" customWidth="1"/>
    <col min="6921" max="6921" width="9.5546875" style="77" customWidth="1"/>
    <col min="6922" max="6922" width="27.5546875" style="77" customWidth="1"/>
    <col min="6923" max="6924" width="0" style="77" hidden="1" customWidth="1"/>
    <col min="6925" max="7170" width="9.109375" style="77"/>
    <col min="7171" max="7171" width="9.88671875" style="77" customWidth="1"/>
    <col min="7172" max="7172" width="9.44140625" style="77" customWidth="1"/>
    <col min="7173" max="7173" width="13.109375" style="77" bestFit="1" customWidth="1"/>
    <col min="7174" max="7174" width="33.5546875" style="77" customWidth="1"/>
    <col min="7175" max="7175" width="41.5546875" style="77" customWidth="1"/>
    <col min="7176" max="7176" width="10.5546875" style="77" customWidth="1"/>
    <col min="7177" max="7177" width="9.5546875" style="77" customWidth="1"/>
    <col min="7178" max="7178" width="27.5546875" style="77" customWidth="1"/>
    <col min="7179" max="7180" width="0" style="77" hidden="1" customWidth="1"/>
    <col min="7181" max="7426" width="9.109375" style="77"/>
    <col min="7427" max="7427" width="9.88671875" style="77" customWidth="1"/>
    <col min="7428" max="7428" width="9.44140625" style="77" customWidth="1"/>
    <col min="7429" max="7429" width="13.109375" style="77" bestFit="1" customWidth="1"/>
    <col min="7430" max="7430" width="33.5546875" style="77" customWidth="1"/>
    <col min="7431" max="7431" width="41.5546875" style="77" customWidth="1"/>
    <col min="7432" max="7432" width="10.5546875" style="77" customWidth="1"/>
    <col min="7433" max="7433" width="9.5546875" style="77" customWidth="1"/>
    <col min="7434" max="7434" width="27.5546875" style="77" customWidth="1"/>
    <col min="7435" max="7436" width="0" style="77" hidden="1" customWidth="1"/>
    <col min="7437" max="7682" width="9.109375" style="77"/>
    <col min="7683" max="7683" width="9.88671875" style="77" customWidth="1"/>
    <col min="7684" max="7684" width="9.44140625" style="77" customWidth="1"/>
    <col min="7685" max="7685" width="13.109375" style="77" bestFit="1" customWidth="1"/>
    <col min="7686" max="7686" width="33.5546875" style="77" customWidth="1"/>
    <col min="7687" max="7687" width="41.5546875" style="77" customWidth="1"/>
    <col min="7688" max="7688" width="10.5546875" style="77" customWidth="1"/>
    <col min="7689" max="7689" width="9.5546875" style="77" customWidth="1"/>
    <col min="7690" max="7690" width="27.5546875" style="77" customWidth="1"/>
    <col min="7691" max="7692" width="0" style="77" hidden="1" customWidth="1"/>
    <col min="7693" max="7938" width="9.109375" style="77"/>
    <col min="7939" max="7939" width="9.88671875" style="77" customWidth="1"/>
    <col min="7940" max="7940" width="9.44140625" style="77" customWidth="1"/>
    <col min="7941" max="7941" width="13.109375" style="77" bestFit="1" customWidth="1"/>
    <col min="7942" max="7942" width="33.5546875" style="77" customWidth="1"/>
    <col min="7943" max="7943" width="41.5546875" style="77" customWidth="1"/>
    <col min="7944" max="7944" width="10.5546875" style="77" customWidth="1"/>
    <col min="7945" max="7945" width="9.5546875" style="77" customWidth="1"/>
    <col min="7946" max="7946" width="27.5546875" style="77" customWidth="1"/>
    <col min="7947" max="7948" width="0" style="77" hidden="1" customWidth="1"/>
    <col min="7949" max="8194" width="9.109375" style="77"/>
    <col min="8195" max="8195" width="9.88671875" style="77" customWidth="1"/>
    <col min="8196" max="8196" width="9.44140625" style="77" customWidth="1"/>
    <col min="8197" max="8197" width="13.109375" style="77" bestFit="1" customWidth="1"/>
    <col min="8198" max="8198" width="33.5546875" style="77" customWidth="1"/>
    <col min="8199" max="8199" width="41.5546875" style="77" customWidth="1"/>
    <col min="8200" max="8200" width="10.5546875" style="77" customWidth="1"/>
    <col min="8201" max="8201" width="9.5546875" style="77" customWidth="1"/>
    <col min="8202" max="8202" width="27.5546875" style="77" customWidth="1"/>
    <col min="8203" max="8204" width="0" style="77" hidden="1" customWidth="1"/>
    <col min="8205" max="8450" width="9.109375" style="77"/>
    <col min="8451" max="8451" width="9.88671875" style="77" customWidth="1"/>
    <col min="8452" max="8452" width="9.44140625" style="77" customWidth="1"/>
    <col min="8453" max="8453" width="13.109375" style="77" bestFit="1" customWidth="1"/>
    <col min="8454" max="8454" width="33.5546875" style="77" customWidth="1"/>
    <col min="8455" max="8455" width="41.5546875" style="77" customWidth="1"/>
    <col min="8456" max="8456" width="10.5546875" style="77" customWidth="1"/>
    <col min="8457" max="8457" width="9.5546875" style="77" customWidth="1"/>
    <col min="8458" max="8458" width="27.5546875" style="77" customWidth="1"/>
    <col min="8459" max="8460" width="0" style="77" hidden="1" customWidth="1"/>
    <col min="8461" max="8706" width="9.109375" style="77"/>
    <col min="8707" max="8707" width="9.88671875" style="77" customWidth="1"/>
    <col min="8708" max="8708" width="9.44140625" style="77" customWidth="1"/>
    <col min="8709" max="8709" width="13.109375" style="77" bestFit="1" customWidth="1"/>
    <col min="8710" max="8710" width="33.5546875" style="77" customWidth="1"/>
    <col min="8711" max="8711" width="41.5546875" style="77" customWidth="1"/>
    <col min="8712" max="8712" width="10.5546875" style="77" customWidth="1"/>
    <col min="8713" max="8713" width="9.5546875" style="77" customWidth="1"/>
    <col min="8714" max="8714" width="27.5546875" style="77" customWidth="1"/>
    <col min="8715" max="8716" width="0" style="77" hidden="1" customWidth="1"/>
    <col min="8717" max="8962" width="9.109375" style="77"/>
    <col min="8963" max="8963" width="9.88671875" style="77" customWidth="1"/>
    <col min="8964" max="8964" width="9.44140625" style="77" customWidth="1"/>
    <col min="8965" max="8965" width="13.109375" style="77" bestFit="1" customWidth="1"/>
    <col min="8966" max="8966" width="33.5546875" style="77" customWidth="1"/>
    <col min="8967" max="8967" width="41.5546875" style="77" customWidth="1"/>
    <col min="8968" max="8968" width="10.5546875" style="77" customWidth="1"/>
    <col min="8969" max="8969" width="9.5546875" style="77" customWidth="1"/>
    <col min="8970" max="8970" width="27.5546875" style="77" customWidth="1"/>
    <col min="8971" max="8972" width="0" style="77" hidden="1" customWidth="1"/>
    <col min="8973" max="9218" width="9.109375" style="77"/>
    <col min="9219" max="9219" width="9.88671875" style="77" customWidth="1"/>
    <col min="9220" max="9220" width="9.44140625" style="77" customWidth="1"/>
    <col min="9221" max="9221" width="13.109375" style="77" bestFit="1" customWidth="1"/>
    <col min="9222" max="9222" width="33.5546875" style="77" customWidth="1"/>
    <col min="9223" max="9223" width="41.5546875" style="77" customWidth="1"/>
    <col min="9224" max="9224" width="10.5546875" style="77" customWidth="1"/>
    <col min="9225" max="9225" width="9.5546875" style="77" customWidth="1"/>
    <col min="9226" max="9226" width="27.5546875" style="77" customWidth="1"/>
    <col min="9227" max="9228" width="0" style="77" hidden="1" customWidth="1"/>
    <col min="9229" max="9474" width="9.109375" style="77"/>
    <col min="9475" max="9475" width="9.88671875" style="77" customWidth="1"/>
    <col min="9476" max="9476" width="9.44140625" style="77" customWidth="1"/>
    <col min="9477" max="9477" width="13.109375" style="77" bestFit="1" customWidth="1"/>
    <col min="9478" max="9478" width="33.5546875" style="77" customWidth="1"/>
    <col min="9479" max="9479" width="41.5546875" style="77" customWidth="1"/>
    <col min="9480" max="9480" width="10.5546875" style="77" customWidth="1"/>
    <col min="9481" max="9481" width="9.5546875" style="77" customWidth="1"/>
    <col min="9482" max="9482" width="27.5546875" style="77" customWidth="1"/>
    <col min="9483" max="9484" width="0" style="77" hidden="1" customWidth="1"/>
    <col min="9485" max="9730" width="9.109375" style="77"/>
    <col min="9731" max="9731" width="9.88671875" style="77" customWidth="1"/>
    <col min="9732" max="9732" width="9.44140625" style="77" customWidth="1"/>
    <col min="9733" max="9733" width="13.109375" style="77" bestFit="1" customWidth="1"/>
    <col min="9734" max="9734" width="33.5546875" style="77" customWidth="1"/>
    <col min="9735" max="9735" width="41.5546875" style="77" customWidth="1"/>
    <col min="9736" max="9736" width="10.5546875" style="77" customWidth="1"/>
    <col min="9737" max="9737" width="9.5546875" style="77" customWidth="1"/>
    <col min="9738" max="9738" width="27.5546875" style="77" customWidth="1"/>
    <col min="9739" max="9740" width="0" style="77" hidden="1" customWidth="1"/>
    <col min="9741" max="9986" width="9.109375" style="77"/>
    <col min="9987" max="9987" width="9.88671875" style="77" customWidth="1"/>
    <col min="9988" max="9988" width="9.44140625" style="77" customWidth="1"/>
    <col min="9989" max="9989" width="13.109375" style="77" bestFit="1" customWidth="1"/>
    <col min="9990" max="9990" width="33.5546875" style="77" customWidth="1"/>
    <col min="9991" max="9991" width="41.5546875" style="77" customWidth="1"/>
    <col min="9992" max="9992" width="10.5546875" style="77" customWidth="1"/>
    <col min="9993" max="9993" width="9.5546875" style="77" customWidth="1"/>
    <col min="9994" max="9994" width="27.5546875" style="77" customWidth="1"/>
    <col min="9995" max="9996" width="0" style="77" hidden="1" customWidth="1"/>
    <col min="9997" max="10242" width="9.109375" style="77"/>
    <col min="10243" max="10243" width="9.88671875" style="77" customWidth="1"/>
    <col min="10244" max="10244" width="9.44140625" style="77" customWidth="1"/>
    <col min="10245" max="10245" width="13.109375" style="77" bestFit="1" customWidth="1"/>
    <col min="10246" max="10246" width="33.5546875" style="77" customWidth="1"/>
    <col min="10247" max="10247" width="41.5546875" style="77" customWidth="1"/>
    <col min="10248" max="10248" width="10.5546875" style="77" customWidth="1"/>
    <col min="10249" max="10249" width="9.5546875" style="77" customWidth="1"/>
    <col min="10250" max="10250" width="27.5546875" style="77" customWidth="1"/>
    <col min="10251" max="10252" width="0" style="77" hidden="1" customWidth="1"/>
    <col min="10253" max="10498" width="9.109375" style="77"/>
    <col min="10499" max="10499" width="9.88671875" style="77" customWidth="1"/>
    <col min="10500" max="10500" width="9.44140625" style="77" customWidth="1"/>
    <col min="10501" max="10501" width="13.109375" style="77" bestFit="1" customWidth="1"/>
    <col min="10502" max="10502" width="33.5546875" style="77" customWidth="1"/>
    <col min="10503" max="10503" width="41.5546875" style="77" customWidth="1"/>
    <col min="10504" max="10504" width="10.5546875" style="77" customWidth="1"/>
    <col min="10505" max="10505" width="9.5546875" style="77" customWidth="1"/>
    <col min="10506" max="10506" width="27.5546875" style="77" customWidth="1"/>
    <col min="10507" max="10508" width="0" style="77" hidden="1" customWidth="1"/>
    <col min="10509" max="10754" width="9.109375" style="77"/>
    <col min="10755" max="10755" width="9.88671875" style="77" customWidth="1"/>
    <col min="10756" max="10756" width="9.44140625" style="77" customWidth="1"/>
    <col min="10757" max="10757" width="13.109375" style="77" bestFit="1" customWidth="1"/>
    <col min="10758" max="10758" width="33.5546875" style="77" customWidth="1"/>
    <col min="10759" max="10759" width="41.5546875" style="77" customWidth="1"/>
    <col min="10760" max="10760" width="10.5546875" style="77" customWidth="1"/>
    <col min="10761" max="10761" width="9.5546875" style="77" customWidth="1"/>
    <col min="10762" max="10762" width="27.5546875" style="77" customWidth="1"/>
    <col min="10763" max="10764" width="0" style="77" hidden="1" customWidth="1"/>
    <col min="10765" max="11010" width="9.109375" style="77"/>
    <col min="11011" max="11011" width="9.88671875" style="77" customWidth="1"/>
    <col min="11012" max="11012" width="9.44140625" style="77" customWidth="1"/>
    <col min="11013" max="11013" width="13.109375" style="77" bestFit="1" customWidth="1"/>
    <col min="11014" max="11014" width="33.5546875" style="77" customWidth="1"/>
    <col min="11015" max="11015" width="41.5546875" style="77" customWidth="1"/>
    <col min="11016" max="11016" width="10.5546875" style="77" customWidth="1"/>
    <col min="11017" max="11017" width="9.5546875" style="77" customWidth="1"/>
    <col min="11018" max="11018" width="27.5546875" style="77" customWidth="1"/>
    <col min="11019" max="11020" width="0" style="77" hidden="1" customWidth="1"/>
    <col min="11021" max="11266" width="9.109375" style="77"/>
    <col min="11267" max="11267" width="9.88671875" style="77" customWidth="1"/>
    <col min="11268" max="11268" width="9.44140625" style="77" customWidth="1"/>
    <col min="11269" max="11269" width="13.109375" style="77" bestFit="1" customWidth="1"/>
    <col min="11270" max="11270" width="33.5546875" style="77" customWidth="1"/>
    <col min="11271" max="11271" width="41.5546875" style="77" customWidth="1"/>
    <col min="11272" max="11272" width="10.5546875" style="77" customWidth="1"/>
    <col min="11273" max="11273" width="9.5546875" style="77" customWidth="1"/>
    <col min="11274" max="11274" width="27.5546875" style="77" customWidth="1"/>
    <col min="11275" max="11276" width="0" style="77" hidden="1" customWidth="1"/>
    <col min="11277" max="11522" width="9.109375" style="77"/>
    <col min="11523" max="11523" width="9.88671875" style="77" customWidth="1"/>
    <col min="11524" max="11524" width="9.44140625" style="77" customWidth="1"/>
    <col min="11525" max="11525" width="13.109375" style="77" bestFit="1" customWidth="1"/>
    <col min="11526" max="11526" width="33.5546875" style="77" customWidth="1"/>
    <col min="11527" max="11527" width="41.5546875" style="77" customWidth="1"/>
    <col min="11528" max="11528" width="10.5546875" style="77" customWidth="1"/>
    <col min="11529" max="11529" width="9.5546875" style="77" customWidth="1"/>
    <col min="11530" max="11530" width="27.5546875" style="77" customWidth="1"/>
    <col min="11531" max="11532" width="0" style="77" hidden="1" customWidth="1"/>
    <col min="11533" max="11778" width="9.109375" style="77"/>
    <col min="11779" max="11779" width="9.88671875" style="77" customWidth="1"/>
    <col min="11780" max="11780" width="9.44140625" style="77" customWidth="1"/>
    <col min="11781" max="11781" width="13.109375" style="77" bestFit="1" customWidth="1"/>
    <col min="11782" max="11782" width="33.5546875" style="77" customWidth="1"/>
    <col min="11783" max="11783" width="41.5546875" style="77" customWidth="1"/>
    <col min="11784" max="11784" width="10.5546875" style="77" customWidth="1"/>
    <col min="11785" max="11785" width="9.5546875" style="77" customWidth="1"/>
    <col min="11786" max="11786" width="27.5546875" style="77" customWidth="1"/>
    <col min="11787" max="11788" width="0" style="77" hidden="1" customWidth="1"/>
    <col min="11789" max="12034" width="9.109375" style="77"/>
    <col min="12035" max="12035" width="9.88671875" style="77" customWidth="1"/>
    <col min="12036" max="12036" width="9.44140625" style="77" customWidth="1"/>
    <col min="12037" max="12037" width="13.109375" style="77" bestFit="1" customWidth="1"/>
    <col min="12038" max="12038" width="33.5546875" style="77" customWidth="1"/>
    <col min="12039" max="12039" width="41.5546875" style="77" customWidth="1"/>
    <col min="12040" max="12040" width="10.5546875" style="77" customWidth="1"/>
    <col min="12041" max="12041" width="9.5546875" style="77" customWidth="1"/>
    <col min="12042" max="12042" width="27.5546875" style="77" customWidth="1"/>
    <col min="12043" max="12044" width="0" style="77" hidden="1" customWidth="1"/>
    <col min="12045" max="12290" width="9.109375" style="77"/>
    <col min="12291" max="12291" width="9.88671875" style="77" customWidth="1"/>
    <col min="12292" max="12292" width="9.44140625" style="77" customWidth="1"/>
    <col min="12293" max="12293" width="13.109375" style="77" bestFit="1" customWidth="1"/>
    <col min="12294" max="12294" width="33.5546875" style="77" customWidth="1"/>
    <col min="12295" max="12295" width="41.5546875" style="77" customWidth="1"/>
    <col min="12296" max="12296" width="10.5546875" style="77" customWidth="1"/>
    <col min="12297" max="12297" width="9.5546875" style="77" customWidth="1"/>
    <col min="12298" max="12298" width="27.5546875" style="77" customWidth="1"/>
    <col min="12299" max="12300" width="0" style="77" hidden="1" customWidth="1"/>
    <col min="12301" max="12546" width="9.109375" style="77"/>
    <col min="12547" max="12547" width="9.88671875" style="77" customWidth="1"/>
    <col min="12548" max="12548" width="9.44140625" style="77" customWidth="1"/>
    <col min="12549" max="12549" width="13.109375" style="77" bestFit="1" customWidth="1"/>
    <col min="12550" max="12550" width="33.5546875" style="77" customWidth="1"/>
    <col min="12551" max="12551" width="41.5546875" style="77" customWidth="1"/>
    <col min="12552" max="12552" width="10.5546875" style="77" customWidth="1"/>
    <col min="12553" max="12553" width="9.5546875" style="77" customWidth="1"/>
    <col min="12554" max="12554" width="27.5546875" style="77" customWidth="1"/>
    <col min="12555" max="12556" width="0" style="77" hidden="1" customWidth="1"/>
    <col min="12557" max="12802" width="9.109375" style="77"/>
    <col min="12803" max="12803" width="9.88671875" style="77" customWidth="1"/>
    <col min="12804" max="12804" width="9.44140625" style="77" customWidth="1"/>
    <col min="12805" max="12805" width="13.109375" style="77" bestFit="1" customWidth="1"/>
    <col min="12806" max="12806" width="33.5546875" style="77" customWidth="1"/>
    <col min="12807" max="12807" width="41.5546875" style="77" customWidth="1"/>
    <col min="12808" max="12808" width="10.5546875" style="77" customWidth="1"/>
    <col min="12809" max="12809" width="9.5546875" style="77" customWidth="1"/>
    <col min="12810" max="12810" width="27.5546875" style="77" customWidth="1"/>
    <col min="12811" max="12812" width="0" style="77" hidden="1" customWidth="1"/>
    <col min="12813" max="13058" width="9.109375" style="77"/>
    <col min="13059" max="13059" width="9.88671875" style="77" customWidth="1"/>
    <col min="13060" max="13060" width="9.44140625" style="77" customWidth="1"/>
    <col min="13061" max="13061" width="13.109375" style="77" bestFit="1" customWidth="1"/>
    <col min="13062" max="13062" width="33.5546875" style="77" customWidth="1"/>
    <col min="13063" max="13063" width="41.5546875" style="77" customWidth="1"/>
    <col min="13064" max="13064" width="10.5546875" style="77" customWidth="1"/>
    <col min="13065" max="13065" width="9.5546875" style="77" customWidth="1"/>
    <col min="13066" max="13066" width="27.5546875" style="77" customWidth="1"/>
    <col min="13067" max="13068" width="0" style="77" hidden="1" customWidth="1"/>
    <col min="13069" max="13314" width="9.109375" style="77"/>
    <col min="13315" max="13315" width="9.88671875" style="77" customWidth="1"/>
    <col min="13316" max="13316" width="9.44140625" style="77" customWidth="1"/>
    <col min="13317" max="13317" width="13.109375" style="77" bestFit="1" customWidth="1"/>
    <col min="13318" max="13318" width="33.5546875" style="77" customWidth="1"/>
    <col min="13319" max="13319" width="41.5546875" style="77" customWidth="1"/>
    <col min="13320" max="13320" width="10.5546875" style="77" customWidth="1"/>
    <col min="13321" max="13321" width="9.5546875" style="77" customWidth="1"/>
    <col min="13322" max="13322" width="27.5546875" style="77" customWidth="1"/>
    <col min="13323" max="13324" width="0" style="77" hidden="1" customWidth="1"/>
    <col min="13325" max="13570" width="9.109375" style="77"/>
    <col min="13571" max="13571" width="9.88671875" style="77" customWidth="1"/>
    <col min="13572" max="13572" width="9.44140625" style="77" customWidth="1"/>
    <col min="13573" max="13573" width="13.109375" style="77" bestFit="1" customWidth="1"/>
    <col min="13574" max="13574" width="33.5546875" style="77" customWidth="1"/>
    <col min="13575" max="13575" width="41.5546875" style="77" customWidth="1"/>
    <col min="13576" max="13576" width="10.5546875" style="77" customWidth="1"/>
    <col min="13577" max="13577" width="9.5546875" style="77" customWidth="1"/>
    <col min="13578" max="13578" width="27.5546875" style="77" customWidth="1"/>
    <col min="13579" max="13580" width="0" style="77" hidden="1" customWidth="1"/>
    <col min="13581" max="13826" width="9.109375" style="77"/>
    <col min="13827" max="13827" width="9.88671875" style="77" customWidth="1"/>
    <col min="13828" max="13828" width="9.44140625" style="77" customWidth="1"/>
    <col min="13829" max="13829" width="13.109375" style="77" bestFit="1" customWidth="1"/>
    <col min="13830" max="13830" width="33.5546875" style="77" customWidth="1"/>
    <col min="13831" max="13831" width="41.5546875" style="77" customWidth="1"/>
    <col min="13832" max="13832" width="10.5546875" style="77" customWidth="1"/>
    <col min="13833" max="13833" width="9.5546875" style="77" customWidth="1"/>
    <col min="13834" max="13834" width="27.5546875" style="77" customWidth="1"/>
    <col min="13835" max="13836" width="0" style="77" hidden="1" customWidth="1"/>
    <col min="13837" max="14082" width="9.109375" style="77"/>
    <col min="14083" max="14083" width="9.88671875" style="77" customWidth="1"/>
    <col min="14084" max="14084" width="9.44140625" style="77" customWidth="1"/>
    <col min="14085" max="14085" width="13.109375" style="77" bestFit="1" customWidth="1"/>
    <col min="14086" max="14086" width="33.5546875" style="77" customWidth="1"/>
    <col min="14087" max="14087" width="41.5546875" style="77" customWidth="1"/>
    <col min="14088" max="14088" width="10.5546875" style="77" customWidth="1"/>
    <col min="14089" max="14089" width="9.5546875" style="77" customWidth="1"/>
    <col min="14090" max="14090" width="27.5546875" style="77" customWidth="1"/>
    <col min="14091" max="14092" width="0" style="77" hidden="1" customWidth="1"/>
    <col min="14093" max="14338" width="9.109375" style="77"/>
    <col min="14339" max="14339" width="9.88671875" style="77" customWidth="1"/>
    <col min="14340" max="14340" width="9.44140625" style="77" customWidth="1"/>
    <col min="14341" max="14341" width="13.109375" style="77" bestFit="1" customWidth="1"/>
    <col min="14342" max="14342" width="33.5546875" style="77" customWidth="1"/>
    <col min="14343" max="14343" width="41.5546875" style="77" customWidth="1"/>
    <col min="14344" max="14344" width="10.5546875" style="77" customWidth="1"/>
    <col min="14345" max="14345" width="9.5546875" style="77" customWidth="1"/>
    <col min="14346" max="14346" width="27.5546875" style="77" customWidth="1"/>
    <col min="14347" max="14348" width="0" style="77" hidden="1" customWidth="1"/>
    <col min="14349" max="14594" width="9.109375" style="77"/>
    <col min="14595" max="14595" width="9.88671875" style="77" customWidth="1"/>
    <col min="14596" max="14596" width="9.44140625" style="77" customWidth="1"/>
    <col min="14597" max="14597" width="13.109375" style="77" bestFit="1" customWidth="1"/>
    <col min="14598" max="14598" width="33.5546875" style="77" customWidth="1"/>
    <col min="14599" max="14599" width="41.5546875" style="77" customWidth="1"/>
    <col min="14600" max="14600" width="10.5546875" style="77" customWidth="1"/>
    <col min="14601" max="14601" width="9.5546875" style="77" customWidth="1"/>
    <col min="14602" max="14602" width="27.5546875" style="77" customWidth="1"/>
    <col min="14603" max="14604" width="0" style="77" hidden="1" customWidth="1"/>
    <col min="14605" max="14850" width="9.109375" style="77"/>
    <col min="14851" max="14851" width="9.88671875" style="77" customWidth="1"/>
    <col min="14852" max="14852" width="9.44140625" style="77" customWidth="1"/>
    <col min="14853" max="14853" width="13.109375" style="77" bestFit="1" customWidth="1"/>
    <col min="14854" max="14854" width="33.5546875" style="77" customWidth="1"/>
    <col min="14855" max="14855" width="41.5546875" style="77" customWidth="1"/>
    <col min="14856" max="14856" width="10.5546875" style="77" customWidth="1"/>
    <col min="14857" max="14857" width="9.5546875" style="77" customWidth="1"/>
    <col min="14858" max="14858" width="27.5546875" style="77" customWidth="1"/>
    <col min="14859" max="14860" width="0" style="77" hidden="1" customWidth="1"/>
    <col min="14861" max="15106" width="9.109375" style="77"/>
    <col min="15107" max="15107" width="9.88671875" style="77" customWidth="1"/>
    <col min="15108" max="15108" width="9.44140625" style="77" customWidth="1"/>
    <col min="15109" max="15109" width="13.109375" style="77" bestFit="1" customWidth="1"/>
    <col min="15110" max="15110" width="33.5546875" style="77" customWidth="1"/>
    <col min="15111" max="15111" width="41.5546875" style="77" customWidth="1"/>
    <col min="15112" max="15112" width="10.5546875" style="77" customWidth="1"/>
    <col min="15113" max="15113" width="9.5546875" style="77" customWidth="1"/>
    <col min="15114" max="15114" width="27.5546875" style="77" customWidth="1"/>
    <col min="15115" max="15116" width="0" style="77" hidden="1" customWidth="1"/>
    <col min="15117" max="15362" width="9.109375" style="77"/>
    <col min="15363" max="15363" width="9.88671875" style="77" customWidth="1"/>
    <col min="15364" max="15364" width="9.44140625" style="77" customWidth="1"/>
    <col min="15365" max="15365" width="13.109375" style="77" bestFit="1" customWidth="1"/>
    <col min="15366" max="15366" width="33.5546875" style="77" customWidth="1"/>
    <col min="15367" max="15367" width="41.5546875" style="77" customWidth="1"/>
    <col min="15368" max="15368" width="10.5546875" style="77" customWidth="1"/>
    <col min="15369" max="15369" width="9.5546875" style="77" customWidth="1"/>
    <col min="15370" max="15370" width="27.5546875" style="77" customWidth="1"/>
    <col min="15371" max="15372" width="0" style="77" hidden="1" customWidth="1"/>
    <col min="15373" max="15618" width="9.109375" style="77"/>
    <col min="15619" max="15619" width="9.88671875" style="77" customWidth="1"/>
    <col min="15620" max="15620" width="9.44140625" style="77" customWidth="1"/>
    <col min="15621" max="15621" width="13.109375" style="77" bestFit="1" customWidth="1"/>
    <col min="15622" max="15622" width="33.5546875" style="77" customWidth="1"/>
    <col min="15623" max="15623" width="41.5546875" style="77" customWidth="1"/>
    <col min="15624" max="15624" width="10.5546875" style="77" customWidth="1"/>
    <col min="15625" max="15625" width="9.5546875" style="77" customWidth="1"/>
    <col min="15626" max="15626" width="27.5546875" style="77" customWidth="1"/>
    <col min="15627" max="15628" width="0" style="77" hidden="1" customWidth="1"/>
    <col min="15629" max="15874" width="9.109375" style="77"/>
    <col min="15875" max="15875" width="9.88671875" style="77" customWidth="1"/>
    <col min="15876" max="15876" width="9.44140625" style="77" customWidth="1"/>
    <col min="15877" max="15877" width="13.109375" style="77" bestFit="1" customWidth="1"/>
    <col min="15878" max="15878" width="33.5546875" style="77" customWidth="1"/>
    <col min="15879" max="15879" width="41.5546875" style="77" customWidth="1"/>
    <col min="15880" max="15880" width="10.5546875" style="77" customWidth="1"/>
    <col min="15881" max="15881" width="9.5546875" style="77" customWidth="1"/>
    <col min="15882" max="15882" width="27.5546875" style="77" customWidth="1"/>
    <col min="15883" max="15884" width="0" style="77" hidden="1" customWidth="1"/>
    <col min="15885" max="16130" width="9.109375" style="77"/>
    <col min="16131" max="16131" width="9.88671875" style="77" customWidth="1"/>
    <col min="16132" max="16132" width="9.44140625" style="77" customWidth="1"/>
    <col min="16133" max="16133" width="13.109375" style="77" bestFit="1" customWidth="1"/>
    <col min="16134" max="16134" width="33.5546875" style="77" customWidth="1"/>
    <col min="16135" max="16135" width="41.5546875" style="77" customWidth="1"/>
    <col min="16136" max="16136" width="10.5546875" style="77" customWidth="1"/>
    <col min="16137" max="16137" width="9.5546875" style="77" customWidth="1"/>
    <col min="16138" max="16138" width="27.5546875" style="77" customWidth="1"/>
    <col min="16139" max="16140" width="0" style="77" hidden="1" customWidth="1"/>
    <col min="16141" max="16384" width="9.109375" style="77"/>
  </cols>
  <sheetData>
    <row r="1" spans="1:21" ht="15" customHeight="1">
      <c r="A1" s="834" t="s">
        <v>65</v>
      </c>
      <c r="B1" s="835"/>
      <c r="C1" s="835"/>
      <c r="D1" s="835"/>
      <c r="E1" s="835"/>
      <c r="F1" s="357"/>
      <c r="G1" s="357"/>
      <c r="O1" s="154"/>
    </row>
    <row r="2" spans="1:21" ht="15" customHeight="1">
      <c r="A2" s="358"/>
      <c r="B2" s="359"/>
      <c r="C2" s="359"/>
      <c r="D2" s="359"/>
      <c r="E2" s="360"/>
      <c r="O2" s="154"/>
    </row>
    <row r="3" spans="1:21" ht="15" customHeight="1">
      <c r="A3" s="361" t="s">
        <v>315</v>
      </c>
      <c r="B3" s="362" t="str">
        <f>'CFR Return'!C3</f>
        <v>0000</v>
      </c>
      <c r="C3" s="363"/>
      <c r="D3" s="363"/>
      <c r="E3" s="364"/>
      <c r="F3" s="365"/>
      <c r="G3" s="366"/>
      <c r="H3" s="319" t="s">
        <v>3</v>
      </c>
      <c r="I3" s="318"/>
      <c r="J3" s="318"/>
      <c r="O3" s="154"/>
    </row>
    <row r="4" spans="1:21" ht="15" customHeight="1">
      <c r="A4" s="367" t="s">
        <v>47</v>
      </c>
      <c r="B4" s="368" t="str">
        <f>'CFR Return'!C2</f>
        <v>Select School</v>
      </c>
      <c r="C4" s="368"/>
      <c r="D4" s="368"/>
      <c r="E4" s="369"/>
      <c r="F4" s="370"/>
      <c r="G4" s="371"/>
      <c r="H4" s="319" t="s">
        <v>5</v>
      </c>
      <c r="I4" s="321" t="s">
        <v>975</v>
      </c>
      <c r="J4" s="433"/>
      <c r="O4" s="142" t="s">
        <v>976</v>
      </c>
    </row>
    <row r="5" spans="1:21" ht="15" customHeight="1">
      <c r="A5" s="372"/>
      <c r="B5" s="373"/>
      <c r="C5" s="373"/>
      <c r="D5" s="373"/>
      <c r="E5" s="374"/>
      <c r="I5" s="435" t="s">
        <v>977</v>
      </c>
      <c r="J5" s="434"/>
      <c r="O5" s="142" t="s">
        <v>978</v>
      </c>
    </row>
    <row r="6" spans="1:21" ht="15" customHeight="1" thickBot="1">
      <c r="A6" s="372"/>
      <c r="B6" s="373" t="s">
        <v>979</v>
      </c>
      <c r="C6" s="373"/>
      <c r="D6" s="373"/>
      <c r="E6" s="375"/>
      <c r="O6" s="154"/>
    </row>
    <row r="7" spans="1:21" s="437" customFormat="1">
      <c r="A7" s="570"/>
      <c r="B7" s="571"/>
      <c r="C7" s="571"/>
      <c r="D7" s="571"/>
      <c r="E7" s="571"/>
      <c r="F7" s="572"/>
      <c r="G7" s="572"/>
      <c r="H7" s="576"/>
      <c r="I7" s="858" t="s">
        <v>980</v>
      </c>
      <c r="J7" s="859"/>
      <c r="K7" s="859"/>
      <c r="L7" s="859"/>
      <c r="M7" s="859"/>
      <c r="N7" s="859"/>
      <c r="O7" s="573"/>
    </row>
    <row r="8" spans="1:21" s="437" customFormat="1" ht="75.900000000000006" customHeight="1">
      <c r="A8" s="574" t="s">
        <v>981</v>
      </c>
      <c r="B8" s="569" t="s">
        <v>982</v>
      </c>
      <c r="C8" s="569"/>
      <c r="D8" s="569"/>
      <c r="E8" s="569" t="s">
        <v>983</v>
      </c>
      <c r="F8" s="569" t="s">
        <v>984</v>
      </c>
      <c r="G8" s="439" t="s">
        <v>985</v>
      </c>
      <c r="H8" s="440" t="s">
        <v>986</v>
      </c>
      <c r="I8" s="438" t="s">
        <v>987</v>
      </c>
      <c r="J8" s="439" t="s">
        <v>988</v>
      </c>
      <c r="K8" s="439" t="s">
        <v>989</v>
      </c>
      <c r="L8" s="439" t="s">
        <v>990</v>
      </c>
      <c r="M8" s="439" t="s">
        <v>991</v>
      </c>
      <c r="N8" s="439" t="s">
        <v>992</v>
      </c>
      <c r="O8" s="440" t="s">
        <v>993</v>
      </c>
    </row>
    <row r="9" spans="1:21" s="436" customFormat="1" ht="15" customHeight="1">
      <c r="A9" s="441" t="s">
        <v>62</v>
      </c>
      <c r="B9" s="442" t="s">
        <v>976</v>
      </c>
      <c r="C9" s="442" t="str">
        <f t="shared" ref="C9:C73" si="0">CONCATENATE(A9,$B$6,B9)</f>
        <v>Creditors BCC</v>
      </c>
      <c r="D9" s="442" t="s">
        <v>994</v>
      </c>
      <c r="E9" s="443" t="s">
        <v>144</v>
      </c>
      <c r="F9" s="444"/>
      <c r="G9" s="445" t="s">
        <v>995</v>
      </c>
      <c r="H9" s="577" t="str">
        <f>IF(VLOOKUP($B$3,'Accruals lookup'!$B:$AO,5,FALSE)=0,"",VLOOKUP($B$3,'Accruals lookup'!$B:$AO,5,FALSE))</f>
        <v/>
      </c>
      <c r="I9" s="446" t="s">
        <v>996</v>
      </c>
      <c r="J9" s="447"/>
      <c r="K9" s="688" t="str">
        <f>IFERROR(_xlfn.IFNA(IF(VLOOKUP(I9,Lookup!AU:AV,2,FALSE)="CPID Required","CPID Required",""),VLOOKUP(J9,Lookup!AW:AX,2,FALSE)),"")</f>
        <v/>
      </c>
      <c r="L9" s="447"/>
      <c r="M9" s="447"/>
      <c r="N9" s="447" t="str" cm="1">
        <f t="array" ref="N9">IFERROR(_xlfn.IFS(L9&gt;0,VLOOKUP(L9,CPIDs!D:F,3,FALSE),M9&gt;0,VLOOKUP(M9,'RELPTY (Related Parties)'!D:E,2,FALSE)),"")</f>
        <v/>
      </c>
      <c r="O9" s="575" t="str">
        <f>CONCATENATE($B$3," ",U9)</f>
        <v>0000 BCC SF1</v>
      </c>
      <c r="U9" s="437" t="s">
        <v>997</v>
      </c>
    </row>
    <row r="10" spans="1:21" s="436" customFormat="1" ht="15" customHeight="1">
      <c r="A10" s="441" t="s">
        <v>62</v>
      </c>
      <c r="B10" s="442" t="s">
        <v>976</v>
      </c>
      <c r="C10" s="442" t="str">
        <f t="shared" si="0"/>
        <v>Creditors BCC</v>
      </c>
      <c r="D10" s="442" t="s">
        <v>994</v>
      </c>
      <c r="E10" s="443" t="s">
        <v>140</v>
      </c>
      <c r="F10" s="444"/>
      <c r="G10" s="445" t="s">
        <v>995</v>
      </c>
      <c r="H10" s="577" t="str">
        <f>IF(VLOOKUP($B$3,'Accruals lookup'!$B:$AO,9,FALSE)=0,"",VLOOKUP($B$3,'Accruals lookup'!$B:$AO,9,FALSE))</f>
        <v/>
      </c>
      <c r="I10" s="446" t="s">
        <v>996</v>
      </c>
      <c r="J10" s="447"/>
      <c r="K10" s="688" t="str">
        <f>IFERROR(_xlfn.IFNA(IF(VLOOKUP(I10,Lookup!AU:AV,2,FALSE)="CPID Required","CPID Required",""),VLOOKUP(J10,Lookup!AW:AX,2,FALSE)),"")</f>
        <v/>
      </c>
      <c r="L10" s="447"/>
      <c r="M10" s="447"/>
      <c r="N10" s="447" t="str" cm="1">
        <f t="array" ref="N10">IFERROR(_xlfn.IFS(L10&gt;0,VLOOKUP(L10,CPIDs!D:F,3,FALSE),M10&gt;0,VLOOKUP(M10,'RELPTY (Related Parties)'!D:E,2,FALSE)),"")</f>
        <v/>
      </c>
      <c r="O10" s="575" t="str">
        <f t="shared" ref="O10:O73" si="1">CONCATENATE($B$3," ",U10)</f>
        <v>0000 BCC SF2</v>
      </c>
      <c r="U10" s="437" t="s">
        <v>998</v>
      </c>
    </row>
    <row r="11" spans="1:21" s="436" customFormat="1" ht="15" customHeight="1">
      <c r="A11" s="441" t="s">
        <v>62</v>
      </c>
      <c r="B11" s="442" t="s">
        <v>976</v>
      </c>
      <c r="C11" s="442" t="str">
        <f t="shared" si="0"/>
        <v>Creditors BCC</v>
      </c>
      <c r="D11" s="442" t="s">
        <v>994</v>
      </c>
      <c r="E11" s="443" t="s">
        <v>140</v>
      </c>
      <c r="F11" s="444"/>
      <c r="G11" s="445" t="s">
        <v>995</v>
      </c>
      <c r="H11" s="577" t="str">
        <f>IF(VLOOKUP($B$3,'Accruals lookup'!$B:$AO,11,FALSE)=0,"",VLOOKUP($B$3,'Accruals lookup'!$B:$AO,11,FALSE))</f>
        <v/>
      </c>
      <c r="I11" s="446" t="s">
        <v>996</v>
      </c>
      <c r="J11" s="447"/>
      <c r="K11" s="688" t="str">
        <f>IFERROR(_xlfn.IFNA(IF(VLOOKUP(I11,Lookup!AU:AV,2,FALSE)="CPID Required","CPID Required",""),VLOOKUP(J11,Lookup!AW:AX,2,FALSE)),"")</f>
        <v/>
      </c>
      <c r="L11" s="447"/>
      <c r="M11" s="447"/>
      <c r="N11" s="447" t="str" cm="1">
        <f t="array" ref="N11">IFERROR(_xlfn.IFS(L11&gt;0,VLOOKUP(L11,CPIDs!D:F,3,FALSE),M11&gt;0,VLOOKUP(M11,'RELPTY (Related Parties)'!D:E,2,FALSE)),"")</f>
        <v/>
      </c>
      <c r="O11" s="575" t="str">
        <f t="shared" si="1"/>
        <v>0000 BCC SF3</v>
      </c>
      <c r="U11" s="437" t="s">
        <v>999</v>
      </c>
    </row>
    <row r="12" spans="1:21" s="436" customFormat="1" ht="15" customHeight="1">
      <c r="A12" s="441" t="s">
        <v>62</v>
      </c>
      <c r="B12" s="442" t="s">
        <v>976</v>
      </c>
      <c r="C12" s="442" t="str">
        <f t="shared" si="0"/>
        <v>Creditors BCC</v>
      </c>
      <c r="D12" s="442" t="s">
        <v>994</v>
      </c>
      <c r="E12" s="443" t="s">
        <v>138</v>
      </c>
      <c r="F12" s="444"/>
      <c r="G12" s="445" t="s">
        <v>995</v>
      </c>
      <c r="H12" s="577" t="str">
        <f>IF(VLOOKUP($B$3,'Accruals lookup'!$B:$AO,13,FALSE)=0,"",VLOOKUP($B$3,'Accruals lookup'!$B:$AO,13,FALSE))</f>
        <v/>
      </c>
      <c r="I12" s="446" t="s">
        <v>996</v>
      </c>
      <c r="J12" s="447"/>
      <c r="K12" s="688" t="str">
        <f>IFERROR(_xlfn.IFNA(IF(VLOOKUP(I12,Lookup!AU:AV,2,FALSE)="CPID Required","CPID Required",""),VLOOKUP(J12,Lookup!AW:AX,2,FALSE)),"")</f>
        <v/>
      </c>
      <c r="L12" s="447"/>
      <c r="M12" s="447"/>
      <c r="N12" s="447" t="str" cm="1">
        <f t="array" ref="N12">IFERROR(_xlfn.IFS(L12&gt;0,VLOOKUP(L12,CPIDs!D:F,3,FALSE),M12&gt;0,VLOOKUP(M12,'RELPTY (Related Parties)'!D:E,2,FALSE)),"")</f>
        <v/>
      </c>
      <c r="O12" s="575" t="str">
        <f t="shared" si="1"/>
        <v>0000 BCC SF4</v>
      </c>
      <c r="U12" s="437" t="s">
        <v>1000</v>
      </c>
    </row>
    <row r="13" spans="1:21" s="436" customFormat="1" ht="15" customHeight="1">
      <c r="A13" s="441" t="s">
        <v>62</v>
      </c>
      <c r="B13" s="442" t="s">
        <v>976</v>
      </c>
      <c r="C13" s="442" t="str">
        <f t="shared" si="0"/>
        <v>Creditors BCC</v>
      </c>
      <c r="D13" s="442" t="s">
        <v>994</v>
      </c>
      <c r="E13" s="443" t="s">
        <v>144</v>
      </c>
      <c r="F13" s="444"/>
      <c r="G13" s="445" t="s">
        <v>995</v>
      </c>
      <c r="H13" s="577" t="str">
        <f>IF(VLOOKUP($B$3,'Accruals lookup'!$B:$AO,16,FALSE)=0,"",VLOOKUP($B$3,'Accruals lookup'!$B:$AO,16,FALSE))</f>
        <v/>
      </c>
      <c r="I13" s="446" t="s">
        <v>996</v>
      </c>
      <c r="J13" s="447"/>
      <c r="K13" s="688" t="str">
        <f>IFERROR(_xlfn.IFNA(IF(VLOOKUP(I13,Lookup!AU:AV,2,FALSE)="CPID Required","CPID Required",""),VLOOKUP(J13,Lookup!AW:AX,2,FALSE)),"")</f>
        <v/>
      </c>
      <c r="L13" s="447"/>
      <c r="M13" s="447"/>
      <c r="N13" s="447" t="str" cm="1">
        <f t="array" ref="N13">IFERROR(_xlfn.IFS(L13&gt;0,VLOOKUP(L13,CPIDs!D:F,3,FALSE),M13&gt;0,VLOOKUP(M13,'RELPTY (Related Parties)'!D:E,2,FALSE)),"")</f>
        <v/>
      </c>
      <c r="O13" s="575" t="str">
        <f t="shared" si="1"/>
        <v>0000 BCC SF5</v>
      </c>
      <c r="U13" s="437" t="s">
        <v>1001</v>
      </c>
    </row>
    <row r="14" spans="1:21" s="436" customFormat="1" ht="15" customHeight="1">
      <c r="A14" s="441" t="s">
        <v>62</v>
      </c>
      <c r="B14" s="442" t="s">
        <v>976</v>
      </c>
      <c r="C14" s="442" t="str">
        <f t="shared" si="0"/>
        <v>Creditors BCC</v>
      </c>
      <c r="D14" s="442" t="s">
        <v>994</v>
      </c>
      <c r="E14" s="443" t="s">
        <v>175</v>
      </c>
      <c r="F14" s="444"/>
      <c r="G14" s="445" t="s">
        <v>995</v>
      </c>
      <c r="H14" s="577" t="str">
        <f>IF(VLOOKUP($B$3,'Accruals lookup'!$B:$AO,19,FALSE)=0,"",VLOOKUP($B$3,'Accruals lookup'!$B:$AO,19,FALSE))</f>
        <v/>
      </c>
      <c r="I14" s="446" t="s">
        <v>996</v>
      </c>
      <c r="J14" s="447"/>
      <c r="K14" s="688" t="str">
        <f>IFERROR(_xlfn.IFNA(IF(VLOOKUP(I14,Lookup!AU:AV,2,FALSE)="CPID Required","CPID Required",""),VLOOKUP(J14,Lookup!AW:AX,2,FALSE)),"")</f>
        <v/>
      </c>
      <c r="L14" s="447"/>
      <c r="M14" s="447"/>
      <c r="N14" s="447" t="str" cm="1">
        <f t="array" ref="N14">IFERROR(_xlfn.IFS(L14&gt;0,VLOOKUP(L14,CPIDs!D:F,3,FALSE),M14&gt;0,VLOOKUP(M14,'RELPTY (Related Parties)'!D:E,2,FALSE)),"")</f>
        <v/>
      </c>
      <c r="O14" s="575" t="str">
        <f t="shared" si="1"/>
        <v>0000 BCC SF6</v>
      </c>
      <c r="U14" s="437" t="s">
        <v>1002</v>
      </c>
    </row>
    <row r="15" spans="1:21" s="436" customFormat="1" ht="15" customHeight="1">
      <c r="A15" s="441" t="s">
        <v>62</v>
      </c>
      <c r="B15" s="442" t="s">
        <v>976</v>
      </c>
      <c r="C15" s="442" t="str">
        <f t="shared" si="0"/>
        <v>Creditors BCC</v>
      </c>
      <c r="D15" s="442" t="s">
        <v>994</v>
      </c>
      <c r="E15" s="443" t="s">
        <v>171</v>
      </c>
      <c r="F15" s="444"/>
      <c r="G15" s="445" t="s">
        <v>995</v>
      </c>
      <c r="H15" s="577" t="str">
        <f>IF(VLOOKUP($B$3,'Accruals lookup'!$B:$AO,23,FALSE)=0,"",VLOOKUP($B$3,'Accruals lookup'!$B:$AO,23,FALSE))</f>
        <v/>
      </c>
      <c r="I15" s="446" t="s">
        <v>996</v>
      </c>
      <c r="J15" s="447"/>
      <c r="K15" s="688" t="str">
        <f>IFERROR(_xlfn.IFNA(IF(VLOOKUP(I15,Lookup!AU:AV,2,FALSE)="CPID Required","CPID Required",""),VLOOKUP(J15,Lookup!AW:AX,2,FALSE)),"")</f>
        <v/>
      </c>
      <c r="L15" s="447"/>
      <c r="M15" s="447"/>
      <c r="N15" s="447" t="str" cm="1">
        <f t="array" ref="N15">IFERROR(_xlfn.IFS(L15&gt;0,VLOOKUP(L15,CPIDs!D:F,3,FALSE),M15&gt;0,VLOOKUP(M15,'RELPTY (Related Parties)'!D:E,2,FALSE)),"")</f>
        <v/>
      </c>
      <c r="O15" s="575" t="str">
        <f t="shared" si="1"/>
        <v>0000 BCC SF7</v>
      </c>
      <c r="U15" s="437" t="s">
        <v>1003</v>
      </c>
    </row>
    <row r="16" spans="1:21" s="436" customFormat="1" ht="15" customHeight="1">
      <c r="A16" s="441"/>
      <c r="B16" s="442" t="s">
        <v>976</v>
      </c>
      <c r="C16" s="442" t="str">
        <f t="shared" si="0"/>
        <v xml:space="preserve"> BCC</v>
      </c>
      <c r="D16" s="442" t="s">
        <v>994</v>
      </c>
      <c r="E16" s="443"/>
      <c r="F16" s="448"/>
      <c r="G16" s="445" t="s">
        <v>995</v>
      </c>
      <c r="H16" s="577"/>
      <c r="I16" s="446"/>
      <c r="J16" s="447"/>
      <c r="K16" s="688" t="str">
        <f>IFERROR(_xlfn.IFNA(IF(VLOOKUP(I16,Lookup!AU:AV,2,FALSE)="CPID Required","CPID Required",""),VLOOKUP(J16,Lookup!AW:AX,2,FALSE)),"")</f>
        <v/>
      </c>
      <c r="L16" s="447"/>
      <c r="M16" s="447"/>
      <c r="N16" s="447" t="str" cm="1">
        <f t="array" ref="N16">IFERROR(_xlfn.IFS(L16&gt;0,VLOOKUP(L16,CPIDs!D:F,3,FALSE),M16&gt;0,VLOOKUP(M16,'RELPTY (Related Parties)'!D:E,2,FALSE)),"")</f>
        <v/>
      </c>
      <c r="O16" s="575" t="str">
        <f t="shared" si="1"/>
        <v>0000 BCC SF8</v>
      </c>
      <c r="U16" s="437" t="s">
        <v>1004</v>
      </c>
    </row>
    <row r="17" spans="1:21" s="480" customFormat="1" ht="15" customHeight="1">
      <c r="A17" s="449"/>
      <c r="B17" s="450"/>
      <c r="C17" s="442" t="str">
        <f t="shared" si="0"/>
        <v xml:space="preserve"> </v>
      </c>
      <c r="D17" s="450"/>
      <c r="E17" s="458"/>
      <c r="F17" s="639"/>
      <c r="G17" s="451"/>
      <c r="H17" s="578"/>
      <c r="I17" s="479"/>
      <c r="J17" s="452"/>
      <c r="K17" s="688" t="str">
        <f>IFERROR(_xlfn.IFNA(IF(VLOOKUP(I17,Lookup!AU:AV,2,FALSE)="CPID Required","CPID Required",""),VLOOKUP(J17,Lookup!AW:AX,2,FALSE)),"")</f>
        <v/>
      </c>
      <c r="L17" s="452"/>
      <c r="M17" s="460"/>
      <c r="N17" s="447" t="str" cm="1">
        <f t="array" ref="N17">IFERROR(_xlfn.IFS(L17&gt;0,VLOOKUP(L17,CPIDs!D:F,3,FALSE),M17&gt;0,VLOOKUP(M17,'RELPTY (Related Parties)'!D:E,2,FALSE)),"")</f>
        <v/>
      </c>
      <c r="O17" s="575" t="str">
        <f t="shared" si="1"/>
        <v>0000 BCC SF9</v>
      </c>
      <c r="U17" s="480" t="s">
        <v>1005</v>
      </c>
    </row>
    <row r="18" spans="1:21" s="480" customFormat="1" ht="15" customHeight="1">
      <c r="A18" s="449"/>
      <c r="B18" s="450"/>
      <c r="C18" s="442" t="str">
        <f t="shared" si="0"/>
        <v xml:space="preserve"> </v>
      </c>
      <c r="D18" s="450"/>
      <c r="E18" s="458"/>
      <c r="F18" s="639"/>
      <c r="G18" s="451"/>
      <c r="H18" s="578"/>
      <c r="I18" s="479"/>
      <c r="J18" s="452"/>
      <c r="K18" s="688" t="str">
        <f>IFERROR(_xlfn.IFNA(IF(VLOOKUP(I18,Lookup!AU:AV,2,FALSE)="CPID Required","CPID Required",""),VLOOKUP(J18,Lookup!AW:AX,2,FALSE)),"")</f>
        <v/>
      </c>
      <c r="L18" s="452"/>
      <c r="M18" s="460"/>
      <c r="N18" s="447" t="str" cm="1">
        <f t="array" ref="N18">IFERROR(_xlfn.IFS(L18&gt;0,VLOOKUP(L18,CPIDs!D:F,3,FALSE),M18&gt;0,VLOOKUP(M18,'RELPTY (Related Parties)'!D:E,2,FALSE)),"")</f>
        <v/>
      </c>
      <c r="O18" s="575" t="str">
        <f t="shared" si="1"/>
        <v>0000 BCC SF10</v>
      </c>
      <c r="U18" s="480" t="s">
        <v>1006</v>
      </c>
    </row>
    <row r="19" spans="1:21" s="480" customFormat="1" ht="15" customHeight="1">
      <c r="A19" s="449"/>
      <c r="B19" s="450"/>
      <c r="C19" s="442" t="str">
        <f t="shared" si="0"/>
        <v xml:space="preserve"> </v>
      </c>
      <c r="D19" s="450"/>
      <c r="E19" s="458"/>
      <c r="F19" s="639"/>
      <c r="G19" s="451"/>
      <c r="H19" s="578"/>
      <c r="I19" s="479"/>
      <c r="J19" s="452"/>
      <c r="K19" s="688" t="str">
        <f>IFERROR(_xlfn.IFNA(IF(VLOOKUP(I19,Lookup!AU:AV,2,FALSE)="CPID Required","CPID Required",""),VLOOKUP(J19,Lookup!AW:AX,2,FALSE)),"")</f>
        <v/>
      </c>
      <c r="L19" s="452"/>
      <c r="M19" s="460"/>
      <c r="N19" s="447" t="str" cm="1">
        <f t="array" ref="N19">IFERROR(_xlfn.IFS(L19&gt;0,VLOOKUP(L19,CPIDs!D:F,3,FALSE),M19&gt;0,VLOOKUP(M19,'RELPTY (Related Parties)'!D:E,2,FALSE)),"")</f>
        <v/>
      </c>
      <c r="O19" s="575" t="str">
        <f t="shared" si="1"/>
        <v>0000 BCC SF11</v>
      </c>
      <c r="U19" s="480" t="s">
        <v>1007</v>
      </c>
    </row>
    <row r="20" spans="1:21" s="480" customFormat="1" ht="15" customHeight="1">
      <c r="A20" s="449"/>
      <c r="B20" s="450"/>
      <c r="C20" s="442" t="str">
        <f t="shared" si="0"/>
        <v xml:space="preserve"> </v>
      </c>
      <c r="D20" s="450"/>
      <c r="E20" s="458"/>
      <c r="F20" s="639"/>
      <c r="G20" s="451"/>
      <c r="H20" s="578"/>
      <c r="I20" s="479"/>
      <c r="J20" s="452"/>
      <c r="K20" s="688" t="str">
        <f>IFERROR(_xlfn.IFNA(IF(VLOOKUP(I20,Lookup!AU:AV,2,FALSE)="CPID Required","CPID Required",""),VLOOKUP(J20,Lookup!AW:AX,2,FALSE)),"")</f>
        <v/>
      </c>
      <c r="L20" s="452"/>
      <c r="M20" s="460"/>
      <c r="N20" s="447" t="str" cm="1">
        <f t="array" ref="N20">IFERROR(_xlfn.IFS(L20&gt;0,VLOOKUP(L20,CPIDs!D:F,3,FALSE),M20&gt;0,VLOOKUP(M20,'RELPTY (Related Parties)'!D:E,2,FALSE)),"")</f>
        <v/>
      </c>
      <c r="O20" s="575" t="str">
        <f t="shared" si="1"/>
        <v>0000 BCC SF12</v>
      </c>
      <c r="U20" s="480" t="s">
        <v>1008</v>
      </c>
    </row>
    <row r="21" spans="1:21" s="480" customFormat="1" ht="15" customHeight="1">
      <c r="A21" s="449"/>
      <c r="B21" s="450"/>
      <c r="C21" s="442" t="str">
        <f t="shared" si="0"/>
        <v xml:space="preserve"> </v>
      </c>
      <c r="D21" s="450"/>
      <c r="E21" s="458"/>
      <c r="F21" s="639"/>
      <c r="G21" s="451"/>
      <c r="H21" s="578"/>
      <c r="I21" s="479"/>
      <c r="J21" s="452"/>
      <c r="K21" s="688" t="str">
        <f>IFERROR(_xlfn.IFNA(IF(VLOOKUP(I21,Lookup!AU:AV,2,FALSE)="CPID Required","CPID Required",""),VLOOKUP(J21,Lookup!AW:AX,2,FALSE)),"")</f>
        <v/>
      </c>
      <c r="L21" s="452"/>
      <c r="M21" s="460"/>
      <c r="N21" s="447" t="str" cm="1">
        <f t="array" ref="N21">IFERROR(_xlfn.IFS(L21&gt;0,VLOOKUP(L21,CPIDs!D:F,3,FALSE),M21&gt;0,VLOOKUP(M21,'RELPTY (Related Parties)'!D:E,2,FALSE)),"")</f>
        <v/>
      </c>
      <c r="O21" s="575" t="str">
        <f t="shared" si="1"/>
        <v>0000 BCC SF13</v>
      </c>
      <c r="U21" s="480" t="s">
        <v>1009</v>
      </c>
    </row>
    <row r="22" spans="1:21" s="480" customFormat="1" ht="15" customHeight="1">
      <c r="A22" s="449"/>
      <c r="B22" s="450"/>
      <c r="C22" s="442" t="str">
        <f t="shared" si="0"/>
        <v xml:space="preserve"> </v>
      </c>
      <c r="D22" s="450"/>
      <c r="E22" s="458"/>
      <c r="F22" s="639"/>
      <c r="G22" s="451"/>
      <c r="H22" s="578"/>
      <c r="I22" s="479"/>
      <c r="J22" s="452"/>
      <c r="K22" s="688" t="str">
        <f>IFERROR(_xlfn.IFNA(IF(VLOOKUP(I22,Lookup!AU:AV,2,FALSE)="CPID Required","CPID Required",""),VLOOKUP(J22,Lookup!AW:AX,2,FALSE)),"")</f>
        <v/>
      </c>
      <c r="L22" s="452"/>
      <c r="M22" s="460"/>
      <c r="N22" s="447" t="str" cm="1">
        <f t="array" ref="N22">IFERROR(_xlfn.IFS(L22&gt;0,VLOOKUP(L22,CPIDs!D:F,3,FALSE),M22&gt;0,VLOOKUP(M22,'RELPTY (Related Parties)'!D:E,2,FALSE)),"")</f>
        <v/>
      </c>
      <c r="O22" s="575" t="str">
        <f t="shared" si="1"/>
        <v>0000 BCC SF14</v>
      </c>
      <c r="U22" s="480" t="s">
        <v>1010</v>
      </c>
    </row>
    <row r="23" spans="1:21" s="480" customFormat="1" ht="15" customHeight="1">
      <c r="A23" s="449"/>
      <c r="B23" s="450"/>
      <c r="C23" s="442" t="str">
        <f t="shared" si="0"/>
        <v xml:space="preserve"> </v>
      </c>
      <c r="D23" s="450"/>
      <c r="E23" s="458"/>
      <c r="F23" s="639"/>
      <c r="G23" s="451"/>
      <c r="H23" s="578"/>
      <c r="I23" s="479"/>
      <c r="J23" s="452"/>
      <c r="K23" s="688" t="str">
        <f>IFERROR(_xlfn.IFNA(IF(VLOOKUP(I23,Lookup!AU:AV,2,FALSE)="CPID Required","CPID Required",""),VLOOKUP(J23,Lookup!AW:AX,2,FALSE)),"")</f>
        <v/>
      </c>
      <c r="L23" s="452"/>
      <c r="M23" s="460"/>
      <c r="N23" s="447" t="str" cm="1">
        <f t="array" ref="N23">IFERROR(_xlfn.IFS(L23&gt;0,VLOOKUP(L23,CPIDs!D:F,3,FALSE),M23&gt;0,VLOOKUP(M23,'RELPTY (Related Parties)'!D:E,2,FALSE)),"")</f>
        <v/>
      </c>
      <c r="O23" s="575" t="str">
        <f t="shared" si="1"/>
        <v>0000 BCC SF15</v>
      </c>
      <c r="U23" s="480" t="s">
        <v>1011</v>
      </c>
    </row>
    <row r="24" spans="1:21" s="480" customFormat="1" ht="15" customHeight="1">
      <c r="A24" s="449"/>
      <c r="B24" s="450"/>
      <c r="C24" s="442" t="str">
        <f t="shared" si="0"/>
        <v xml:space="preserve"> </v>
      </c>
      <c r="D24" s="450"/>
      <c r="E24" s="458"/>
      <c r="F24" s="639"/>
      <c r="G24" s="451"/>
      <c r="H24" s="578"/>
      <c r="I24" s="479"/>
      <c r="J24" s="452"/>
      <c r="K24" s="688" t="str">
        <f>IFERROR(_xlfn.IFNA(IF(VLOOKUP(I24,Lookup!AU:AV,2,FALSE)="CPID Required","CPID Required",""),VLOOKUP(J24,Lookup!AW:AX,2,FALSE)),"")</f>
        <v/>
      </c>
      <c r="L24" s="452"/>
      <c r="M24" s="460"/>
      <c r="N24" s="447" t="str" cm="1">
        <f t="array" ref="N24">IFERROR(_xlfn.IFS(L24&gt;0,VLOOKUP(L24,CPIDs!D:F,3,FALSE),M24&gt;0,VLOOKUP(M24,'RELPTY (Related Parties)'!D:E,2,FALSE)),"")</f>
        <v/>
      </c>
      <c r="O24" s="575" t="str">
        <f t="shared" si="1"/>
        <v>0000 BCC SF16</v>
      </c>
      <c r="U24" s="480" t="s">
        <v>1012</v>
      </c>
    </row>
    <row r="25" spans="1:21" s="480" customFormat="1" ht="15" customHeight="1">
      <c r="A25" s="449"/>
      <c r="B25" s="450"/>
      <c r="C25" s="442" t="str">
        <f t="shared" si="0"/>
        <v xml:space="preserve"> </v>
      </c>
      <c r="D25" s="450"/>
      <c r="E25" s="458"/>
      <c r="F25" s="639"/>
      <c r="G25" s="451"/>
      <c r="H25" s="578"/>
      <c r="I25" s="479"/>
      <c r="J25" s="452"/>
      <c r="K25" s="688" t="str">
        <f>IFERROR(_xlfn.IFNA(IF(VLOOKUP(I25,Lookup!AU:AV,2,FALSE)="CPID Required","CPID Required",""),VLOOKUP(J25,Lookup!AW:AX,2,FALSE)),"")</f>
        <v/>
      </c>
      <c r="L25" s="452"/>
      <c r="M25" s="460"/>
      <c r="N25" s="447" t="str" cm="1">
        <f t="array" ref="N25">IFERROR(_xlfn.IFS(L25&gt;0,VLOOKUP(L25,CPIDs!D:F,3,FALSE),M25&gt;0,VLOOKUP(M25,'RELPTY (Related Parties)'!D:E,2,FALSE)),"")</f>
        <v/>
      </c>
      <c r="O25" s="575" t="str">
        <f t="shared" si="1"/>
        <v>0000 BCC SF17</v>
      </c>
      <c r="U25" s="480" t="s">
        <v>1013</v>
      </c>
    </row>
    <row r="26" spans="1:21" s="480" customFormat="1" ht="15" customHeight="1">
      <c r="A26" s="449"/>
      <c r="B26" s="450"/>
      <c r="C26" s="442" t="str">
        <f t="shared" si="0"/>
        <v xml:space="preserve"> </v>
      </c>
      <c r="D26" s="450"/>
      <c r="E26" s="458"/>
      <c r="F26" s="639"/>
      <c r="G26" s="451"/>
      <c r="H26" s="578"/>
      <c r="I26" s="479"/>
      <c r="J26" s="452"/>
      <c r="K26" s="688" t="str">
        <f>IFERROR(_xlfn.IFNA(IF(VLOOKUP(I26,Lookup!AU:AV,2,FALSE)="CPID Required","CPID Required",""),VLOOKUP(J26,Lookup!AW:AX,2,FALSE)),"")</f>
        <v/>
      </c>
      <c r="L26" s="452"/>
      <c r="M26" s="460"/>
      <c r="N26" s="447" t="str" cm="1">
        <f t="array" ref="N26">IFERROR(_xlfn.IFS(L26&gt;0,VLOOKUP(L26,CPIDs!D:F,3,FALSE),M26&gt;0,VLOOKUP(M26,'RELPTY (Related Parties)'!D:E,2,FALSE)),"")</f>
        <v/>
      </c>
      <c r="O26" s="575" t="str">
        <f t="shared" si="1"/>
        <v>0000 BCC SF18</v>
      </c>
      <c r="U26" s="480" t="s">
        <v>1014</v>
      </c>
    </row>
    <row r="27" spans="1:21" s="480" customFormat="1" ht="15" customHeight="1">
      <c r="A27" s="449"/>
      <c r="B27" s="450"/>
      <c r="C27" s="442" t="str">
        <f t="shared" si="0"/>
        <v xml:space="preserve"> </v>
      </c>
      <c r="D27" s="450"/>
      <c r="E27" s="458"/>
      <c r="F27" s="639"/>
      <c r="G27" s="451"/>
      <c r="H27" s="578"/>
      <c r="I27" s="479"/>
      <c r="J27" s="452"/>
      <c r="K27" s="688" t="str">
        <f>IFERROR(_xlfn.IFNA(IF(VLOOKUP(I27,Lookup!AU:AV,2,FALSE)="CPID Required","CPID Required",""),VLOOKUP(J27,Lookup!AW:AX,2,FALSE)),"")</f>
        <v/>
      </c>
      <c r="L27" s="452"/>
      <c r="M27" s="460"/>
      <c r="N27" s="447" t="str" cm="1">
        <f t="array" ref="N27">IFERROR(_xlfn.IFS(L27&gt;0,VLOOKUP(L27,CPIDs!D:F,3,FALSE),M27&gt;0,VLOOKUP(M27,'RELPTY (Related Parties)'!D:E,2,FALSE)),"")</f>
        <v/>
      </c>
      <c r="O27" s="575" t="str">
        <f t="shared" si="1"/>
        <v>0000 BCC SF19</v>
      </c>
      <c r="U27" s="480" t="s">
        <v>1015</v>
      </c>
    </row>
    <row r="28" spans="1:21" s="480" customFormat="1" ht="15" customHeight="1">
      <c r="A28" s="449"/>
      <c r="B28" s="450"/>
      <c r="C28" s="442" t="str">
        <f t="shared" si="0"/>
        <v xml:space="preserve"> </v>
      </c>
      <c r="D28" s="450"/>
      <c r="E28" s="458"/>
      <c r="F28" s="639"/>
      <c r="G28" s="451"/>
      <c r="H28" s="578"/>
      <c r="I28" s="479"/>
      <c r="J28" s="452"/>
      <c r="K28" s="688" t="str">
        <f>IFERROR(_xlfn.IFNA(IF(VLOOKUP(I28,Lookup!AU:AV,2,FALSE)="CPID Required","CPID Required",""),VLOOKUP(J28,Lookup!AW:AX,2,FALSE)),"")</f>
        <v/>
      </c>
      <c r="L28" s="452"/>
      <c r="M28" s="460"/>
      <c r="N28" s="447" t="str" cm="1">
        <f t="array" ref="N28">IFERROR(_xlfn.IFS(L28&gt;0,VLOOKUP(L28,CPIDs!D:F,3,FALSE),M28&gt;0,VLOOKUP(M28,'RELPTY (Related Parties)'!D:E,2,FALSE)),"")</f>
        <v/>
      </c>
      <c r="O28" s="575" t="str">
        <f t="shared" si="1"/>
        <v>0000 BCC SF20</v>
      </c>
      <c r="U28" s="480" t="s">
        <v>1016</v>
      </c>
    </row>
    <row r="29" spans="1:21" s="480" customFormat="1" ht="15" customHeight="1">
      <c r="A29" s="449"/>
      <c r="B29" s="450"/>
      <c r="C29" s="442" t="str">
        <f t="shared" si="0"/>
        <v xml:space="preserve"> </v>
      </c>
      <c r="D29" s="450"/>
      <c r="E29" s="458"/>
      <c r="F29" s="639"/>
      <c r="G29" s="451"/>
      <c r="H29" s="578"/>
      <c r="I29" s="479"/>
      <c r="J29" s="452"/>
      <c r="K29" s="688" t="str">
        <f>IFERROR(_xlfn.IFNA(IF(VLOOKUP(I29,Lookup!AU:AV,2,FALSE)="CPID Required","CPID Required",""),VLOOKUP(J29,Lookup!AW:AX,2,FALSE)),"")</f>
        <v/>
      </c>
      <c r="L29" s="452"/>
      <c r="M29" s="460"/>
      <c r="N29" s="447" t="str" cm="1">
        <f t="array" ref="N29">IFERROR(_xlfn.IFS(L29&gt;0,VLOOKUP(L29,CPIDs!D:F,3,FALSE),M29&gt;0,VLOOKUP(M29,'RELPTY (Related Parties)'!D:E,2,FALSE)),"")</f>
        <v/>
      </c>
      <c r="O29" s="575" t="str">
        <f t="shared" si="1"/>
        <v>0000 BCC SF21</v>
      </c>
      <c r="U29" s="480" t="s">
        <v>1017</v>
      </c>
    </row>
    <row r="30" spans="1:21" s="480" customFormat="1" ht="15" customHeight="1">
      <c r="A30" s="449"/>
      <c r="B30" s="450"/>
      <c r="C30" s="442" t="str">
        <f t="shared" si="0"/>
        <v xml:space="preserve"> </v>
      </c>
      <c r="D30" s="450"/>
      <c r="E30" s="458"/>
      <c r="F30" s="639"/>
      <c r="G30" s="451"/>
      <c r="H30" s="578"/>
      <c r="I30" s="479"/>
      <c r="J30" s="452"/>
      <c r="K30" s="688" t="str">
        <f>IFERROR(_xlfn.IFNA(IF(VLOOKUP(I30,Lookup!AU:AV,2,FALSE)="CPID Required","CPID Required",""),VLOOKUP(J30,Lookup!AW:AX,2,FALSE)),"")</f>
        <v/>
      </c>
      <c r="L30" s="452"/>
      <c r="M30" s="460"/>
      <c r="N30" s="447" t="str" cm="1">
        <f t="array" ref="N30">IFERROR(_xlfn.IFS(L30&gt;0,VLOOKUP(L30,CPIDs!D:F,3,FALSE),M30&gt;0,VLOOKUP(M30,'RELPTY (Related Parties)'!D:E,2,FALSE)),"")</f>
        <v/>
      </c>
      <c r="O30" s="575" t="str">
        <f t="shared" si="1"/>
        <v>0000 BCC SF22</v>
      </c>
      <c r="U30" s="480" t="s">
        <v>1018</v>
      </c>
    </row>
    <row r="31" spans="1:21" s="480" customFormat="1" ht="15" customHeight="1">
      <c r="A31" s="449"/>
      <c r="B31" s="450"/>
      <c r="C31" s="442" t="str">
        <f t="shared" si="0"/>
        <v xml:space="preserve"> </v>
      </c>
      <c r="D31" s="450"/>
      <c r="E31" s="458"/>
      <c r="F31" s="639"/>
      <c r="G31" s="451"/>
      <c r="H31" s="578"/>
      <c r="I31" s="479"/>
      <c r="J31" s="452"/>
      <c r="K31" s="688" t="str">
        <f>IFERROR(_xlfn.IFNA(IF(VLOOKUP(I31,Lookup!AU:AV,2,FALSE)="CPID Required","CPID Required",""),VLOOKUP(J31,Lookup!AW:AX,2,FALSE)),"")</f>
        <v/>
      </c>
      <c r="L31" s="452"/>
      <c r="M31" s="460"/>
      <c r="N31" s="447" t="str" cm="1">
        <f t="array" ref="N31">IFERROR(_xlfn.IFS(L31&gt;0,VLOOKUP(L31,CPIDs!D:F,3,FALSE),M31&gt;0,VLOOKUP(M31,'RELPTY (Related Parties)'!D:E,2,FALSE)),"")</f>
        <v/>
      </c>
      <c r="O31" s="575" t="str">
        <f t="shared" si="1"/>
        <v>0000 BCC SF23</v>
      </c>
      <c r="U31" s="480" t="s">
        <v>1019</v>
      </c>
    </row>
    <row r="32" spans="1:21" s="480" customFormat="1" ht="15" customHeight="1">
      <c r="A32" s="449"/>
      <c r="B32" s="450"/>
      <c r="C32" s="442" t="str">
        <f t="shared" si="0"/>
        <v xml:space="preserve"> </v>
      </c>
      <c r="D32" s="450"/>
      <c r="E32" s="458"/>
      <c r="F32" s="639"/>
      <c r="G32" s="451"/>
      <c r="H32" s="578"/>
      <c r="I32" s="479"/>
      <c r="J32" s="452"/>
      <c r="K32" s="688" t="str">
        <f>IFERROR(_xlfn.IFNA(IF(VLOOKUP(I32,Lookup!AU:AV,2,FALSE)="CPID Required","CPID Required",""),VLOOKUP(J32,Lookup!AW:AX,2,FALSE)),"")</f>
        <v/>
      </c>
      <c r="L32" s="452"/>
      <c r="M32" s="460"/>
      <c r="N32" s="447" t="str" cm="1">
        <f t="array" ref="N32">IFERROR(_xlfn.IFS(L32&gt;0,VLOOKUP(L32,CPIDs!D:F,3,FALSE),M32&gt;0,VLOOKUP(M32,'RELPTY (Related Parties)'!D:E,2,FALSE)),"")</f>
        <v/>
      </c>
      <c r="O32" s="575" t="str">
        <f t="shared" si="1"/>
        <v>0000 BCC SF24</v>
      </c>
      <c r="U32" s="480" t="s">
        <v>1020</v>
      </c>
    </row>
    <row r="33" spans="1:21" s="480" customFormat="1" ht="15" customHeight="1">
      <c r="A33" s="449"/>
      <c r="B33" s="450"/>
      <c r="C33" s="442" t="str">
        <f t="shared" si="0"/>
        <v xml:space="preserve"> </v>
      </c>
      <c r="D33" s="450"/>
      <c r="E33" s="458"/>
      <c r="F33" s="639"/>
      <c r="G33" s="451"/>
      <c r="H33" s="578"/>
      <c r="I33" s="479"/>
      <c r="J33" s="452"/>
      <c r="K33" s="688" t="str">
        <f>IFERROR(_xlfn.IFNA(IF(VLOOKUP(I33,Lookup!AU:AV,2,FALSE)="CPID Required","CPID Required",""),VLOOKUP(J33,Lookup!AW:AX,2,FALSE)),"")</f>
        <v/>
      </c>
      <c r="L33" s="452"/>
      <c r="M33" s="460"/>
      <c r="N33" s="447" t="str" cm="1">
        <f t="array" ref="N33">IFERROR(_xlfn.IFS(L33&gt;0,VLOOKUP(L33,CPIDs!D:F,3,FALSE),M33&gt;0,VLOOKUP(M33,'RELPTY (Related Parties)'!D:E,2,FALSE)),"")</f>
        <v/>
      </c>
      <c r="O33" s="575" t="str">
        <f t="shared" si="1"/>
        <v>0000 BCC SF25</v>
      </c>
      <c r="U33" s="480" t="s">
        <v>1021</v>
      </c>
    </row>
    <row r="34" spans="1:21" s="480" customFormat="1" ht="15" customHeight="1">
      <c r="A34" s="449"/>
      <c r="B34" s="450"/>
      <c r="C34" s="442" t="str">
        <f t="shared" si="0"/>
        <v xml:space="preserve"> </v>
      </c>
      <c r="D34" s="450"/>
      <c r="E34" s="458"/>
      <c r="F34" s="639"/>
      <c r="G34" s="451"/>
      <c r="H34" s="578"/>
      <c r="I34" s="479"/>
      <c r="J34" s="452"/>
      <c r="K34" s="688" t="str">
        <f>IFERROR(_xlfn.IFNA(IF(VLOOKUP(I34,Lookup!AU:AV,2,FALSE)="CPID Required","CPID Required",""),VLOOKUP(J34,Lookup!AW:AX,2,FALSE)),"")</f>
        <v/>
      </c>
      <c r="L34" s="452"/>
      <c r="M34" s="460"/>
      <c r="N34" s="447" t="str" cm="1">
        <f t="array" ref="N34">IFERROR(_xlfn.IFS(L34&gt;0,VLOOKUP(L34,CPIDs!D:F,3,FALSE),M34&gt;0,VLOOKUP(M34,'RELPTY (Related Parties)'!D:E,2,FALSE)),"")</f>
        <v/>
      </c>
      <c r="O34" s="575" t="str">
        <f t="shared" si="1"/>
        <v>0000 BCC SF26</v>
      </c>
      <c r="U34" s="480" t="s">
        <v>1022</v>
      </c>
    </row>
    <row r="35" spans="1:21" s="480" customFormat="1" ht="15" customHeight="1">
      <c r="A35" s="449"/>
      <c r="B35" s="450"/>
      <c r="C35" s="442" t="str">
        <f t="shared" si="0"/>
        <v xml:space="preserve"> </v>
      </c>
      <c r="D35" s="450"/>
      <c r="E35" s="458"/>
      <c r="F35" s="639"/>
      <c r="G35" s="451"/>
      <c r="H35" s="578"/>
      <c r="I35" s="479"/>
      <c r="J35" s="452"/>
      <c r="K35" s="688" t="str">
        <f>IFERROR(_xlfn.IFNA(IF(VLOOKUP(I35,Lookup!AU:AV,2,FALSE)="CPID Required","CPID Required",""),VLOOKUP(J35,Lookup!AW:AX,2,FALSE)),"")</f>
        <v/>
      </c>
      <c r="L35" s="452"/>
      <c r="M35" s="460"/>
      <c r="N35" s="447" t="str" cm="1">
        <f t="array" ref="N35">IFERROR(_xlfn.IFS(L35&gt;0,VLOOKUP(L35,CPIDs!D:F,3,FALSE),M35&gt;0,VLOOKUP(M35,'RELPTY (Related Parties)'!D:E,2,FALSE)),"")</f>
        <v/>
      </c>
      <c r="O35" s="575" t="str">
        <f t="shared" si="1"/>
        <v>0000 BCC SF27</v>
      </c>
      <c r="U35" s="480" t="s">
        <v>1023</v>
      </c>
    </row>
    <row r="36" spans="1:21" s="480" customFormat="1" ht="15" customHeight="1">
      <c r="A36" s="449"/>
      <c r="B36" s="450"/>
      <c r="C36" s="442" t="str">
        <f t="shared" si="0"/>
        <v xml:space="preserve"> </v>
      </c>
      <c r="D36" s="450"/>
      <c r="E36" s="458"/>
      <c r="F36" s="639"/>
      <c r="G36" s="451"/>
      <c r="H36" s="578"/>
      <c r="I36" s="479"/>
      <c r="J36" s="452"/>
      <c r="K36" s="688" t="str">
        <f>IFERROR(_xlfn.IFNA(IF(VLOOKUP(I36,Lookup!AU:AV,2,FALSE)="CPID Required","CPID Required",""),VLOOKUP(J36,Lookup!AW:AX,2,FALSE)),"")</f>
        <v/>
      </c>
      <c r="L36" s="452"/>
      <c r="M36" s="460"/>
      <c r="N36" s="447" t="str" cm="1">
        <f t="array" ref="N36">IFERROR(_xlfn.IFS(L36&gt;0,VLOOKUP(L36,CPIDs!D:F,3,FALSE),M36&gt;0,VLOOKUP(M36,'RELPTY (Related Parties)'!D:E,2,FALSE)),"")</f>
        <v/>
      </c>
      <c r="O36" s="575" t="str">
        <f t="shared" si="1"/>
        <v>0000 BCC SF28</v>
      </c>
      <c r="U36" s="480" t="s">
        <v>1024</v>
      </c>
    </row>
    <row r="37" spans="1:21" s="480" customFormat="1" ht="15" customHeight="1">
      <c r="A37" s="449"/>
      <c r="B37" s="450"/>
      <c r="C37" s="442" t="str">
        <f t="shared" si="0"/>
        <v xml:space="preserve"> </v>
      </c>
      <c r="D37" s="450"/>
      <c r="E37" s="458"/>
      <c r="F37" s="639"/>
      <c r="G37" s="451"/>
      <c r="H37" s="578"/>
      <c r="I37" s="479"/>
      <c r="J37" s="452"/>
      <c r="K37" s="688" t="str">
        <f>IFERROR(_xlfn.IFNA(IF(VLOOKUP(I37,Lookup!AU:AV,2,FALSE)="CPID Required","CPID Required",""),VLOOKUP(J37,Lookup!AW:AX,2,FALSE)),"")</f>
        <v/>
      </c>
      <c r="L37" s="452"/>
      <c r="M37" s="460"/>
      <c r="N37" s="447" t="str" cm="1">
        <f t="array" ref="N37">IFERROR(_xlfn.IFS(L37&gt;0,VLOOKUP(L37,CPIDs!D:F,3,FALSE),M37&gt;0,VLOOKUP(M37,'RELPTY (Related Parties)'!D:E,2,FALSE)),"")</f>
        <v/>
      </c>
      <c r="O37" s="575" t="str">
        <f t="shared" si="1"/>
        <v>0000 BCC SF29</v>
      </c>
      <c r="U37" s="480" t="s">
        <v>1025</v>
      </c>
    </row>
    <row r="38" spans="1:21" s="480" customFormat="1" ht="15" customHeight="1">
      <c r="A38" s="449"/>
      <c r="B38" s="450"/>
      <c r="C38" s="442" t="str">
        <f t="shared" si="0"/>
        <v xml:space="preserve"> </v>
      </c>
      <c r="D38" s="450"/>
      <c r="E38" s="458"/>
      <c r="F38" s="639"/>
      <c r="G38" s="451"/>
      <c r="H38" s="578"/>
      <c r="I38" s="479"/>
      <c r="J38" s="452"/>
      <c r="K38" s="688" t="str">
        <f>IFERROR(_xlfn.IFNA(IF(VLOOKUP(I38,Lookup!AU:AV,2,FALSE)="CPID Required","CPID Required",""),VLOOKUP(J38,Lookup!AW:AX,2,FALSE)),"")</f>
        <v/>
      </c>
      <c r="L38" s="452"/>
      <c r="M38" s="460"/>
      <c r="N38" s="447" t="str" cm="1">
        <f t="array" ref="N38">IFERROR(_xlfn.IFS(L38&gt;0,VLOOKUP(L38,CPIDs!D:F,3,FALSE),M38&gt;0,VLOOKUP(M38,'RELPTY (Related Parties)'!D:E,2,FALSE)),"")</f>
        <v/>
      </c>
      <c r="O38" s="575" t="str">
        <f t="shared" si="1"/>
        <v>0000 BCC SF30</v>
      </c>
      <c r="U38" s="480" t="s">
        <v>1026</v>
      </c>
    </row>
    <row r="39" spans="1:21" s="480" customFormat="1" ht="15" customHeight="1">
      <c r="A39" s="449"/>
      <c r="B39" s="450"/>
      <c r="C39" s="442" t="str">
        <f t="shared" si="0"/>
        <v xml:space="preserve"> </v>
      </c>
      <c r="D39" s="450"/>
      <c r="E39" s="458"/>
      <c r="F39" s="639"/>
      <c r="G39" s="451"/>
      <c r="H39" s="578"/>
      <c r="I39" s="479"/>
      <c r="J39" s="452"/>
      <c r="K39" s="688" t="str">
        <f>IFERROR(_xlfn.IFNA(IF(VLOOKUP(I39,Lookup!AU:AV,2,FALSE)="CPID Required","CPID Required",""),VLOOKUP(J39,Lookup!AW:AX,2,FALSE)),"")</f>
        <v/>
      </c>
      <c r="L39" s="452"/>
      <c r="M39" s="460"/>
      <c r="N39" s="447" t="str" cm="1">
        <f t="array" ref="N39">IFERROR(_xlfn.IFS(L39&gt;0,VLOOKUP(L39,CPIDs!D:F,3,FALSE),M39&gt;0,VLOOKUP(M39,'RELPTY (Related Parties)'!D:E,2,FALSE)),"")</f>
        <v/>
      </c>
      <c r="O39" s="575" t="str">
        <f t="shared" si="1"/>
        <v>0000 BCC SF31</v>
      </c>
      <c r="U39" s="480" t="s">
        <v>1027</v>
      </c>
    </row>
    <row r="40" spans="1:21" s="480" customFormat="1" ht="15" customHeight="1">
      <c r="A40" s="449"/>
      <c r="B40" s="450"/>
      <c r="C40" s="442" t="str">
        <f t="shared" si="0"/>
        <v xml:space="preserve"> </v>
      </c>
      <c r="D40" s="450"/>
      <c r="E40" s="458"/>
      <c r="F40" s="639"/>
      <c r="G40" s="451"/>
      <c r="H40" s="578"/>
      <c r="I40" s="479"/>
      <c r="J40" s="452"/>
      <c r="K40" s="688" t="str">
        <f>IFERROR(_xlfn.IFNA(IF(VLOOKUP(I40,Lookup!AU:AV,2,FALSE)="CPID Required","CPID Required",""),VLOOKUP(J40,Lookup!AW:AX,2,FALSE)),"")</f>
        <v/>
      </c>
      <c r="L40" s="452"/>
      <c r="M40" s="460"/>
      <c r="N40" s="447" t="str" cm="1">
        <f t="array" ref="N40">IFERROR(_xlfn.IFS(L40&gt;0,VLOOKUP(L40,CPIDs!D:F,3,FALSE),M40&gt;0,VLOOKUP(M40,'RELPTY (Related Parties)'!D:E,2,FALSE)),"")</f>
        <v/>
      </c>
      <c r="O40" s="575" t="str">
        <f t="shared" si="1"/>
        <v>0000 BCC SF32</v>
      </c>
      <c r="U40" s="480" t="s">
        <v>1028</v>
      </c>
    </row>
    <row r="41" spans="1:21" s="480" customFormat="1" ht="15" customHeight="1">
      <c r="A41" s="449"/>
      <c r="B41" s="450"/>
      <c r="C41" s="442" t="str">
        <f t="shared" si="0"/>
        <v xml:space="preserve"> </v>
      </c>
      <c r="D41" s="450"/>
      <c r="E41" s="458"/>
      <c r="F41" s="639"/>
      <c r="G41" s="451"/>
      <c r="H41" s="578"/>
      <c r="I41" s="479"/>
      <c r="J41" s="452"/>
      <c r="K41" s="688" t="str">
        <f>IFERROR(_xlfn.IFNA(IF(VLOOKUP(I41,Lookup!AU:AV,2,FALSE)="CPID Required","CPID Required",""),VLOOKUP(J41,Lookup!AW:AX,2,FALSE)),"")</f>
        <v/>
      </c>
      <c r="L41" s="452"/>
      <c r="M41" s="460"/>
      <c r="N41" s="447" t="str" cm="1">
        <f t="array" ref="N41">IFERROR(_xlfn.IFS(L41&gt;0,VLOOKUP(L41,CPIDs!D:F,3,FALSE),M41&gt;0,VLOOKUP(M41,'RELPTY (Related Parties)'!D:E,2,FALSE)),"")</f>
        <v/>
      </c>
      <c r="O41" s="575" t="str">
        <f t="shared" si="1"/>
        <v>0000 BCC SF33</v>
      </c>
      <c r="U41" s="480" t="s">
        <v>1029</v>
      </c>
    </row>
    <row r="42" spans="1:21" s="480" customFormat="1" ht="15" customHeight="1">
      <c r="A42" s="449"/>
      <c r="B42" s="450"/>
      <c r="C42" s="442" t="str">
        <f t="shared" si="0"/>
        <v xml:space="preserve"> </v>
      </c>
      <c r="D42" s="450"/>
      <c r="E42" s="458"/>
      <c r="F42" s="639"/>
      <c r="G42" s="451"/>
      <c r="H42" s="578"/>
      <c r="I42" s="479"/>
      <c r="J42" s="452"/>
      <c r="K42" s="688" t="str">
        <f>IFERROR(_xlfn.IFNA(IF(VLOOKUP(I42,Lookup!AU:AV,2,FALSE)="CPID Required","CPID Required",""),VLOOKUP(J42,Lookup!AW:AX,2,FALSE)),"")</f>
        <v/>
      </c>
      <c r="L42" s="452"/>
      <c r="M42" s="460"/>
      <c r="N42" s="447" t="str" cm="1">
        <f t="array" ref="N42">IFERROR(_xlfn.IFS(L42&gt;0,VLOOKUP(L42,CPIDs!D:F,3,FALSE),M42&gt;0,VLOOKUP(M42,'RELPTY (Related Parties)'!D:E,2,FALSE)),"")</f>
        <v/>
      </c>
      <c r="O42" s="575" t="str">
        <f t="shared" si="1"/>
        <v>0000 BCC SF34</v>
      </c>
      <c r="U42" s="480" t="s">
        <v>1030</v>
      </c>
    </row>
    <row r="43" spans="1:21" s="480" customFormat="1" ht="15" customHeight="1">
      <c r="A43" s="449"/>
      <c r="B43" s="450"/>
      <c r="C43" s="442" t="str">
        <f t="shared" si="0"/>
        <v xml:space="preserve"> </v>
      </c>
      <c r="D43" s="450"/>
      <c r="E43" s="458"/>
      <c r="F43" s="639"/>
      <c r="G43" s="451"/>
      <c r="H43" s="578"/>
      <c r="I43" s="479"/>
      <c r="J43" s="452"/>
      <c r="K43" s="688" t="str">
        <f>IFERROR(_xlfn.IFNA(IF(VLOOKUP(I43,Lookup!AU:AV,2,FALSE)="CPID Required","CPID Required",""),VLOOKUP(J43,Lookup!AW:AX,2,FALSE)),"")</f>
        <v/>
      </c>
      <c r="L43" s="452"/>
      <c r="M43" s="460"/>
      <c r="N43" s="447" t="str" cm="1">
        <f t="array" ref="N43">IFERROR(_xlfn.IFS(L43&gt;0,VLOOKUP(L43,CPIDs!D:F,3,FALSE),M43&gt;0,VLOOKUP(M43,'RELPTY (Related Parties)'!D:E,2,FALSE)),"")</f>
        <v/>
      </c>
      <c r="O43" s="575" t="str">
        <f t="shared" si="1"/>
        <v>0000 BCC SF35</v>
      </c>
      <c r="U43" s="480" t="s">
        <v>1031</v>
      </c>
    </row>
    <row r="44" spans="1:21" s="480" customFormat="1" ht="15" customHeight="1">
      <c r="A44" s="449"/>
      <c r="B44" s="450"/>
      <c r="C44" s="442" t="str">
        <f t="shared" si="0"/>
        <v xml:space="preserve"> </v>
      </c>
      <c r="D44" s="450"/>
      <c r="E44" s="458"/>
      <c r="F44" s="639"/>
      <c r="G44" s="451"/>
      <c r="H44" s="578"/>
      <c r="I44" s="479"/>
      <c r="J44" s="452"/>
      <c r="K44" s="688" t="str">
        <f>IFERROR(_xlfn.IFNA(IF(VLOOKUP(I44,Lookup!AU:AV,2,FALSE)="CPID Required","CPID Required",""),VLOOKUP(J44,Lookup!AW:AX,2,FALSE)),"")</f>
        <v/>
      </c>
      <c r="L44" s="452"/>
      <c r="M44" s="460"/>
      <c r="N44" s="447" t="str" cm="1">
        <f t="array" ref="N44">IFERROR(_xlfn.IFS(L44&gt;0,VLOOKUP(L44,CPIDs!D:F,3,FALSE),M44&gt;0,VLOOKUP(M44,'RELPTY (Related Parties)'!D:E,2,FALSE)),"")</f>
        <v/>
      </c>
      <c r="O44" s="575" t="str">
        <f t="shared" si="1"/>
        <v>0000 BCC SF36</v>
      </c>
      <c r="U44" s="480" t="s">
        <v>1032</v>
      </c>
    </row>
    <row r="45" spans="1:21" s="480" customFormat="1" ht="15" customHeight="1">
      <c r="A45" s="449"/>
      <c r="B45" s="450"/>
      <c r="C45" s="442" t="str">
        <f t="shared" si="0"/>
        <v xml:space="preserve"> </v>
      </c>
      <c r="D45" s="450"/>
      <c r="E45" s="458"/>
      <c r="F45" s="639"/>
      <c r="G45" s="451"/>
      <c r="H45" s="578"/>
      <c r="I45" s="479"/>
      <c r="J45" s="452"/>
      <c r="K45" s="688" t="str">
        <f>IFERROR(_xlfn.IFNA(IF(VLOOKUP(I45,Lookup!AU:AV,2,FALSE)="CPID Required","CPID Required",""),VLOOKUP(J45,Lookup!AW:AX,2,FALSE)),"")</f>
        <v/>
      </c>
      <c r="L45" s="452"/>
      <c r="M45" s="460"/>
      <c r="N45" s="447" t="str" cm="1">
        <f t="array" ref="N45">IFERROR(_xlfn.IFS(L45&gt;0,VLOOKUP(L45,CPIDs!D:F,3,FALSE),M45&gt;0,VLOOKUP(M45,'RELPTY (Related Parties)'!D:E,2,FALSE)),"")</f>
        <v/>
      </c>
      <c r="O45" s="575" t="str">
        <f t="shared" si="1"/>
        <v>0000 BCC SF37</v>
      </c>
      <c r="U45" s="480" t="s">
        <v>1033</v>
      </c>
    </row>
    <row r="46" spans="1:21" s="480" customFormat="1" ht="15" customHeight="1">
      <c r="A46" s="449"/>
      <c r="B46" s="450"/>
      <c r="C46" s="442" t="str">
        <f t="shared" si="0"/>
        <v xml:space="preserve"> </v>
      </c>
      <c r="D46" s="450"/>
      <c r="E46" s="458"/>
      <c r="F46" s="639"/>
      <c r="G46" s="451"/>
      <c r="H46" s="578"/>
      <c r="I46" s="479"/>
      <c r="J46" s="452"/>
      <c r="K46" s="688" t="str">
        <f>IFERROR(_xlfn.IFNA(IF(VLOOKUP(I46,Lookup!AU:AV,2,FALSE)="CPID Required","CPID Required",""),VLOOKUP(J46,Lookup!AW:AX,2,FALSE)),"")</f>
        <v/>
      </c>
      <c r="L46" s="452"/>
      <c r="M46" s="460"/>
      <c r="N46" s="447" t="str" cm="1">
        <f t="array" ref="N46">IFERROR(_xlfn.IFS(L46&gt;0,VLOOKUP(L46,CPIDs!D:F,3,FALSE),M46&gt;0,VLOOKUP(M46,'RELPTY (Related Parties)'!D:E,2,FALSE)),"")</f>
        <v/>
      </c>
      <c r="O46" s="575" t="str">
        <f t="shared" si="1"/>
        <v>0000 BCC SF38</v>
      </c>
      <c r="U46" s="480" t="s">
        <v>1034</v>
      </c>
    </row>
    <row r="47" spans="1:21" s="480" customFormat="1" ht="15" customHeight="1">
      <c r="A47" s="449"/>
      <c r="B47" s="450"/>
      <c r="C47" s="442" t="str">
        <f t="shared" si="0"/>
        <v xml:space="preserve"> </v>
      </c>
      <c r="D47" s="450"/>
      <c r="E47" s="458"/>
      <c r="F47" s="639"/>
      <c r="G47" s="451"/>
      <c r="H47" s="578"/>
      <c r="I47" s="479"/>
      <c r="J47" s="452"/>
      <c r="K47" s="688" t="str">
        <f>IFERROR(_xlfn.IFNA(IF(VLOOKUP(I47,Lookup!AU:AV,2,FALSE)="CPID Required","CPID Required",""),VLOOKUP(J47,Lookup!AW:AX,2,FALSE)),"")</f>
        <v/>
      </c>
      <c r="L47" s="452"/>
      <c r="M47" s="460"/>
      <c r="N47" s="447" t="str" cm="1">
        <f t="array" ref="N47">IFERROR(_xlfn.IFS(L47&gt;0,VLOOKUP(L47,CPIDs!D:F,3,FALSE),M47&gt;0,VLOOKUP(M47,'RELPTY (Related Parties)'!D:E,2,FALSE)),"")</f>
        <v/>
      </c>
      <c r="O47" s="575" t="str">
        <f t="shared" si="1"/>
        <v>0000 BCC SF39</v>
      </c>
      <c r="U47" s="480" t="s">
        <v>1035</v>
      </c>
    </row>
    <row r="48" spans="1:21" s="480" customFormat="1" ht="15" customHeight="1">
      <c r="A48" s="449"/>
      <c r="B48" s="450"/>
      <c r="C48" s="442" t="str">
        <f t="shared" si="0"/>
        <v xml:space="preserve"> </v>
      </c>
      <c r="D48" s="450"/>
      <c r="E48" s="458"/>
      <c r="F48" s="639"/>
      <c r="G48" s="451"/>
      <c r="H48" s="578"/>
      <c r="I48" s="479"/>
      <c r="J48" s="452"/>
      <c r="K48" s="688" t="str">
        <f>IFERROR(_xlfn.IFNA(IF(VLOOKUP(I48,Lookup!AU:AV,2,FALSE)="CPID Required","CPID Required",""),VLOOKUP(J48,Lookup!AW:AX,2,FALSE)),"")</f>
        <v/>
      </c>
      <c r="L48" s="452"/>
      <c r="M48" s="460"/>
      <c r="N48" s="447" t="str" cm="1">
        <f t="array" ref="N48">IFERROR(_xlfn.IFS(L48&gt;0,VLOOKUP(L48,CPIDs!D:F,3,FALSE),M48&gt;0,VLOOKUP(M48,'RELPTY (Related Parties)'!D:E,2,FALSE)),"")</f>
        <v/>
      </c>
      <c r="O48" s="575" t="str">
        <f t="shared" si="1"/>
        <v>0000 BCC SF40</v>
      </c>
      <c r="U48" s="480" t="s">
        <v>1036</v>
      </c>
    </row>
    <row r="49" spans="1:21" s="480" customFormat="1" ht="15" customHeight="1">
      <c r="A49" s="449"/>
      <c r="B49" s="450"/>
      <c r="C49" s="442" t="str">
        <f t="shared" si="0"/>
        <v xml:space="preserve"> </v>
      </c>
      <c r="D49" s="450"/>
      <c r="E49" s="458"/>
      <c r="F49" s="639"/>
      <c r="G49" s="451"/>
      <c r="H49" s="578"/>
      <c r="I49" s="479"/>
      <c r="J49" s="452"/>
      <c r="K49" s="688" t="str">
        <f>IFERROR(_xlfn.IFNA(IF(VLOOKUP(I49,Lookup!AU:AV,2,FALSE)="CPID Required","CPID Required",""),VLOOKUP(J49,Lookup!AW:AX,2,FALSE)),"")</f>
        <v/>
      </c>
      <c r="L49" s="452"/>
      <c r="M49" s="460"/>
      <c r="N49" s="447" t="str" cm="1">
        <f t="array" ref="N49">IFERROR(_xlfn.IFS(L49&gt;0,VLOOKUP(L49,CPIDs!D:F,3,FALSE),M49&gt;0,VLOOKUP(M49,'RELPTY (Related Parties)'!D:E,2,FALSE)),"")</f>
        <v/>
      </c>
      <c r="O49" s="575" t="str">
        <f t="shared" si="1"/>
        <v>0000 BCC SF41</v>
      </c>
      <c r="U49" s="480" t="s">
        <v>1037</v>
      </c>
    </row>
    <row r="50" spans="1:21" s="480" customFormat="1" ht="15" customHeight="1">
      <c r="A50" s="449"/>
      <c r="B50" s="450"/>
      <c r="C50" s="442" t="str">
        <f t="shared" si="0"/>
        <v xml:space="preserve"> </v>
      </c>
      <c r="D50" s="450"/>
      <c r="E50" s="458"/>
      <c r="F50" s="639"/>
      <c r="G50" s="451"/>
      <c r="H50" s="578"/>
      <c r="I50" s="479"/>
      <c r="J50" s="452"/>
      <c r="K50" s="688" t="str">
        <f>IFERROR(_xlfn.IFNA(IF(VLOOKUP(I50,Lookup!AU:AV,2,FALSE)="CPID Required","CPID Required",""),VLOOKUP(J50,Lookup!AW:AX,2,FALSE)),"")</f>
        <v/>
      </c>
      <c r="L50" s="452"/>
      <c r="M50" s="460"/>
      <c r="N50" s="447" t="str" cm="1">
        <f t="array" ref="N50">IFERROR(_xlfn.IFS(L50&gt;0,VLOOKUP(L50,CPIDs!D:F,3,FALSE),M50&gt;0,VLOOKUP(M50,'RELPTY (Related Parties)'!D:E,2,FALSE)),"")</f>
        <v/>
      </c>
      <c r="O50" s="575" t="str">
        <f t="shared" si="1"/>
        <v>0000 BCC SF42</v>
      </c>
      <c r="U50" s="480" t="s">
        <v>1038</v>
      </c>
    </row>
    <row r="51" spans="1:21" s="480" customFormat="1" ht="15" customHeight="1">
      <c r="A51" s="449"/>
      <c r="B51" s="450"/>
      <c r="C51" s="442" t="str">
        <f t="shared" si="0"/>
        <v xml:space="preserve"> </v>
      </c>
      <c r="D51" s="450"/>
      <c r="E51" s="458"/>
      <c r="F51" s="639"/>
      <c r="G51" s="451"/>
      <c r="H51" s="578"/>
      <c r="I51" s="479"/>
      <c r="J51" s="452"/>
      <c r="K51" s="688" t="str">
        <f>IFERROR(_xlfn.IFNA(IF(VLOOKUP(I51,Lookup!AU:AV,2,FALSE)="CPID Required","CPID Required",""),VLOOKUP(J51,Lookup!AW:AX,2,FALSE)),"")</f>
        <v/>
      </c>
      <c r="L51" s="452"/>
      <c r="M51" s="460"/>
      <c r="N51" s="447" t="str" cm="1">
        <f t="array" ref="N51">IFERROR(_xlfn.IFS(L51&gt;0,VLOOKUP(L51,CPIDs!D:F,3,FALSE),M51&gt;0,VLOOKUP(M51,'RELPTY (Related Parties)'!D:E,2,FALSE)),"")</f>
        <v/>
      </c>
      <c r="O51" s="575" t="str">
        <f t="shared" si="1"/>
        <v>0000 BCC SF43</v>
      </c>
      <c r="U51" s="480" t="s">
        <v>1039</v>
      </c>
    </row>
    <row r="52" spans="1:21" s="480" customFormat="1" ht="15" customHeight="1">
      <c r="A52" s="449"/>
      <c r="B52" s="450"/>
      <c r="C52" s="442" t="str">
        <f t="shared" si="0"/>
        <v xml:space="preserve"> </v>
      </c>
      <c r="D52" s="450"/>
      <c r="E52" s="458"/>
      <c r="F52" s="639"/>
      <c r="G52" s="451"/>
      <c r="H52" s="578"/>
      <c r="I52" s="479"/>
      <c r="J52" s="452"/>
      <c r="K52" s="688" t="str">
        <f>IFERROR(_xlfn.IFNA(IF(VLOOKUP(I52,Lookup!AU:AV,2,FALSE)="CPID Required","CPID Required",""),VLOOKUP(J52,Lookup!AW:AX,2,FALSE)),"")</f>
        <v/>
      </c>
      <c r="L52" s="452"/>
      <c r="M52" s="460"/>
      <c r="N52" s="447" t="str" cm="1">
        <f t="array" ref="N52">IFERROR(_xlfn.IFS(L52&gt;0,VLOOKUP(L52,CPIDs!D:F,3,FALSE),M52&gt;0,VLOOKUP(M52,'RELPTY (Related Parties)'!D:E,2,FALSE)),"")</f>
        <v/>
      </c>
      <c r="O52" s="575" t="str">
        <f t="shared" si="1"/>
        <v>0000 BCC SF44</v>
      </c>
      <c r="U52" s="480" t="s">
        <v>1040</v>
      </c>
    </row>
    <row r="53" spans="1:21" s="480" customFormat="1" ht="15" customHeight="1">
      <c r="A53" s="449"/>
      <c r="B53" s="450"/>
      <c r="C53" s="442" t="str">
        <f t="shared" si="0"/>
        <v xml:space="preserve"> </v>
      </c>
      <c r="D53" s="450"/>
      <c r="E53" s="458"/>
      <c r="F53" s="639"/>
      <c r="G53" s="451"/>
      <c r="H53" s="578"/>
      <c r="I53" s="479"/>
      <c r="J53" s="452"/>
      <c r="K53" s="688" t="str">
        <f>IFERROR(_xlfn.IFNA(IF(VLOOKUP(I53,Lookup!AU:AV,2,FALSE)="CPID Required","CPID Required",""),VLOOKUP(J53,Lookup!AW:AX,2,FALSE)),"")</f>
        <v/>
      </c>
      <c r="L53" s="452"/>
      <c r="M53" s="460"/>
      <c r="N53" s="447" t="str" cm="1">
        <f t="array" ref="N53">IFERROR(_xlfn.IFS(L53&gt;0,VLOOKUP(L53,CPIDs!D:F,3,FALSE),M53&gt;0,VLOOKUP(M53,'RELPTY (Related Parties)'!D:E,2,FALSE)),"")</f>
        <v/>
      </c>
      <c r="O53" s="575" t="str">
        <f t="shared" si="1"/>
        <v>0000 BCC SF45</v>
      </c>
      <c r="U53" s="480" t="s">
        <v>1041</v>
      </c>
    </row>
    <row r="54" spans="1:21" s="480" customFormat="1" ht="15" customHeight="1">
      <c r="A54" s="449"/>
      <c r="B54" s="450"/>
      <c r="C54" s="442" t="str">
        <f t="shared" si="0"/>
        <v xml:space="preserve"> </v>
      </c>
      <c r="D54" s="450"/>
      <c r="E54" s="458"/>
      <c r="F54" s="639"/>
      <c r="G54" s="451"/>
      <c r="H54" s="578"/>
      <c r="I54" s="479"/>
      <c r="J54" s="452"/>
      <c r="K54" s="688" t="str">
        <f>IFERROR(_xlfn.IFNA(IF(VLOOKUP(I54,Lookup!AU:AV,2,FALSE)="CPID Required","CPID Required",""),VLOOKUP(J54,Lookup!AW:AX,2,FALSE)),"")</f>
        <v/>
      </c>
      <c r="L54" s="452"/>
      <c r="M54" s="460"/>
      <c r="N54" s="447" t="str" cm="1">
        <f t="array" ref="N54">IFERROR(_xlfn.IFS(L54&gt;0,VLOOKUP(L54,CPIDs!D:F,3,FALSE),M54&gt;0,VLOOKUP(M54,'RELPTY (Related Parties)'!D:E,2,FALSE)),"")</f>
        <v/>
      </c>
      <c r="O54" s="575" t="str">
        <f t="shared" si="1"/>
        <v>0000 BCC SF46</v>
      </c>
      <c r="U54" s="480" t="s">
        <v>1042</v>
      </c>
    </row>
    <row r="55" spans="1:21" s="480" customFormat="1" ht="15" customHeight="1">
      <c r="A55" s="449"/>
      <c r="B55" s="450"/>
      <c r="C55" s="442" t="str">
        <f t="shared" si="0"/>
        <v xml:space="preserve"> </v>
      </c>
      <c r="D55" s="450"/>
      <c r="E55" s="458"/>
      <c r="F55" s="639"/>
      <c r="G55" s="451"/>
      <c r="H55" s="578"/>
      <c r="I55" s="479"/>
      <c r="J55" s="452"/>
      <c r="K55" s="688" t="str">
        <f>IFERROR(_xlfn.IFNA(IF(VLOOKUP(I55,Lookup!AU:AV,2,FALSE)="CPID Required","CPID Required",""),VLOOKUP(J55,Lookup!AW:AX,2,FALSE)),"")</f>
        <v/>
      </c>
      <c r="L55" s="452"/>
      <c r="M55" s="460"/>
      <c r="N55" s="447" t="str" cm="1">
        <f t="array" ref="N55">IFERROR(_xlfn.IFS(L55&gt;0,VLOOKUP(L55,CPIDs!D:F,3,FALSE),M55&gt;0,VLOOKUP(M55,'RELPTY (Related Parties)'!D:E,2,FALSE)),"")</f>
        <v/>
      </c>
      <c r="O55" s="575" t="str">
        <f t="shared" si="1"/>
        <v>0000 BCC SF47</v>
      </c>
      <c r="U55" s="480" t="s">
        <v>1043</v>
      </c>
    </row>
    <row r="56" spans="1:21" s="480" customFormat="1" ht="15" customHeight="1">
      <c r="A56" s="449"/>
      <c r="B56" s="450"/>
      <c r="C56" s="442" t="str">
        <f t="shared" si="0"/>
        <v xml:space="preserve"> </v>
      </c>
      <c r="D56" s="450"/>
      <c r="E56" s="458"/>
      <c r="F56" s="639"/>
      <c r="G56" s="451"/>
      <c r="H56" s="578"/>
      <c r="I56" s="479"/>
      <c r="J56" s="452"/>
      <c r="K56" s="688" t="str">
        <f>IFERROR(_xlfn.IFNA(IF(VLOOKUP(I56,Lookup!AU:AV,2,FALSE)="CPID Required","CPID Required",""),VLOOKUP(J56,Lookup!AW:AX,2,FALSE)),"")</f>
        <v/>
      </c>
      <c r="L56" s="452"/>
      <c r="M56" s="460"/>
      <c r="N56" s="447" t="str" cm="1">
        <f t="array" ref="N56">IFERROR(_xlfn.IFS(L56&gt;0,VLOOKUP(L56,CPIDs!D:F,3,FALSE),M56&gt;0,VLOOKUP(M56,'RELPTY (Related Parties)'!D:E,2,FALSE)),"")</f>
        <v/>
      </c>
      <c r="O56" s="575" t="str">
        <f t="shared" si="1"/>
        <v>0000 BCC SF48</v>
      </c>
      <c r="U56" s="480" t="s">
        <v>1044</v>
      </c>
    </row>
    <row r="57" spans="1:21" s="480" customFormat="1" ht="15" customHeight="1">
      <c r="A57" s="449"/>
      <c r="B57" s="450"/>
      <c r="C57" s="442" t="str">
        <f t="shared" si="0"/>
        <v xml:space="preserve"> </v>
      </c>
      <c r="D57" s="450"/>
      <c r="E57" s="458"/>
      <c r="F57" s="639"/>
      <c r="G57" s="451"/>
      <c r="H57" s="578"/>
      <c r="I57" s="479"/>
      <c r="J57" s="452"/>
      <c r="K57" s="688" t="str">
        <f>IFERROR(_xlfn.IFNA(IF(VLOOKUP(I57,Lookup!AU:AV,2,FALSE)="CPID Required","CPID Required",""),VLOOKUP(J57,Lookup!AW:AX,2,FALSE)),"")</f>
        <v/>
      </c>
      <c r="L57" s="452"/>
      <c r="M57" s="460"/>
      <c r="N57" s="447" t="str" cm="1">
        <f t="array" ref="N57">IFERROR(_xlfn.IFS(L57&gt;0,VLOOKUP(L57,CPIDs!D:F,3,FALSE),M57&gt;0,VLOOKUP(M57,'RELPTY (Related Parties)'!D:E,2,FALSE)),"")</f>
        <v/>
      </c>
      <c r="O57" s="575" t="str">
        <f t="shared" si="1"/>
        <v>0000 BCC SF49</v>
      </c>
      <c r="U57" s="480" t="s">
        <v>1045</v>
      </c>
    </row>
    <row r="58" spans="1:21" s="480" customFormat="1" ht="15" customHeight="1">
      <c r="A58" s="449"/>
      <c r="B58" s="450"/>
      <c r="C58" s="442" t="str">
        <f t="shared" si="0"/>
        <v xml:space="preserve"> </v>
      </c>
      <c r="D58" s="450"/>
      <c r="E58" s="458"/>
      <c r="F58" s="639"/>
      <c r="G58" s="451"/>
      <c r="H58" s="578"/>
      <c r="I58" s="479"/>
      <c r="J58" s="452"/>
      <c r="K58" s="688" t="str">
        <f>IFERROR(_xlfn.IFNA(IF(VLOOKUP(I58,Lookup!AU:AV,2,FALSE)="CPID Required","CPID Required",""),VLOOKUP(J58,Lookup!AW:AX,2,FALSE)),"")</f>
        <v/>
      </c>
      <c r="L58" s="452"/>
      <c r="M58" s="460"/>
      <c r="N58" s="447" t="str" cm="1">
        <f t="array" ref="N58">IFERROR(_xlfn.IFS(L58&gt;0,VLOOKUP(L58,CPIDs!D:F,3,FALSE),M58&gt;0,VLOOKUP(M58,'RELPTY (Related Parties)'!D:E,2,FALSE)),"")</f>
        <v/>
      </c>
      <c r="O58" s="575" t="str">
        <f t="shared" si="1"/>
        <v>0000 BCC SF50</v>
      </c>
      <c r="U58" s="480" t="s">
        <v>1046</v>
      </c>
    </row>
    <row r="59" spans="1:21" s="480" customFormat="1" ht="15" customHeight="1">
      <c r="A59" s="449"/>
      <c r="B59" s="450"/>
      <c r="C59" s="442" t="str">
        <f t="shared" si="0"/>
        <v xml:space="preserve"> </v>
      </c>
      <c r="D59" s="450"/>
      <c r="E59" s="458"/>
      <c r="F59" s="639"/>
      <c r="G59" s="451"/>
      <c r="H59" s="578"/>
      <c r="I59" s="479"/>
      <c r="J59" s="452"/>
      <c r="K59" s="688" t="str">
        <f>IFERROR(_xlfn.IFNA(IF(VLOOKUP(I59,Lookup!AU:AV,2,FALSE)="CPID Required","CPID Required",""),VLOOKUP(J59,Lookup!AW:AX,2,FALSE)),"")</f>
        <v/>
      </c>
      <c r="L59" s="452"/>
      <c r="M59" s="460"/>
      <c r="N59" s="447" t="str" cm="1">
        <f t="array" ref="N59">IFERROR(_xlfn.IFS(L59&gt;0,VLOOKUP(L59,CPIDs!D:F,3,FALSE),M59&gt;0,VLOOKUP(M59,'RELPTY (Related Parties)'!D:E,2,FALSE)),"")</f>
        <v/>
      </c>
      <c r="O59" s="575" t="str">
        <f t="shared" si="1"/>
        <v>0000 BCC SF51</v>
      </c>
      <c r="U59" s="480" t="s">
        <v>1047</v>
      </c>
    </row>
    <row r="60" spans="1:21" s="480" customFormat="1" ht="15" customHeight="1">
      <c r="A60" s="449"/>
      <c r="B60" s="450"/>
      <c r="C60" s="442" t="str">
        <f t="shared" si="0"/>
        <v xml:space="preserve"> </v>
      </c>
      <c r="D60" s="450"/>
      <c r="E60" s="458"/>
      <c r="F60" s="639"/>
      <c r="G60" s="451"/>
      <c r="H60" s="578"/>
      <c r="I60" s="479"/>
      <c r="J60" s="452"/>
      <c r="K60" s="688" t="str">
        <f>IFERROR(_xlfn.IFNA(IF(VLOOKUP(I60,Lookup!AU:AV,2,FALSE)="CPID Required","CPID Required",""),VLOOKUP(J60,Lookup!AW:AX,2,FALSE)),"")</f>
        <v/>
      </c>
      <c r="L60" s="452"/>
      <c r="M60" s="460"/>
      <c r="N60" s="447" t="str" cm="1">
        <f t="array" ref="N60">IFERROR(_xlfn.IFS(L60&gt;0,VLOOKUP(L60,CPIDs!D:F,3,FALSE),M60&gt;0,VLOOKUP(M60,'RELPTY (Related Parties)'!D:E,2,FALSE)),"")</f>
        <v/>
      </c>
      <c r="O60" s="575" t="str">
        <f t="shared" si="1"/>
        <v>0000 BCC SF52</v>
      </c>
      <c r="U60" s="480" t="s">
        <v>1048</v>
      </c>
    </row>
    <row r="61" spans="1:21" s="480" customFormat="1" ht="15" customHeight="1">
      <c r="A61" s="449"/>
      <c r="B61" s="450"/>
      <c r="C61" s="442" t="str">
        <f t="shared" si="0"/>
        <v xml:space="preserve"> </v>
      </c>
      <c r="D61" s="450"/>
      <c r="E61" s="458"/>
      <c r="F61" s="639"/>
      <c r="G61" s="451"/>
      <c r="H61" s="578"/>
      <c r="I61" s="479"/>
      <c r="J61" s="452"/>
      <c r="K61" s="688" t="str">
        <f>IFERROR(_xlfn.IFNA(IF(VLOOKUP(I61,Lookup!AU:AV,2,FALSE)="CPID Required","CPID Required",""),VLOOKUP(J61,Lookup!AW:AX,2,FALSE)),"")</f>
        <v/>
      </c>
      <c r="L61" s="452"/>
      <c r="M61" s="460"/>
      <c r="N61" s="447" t="str" cm="1">
        <f t="array" ref="N61">IFERROR(_xlfn.IFS(L61&gt;0,VLOOKUP(L61,CPIDs!D:F,3,FALSE),M61&gt;0,VLOOKUP(M61,'RELPTY (Related Parties)'!D:E,2,FALSE)),"")</f>
        <v/>
      </c>
      <c r="O61" s="575" t="str">
        <f t="shared" si="1"/>
        <v>0000 BCC SF53</v>
      </c>
      <c r="U61" s="480" t="s">
        <v>1049</v>
      </c>
    </row>
    <row r="62" spans="1:21" s="480" customFormat="1" ht="15" customHeight="1">
      <c r="A62" s="449"/>
      <c r="B62" s="450"/>
      <c r="C62" s="442" t="str">
        <f t="shared" si="0"/>
        <v xml:space="preserve"> </v>
      </c>
      <c r="D62" s="450"/>
      <c r="E62" s="458"/>
      <c r="F62" s="639"/>
      <c r="G62" s="451"/>
      <c r="H62" s="578"/>
      <c r="I62" s="479"/>
      <c r="J62" s="452"/>
      <c r="K62" s="688" t="str">
        <f>IFERROR(_xlfn.IFNA(IF(VLOOKUP(I62,Lookup!AU:AV,2,FALSE)="CPID Required","CPID Required",""),VLOOKUP(J62,Lookup!AW:AX,2,FALSE)),"")</f>
        <v/>
      </c>
      <c r="L62" s="452"/>
      <c r="M62" s="460"/>
      <c r="N62" s="447" t="str" cm="1">
        <f t="array" ref="N62">IFERROR(_xlfn.IFS(L62&gt;0,VLOOKUP(L62,CPIDs!D:F,3,FALSE),M62&gt;0,VLOOKUP(M62,'RELPTY (Related Parties)'!D:E,2,FALSE)),"")</f>
        <v/>
      </c>
      <c r="O62" s="575" t="str">
        <f t="shared" si="1"/>
        <v>0000 BCC SF54</v>
      </c>
      <c r="U62" s="480" t="s">
        <v>1050</v>
      </c>
    </row>
    <row r="63" spans="1:21" s="480" customFormat="1" ht="15" customHeight="1">
      <c r="A63" s="449"/>
      <c r="B63" s="450"/>
      <c r="C63" s="442" t="str">
        <f t="shared" si="0"/>
        <v xml:space="preserve"> </v>
      </c>
      <c r="D63" s="450"/>
      <c r="E63" s="458"/>
      <c r="F63" s="639"/>
      <c r="G63" s="451"/>
      <c r="H63" s="578"/>
      <c r="I63" s="479"/>
      <c r="J63" s="452"/>
      <c r="K63" s="688" t="str">
        <f>IFERROR(_xlfn.IFNA(IF(VLOOKUP(I63,Lookup!AU:AV,2,FALSE)="CPID Required","CPID Required",""),VLOOKUP(J63,Lookup!AW:AX,2,FALSE)),"")</f>
        <v/>
      </c>
      <c r="L63" s="452"/>
      <c r="M63" s="460"/>
      <c r="N63" s="447" t="str" cm="1">
        <f t="array" ref="N63">IFERROR(_xlfn.IFS(L63&gt;0,VLOOKUP(L63,CPIDs!D:F,3,FALSE),M63&gt;0,VLOOKUP(M63,'RELPTY (Related Parties)'!D:E,2,FALSE)),"")</f>
        <v/>
      </c>
      <c r="O63" s="575" t="str">
        <f t="shared" si="1"/>
        <v>0000 BCC SF55</v>
      </c>
      <c r="U63" s="480" t="s">
        <v>1051</v>
      </c>
    </row>
    <row r="64" spans="1:21" s="480" customFormat="1" ht="15" customHeight="1">
      <c r="A64" s="449"/>
      <c r="B64" s="450"/>
      <c r="C64" s="442" t="str">
        <f t="shared" si="0"/>
        <v xml:space="preserve"> </v>
      </c>
      <c r="D64" s="450"/>
      <c r="E64" s="458"/>
      <c r="F64" s="639"/>
      <c r="G64" s="451"/>
      <c r="H64" s="578"/>
      <c r="I64" s="479"/>
      <c r="J64" s="452"/>
      <c r="K64" s="688" t="str">
        <f>IFERROR(_xlfn.IFNA(IF(VLOOKUP(I64,Lookup!AU:AV,2,FALSE)="CPID Required","CPID Required",""),VLOOKUP(J64,Lookup!AW:AX,2,FALSE)),"")</f>
        <v/>
      </c>
      <c r="L64" s="452"/>
      <c r="M64" s="460"/>
      <c r="N64" s="447" t="str" cm="1">
        <f t="array" ref="N64">IFERROR(_xlfn.IFS(L64&gt;0,VLOOKUP(L64,CPIDs!D:F,3,FALSE),M64&gt;0,VLOOKUP(M64,'RELPTY (Related Parties)'!D:E,2,FALSE)),"")</f>
        <v/>
      </c>
      <c r="O64" s="575" t="str">
        <f t="shared" si="1"/>
        <v>0000 BCC SF56</v>
      </c>
      <c r="U64" s="480" t="s">
        <v>1052</v>
      </c>
    </row>
    <row r="65" spans="1:21" s="480" customFormat="1" ht="15" customHeight="1">
      <c r="A65" s="449"/>
      <c r="B65" s="450"/>
      <c r="C65" s="442" t="str">
        <f t="shared" si="0"/>
        <v xml:space="preserve"> </v>
      </c>
      <c r="D65" s="450"/>
      <c r="E65" s="458"/>
      <c r="F65" s="639"/>
      <c r="G65" s="451"/>
      <c r="H65" s="578"/>
      <c r="I65" s="479"/>
      <c r="J65" s="452"/>
      <c r="K65" s="688" t="str">
        <f>IFERROR(_xlfn.IFNA(IF(VLOOKUP(I65,Lookup!AU:AV,2,FALSE)="CPID Required","CPID Required",""),VLOOKUP(J65,Lookup!AW:AX,2,FALSE)),"")</f>
        <v/>
      </c>
      <c r="L65" s="452"/>
      <c r="M65" s="460"/>
      <c r="N65" s="447" t="str" cm="1">
        <f t="array" ref="N65">IFERROR(_xlfn.IFS(L65&gt;0,VLOOKUP(L65,CPIDs!D:F,3,FALSE),M65&gt;0,VLOOKUP(M65,'RELPTY (Related Parties)'!D:E,2,FALSE)),"")</f>
        <v/>
      </c>
      <c r="O65" s="575" t="str">
        <f t="shared" si="1"/>
        <v>0000 BCC SF57</v>
      </c>
      <c r="U65" s="480" t="s">
        <v>1053</v>
      </c>
    </row>
    <row r="66" spans="1:21" s="480" customFormat="1" ht="15" customHeight="1">
      <c r="A66" s="449"/>
      <c r="B66" s="450"/>
      <c r="C66" s="442" t="str">
        <f t="shared" si="0"/>
        <v xml:space="preserve"> </v>
      </c>
      <c r="D66" s="450"/>
      <c r="E66" s="458"/>
      <c r="F66" s="639"/>
      <c r="G66" s="451"/>
      <c r="H66" s="578"/>
      <c r="I66" s="479"/>
      <c r="J66" s="452"/>
      <c r="K66" s="688" t="str">
        <f>IFERROR(_xlfn.IFNA(IF(VLOOKUP(I66,Lookup!AU:AV,2,FALSE)="CPID Required","CPID Required",""),VLOOKUP(J66,Lookup!AW:AX,2,FALSE)),"")</f>
        <v/>
      </c>
      <c r="L66" s="452"/>
      <c r="M66" s="460"/>
      <c r="N66" s="447" t="str" cm="1">
        <f t="array" ref="N66">IFERROR(_xlfn.IFS(L66&gt;0,VLOOKUP(L66,CPIDs!D:F,3,FALSE),M66&gt;0,VLOOKUP(M66,'RELPTY (Related Parties)'!D:E,2,FALSE)),"")</f>
        <v/>
      </c>
      <c r="O66" s="575" t="str">
        <f t="shared" si="1"/>
        <v>0000 BCC SF58</v>
      </c>
      <c r="U66" s="480" t="s">
        <v>1054</v>
      </c>
    </row>
    <row r="67" spans="1:21" s="480" customFormat="1" ht="15" customHeight="1">
      <c r="A67" s="449"/>
      <c r="B67" s="450"/>
      <c r="C67" s="442" t="str">
        <f t="shared" si="0"/>
        <v xml:space="preserve"> </v>
      </c>
      <c r="D67" s="450"/>
      <c r="E67" s="458"/>
      <c r="F67" s="639"/>
      <c r="G67" s="451"/>
      <c r="H67" s="578"/>
      <c r="I67" s="479"/>
      <c r="J67" s="452"/>
      <c r="K67" s="688" t="str">
        <f>IFERROR(_xlfn.IFNA(IF(VLOOKUP(I67,Lookup!AU:AV,2,FALSE)="CPID Required","CPID Required",""),VLOOKUP(J67,Lookup!AW:AX,2,FALSE)),"")</f>
        <v/>
      </c>
      <c r="L67" s="452"/>
      <c r="M67" s="460"/>
      <c r="N67" s="447" t="str" cm="1">
        <f t="array" ref="N67">IFERROR(_xlfn.IFS(L67&gt;0,VLOOKUP(L67,CPIDs!D:F,3,FALSE),M67&gt;0,VLOOKUP(M67,'RELPTY (Related Parties)'!D:E,2,FALSE)),"")</f>
        <v/>
      </c>
      <c r="O67" s="575" t="str">
        <f t="shared" si="1"/>
        <v>0000 BCC SF59</v>
      </c>
      <c r="U67" s="480" t="s">
        <v>1055</v>
      </c>
    </row>
    <row r="68" spans="1:21" s="480" customFormat="1" ht="15" customHeight="1">
      <c r="A68" s="449"/>
      <c r="B68" s="450"/>
      <c r="C68" s="442" t="str">
        <f t="shared" si="0"/>
        <v xml:space="preserve"> </v>
      </c>
      <c r="D68" s="450"/>
      <c r="E68" s="458"/>
      <c r="F68" s="639"/>
      <c r="G68" s="451"/>
      <c r="H68" s="578"/>
      <c r="I68" s="479"/>
      <c r="J68" s="452"/>
      <c r="K68" s="688" t="str">
        <f>IFERROR(_xlfn.IFNA(IF(VLOOKUP(I68,Lookup!AU:AV,2,FALSE)="CPID Required","CPID Required",""),VLOOKUP(J68,Lookup!AW:AX,2,FALSE)),"")</f>
        <v/>
      </c>
      <c r="L68" s="452"/>
      <c r="M68" s="460"/>
      <c r="N68" s="447" t="str" cm="1">
        <f t="array" ref="N68">IFERROR(_xlfn.IFS(L68&gt;0,VLOOKUP(L68,CPIDs!D:F,3,FALSE),M68&gt;0,VLOOKUP(M68,'RELPTY (Related Parties)'!D:E,2,FALSE)),"")</f>
        <v/>
      </c>
      <c r="O68" s="575" t="str">
        <f t="shared" si="1"/>
        <v>0000 BCC SF60</v>
      </c>
      <c r="U68" s="480" t="s">
        <v>1056</v>
      </c>
    </row>
    <row r="69" spans="1:21" s="480" customFormat="1" ht="15" customHeight="1">
      <c r="A69" s="449"/>
      <c r="B69" s="450"/>
      <c r="C69" s="442" t="str">
        <f t="shared" si="0"/>
        <v xml:space="preserve"> </v>
      </c>
      <c r="D69" s="450"/>
      <c r="E69" s="458"/>
      <c r="F69" s="639"/>
      <c r="G69" s="451"/>
      <c r="H69" s="578"/>
      <c r="I69" s="479"/>
      <c r="J69" s="452"/>
      <c r="K69" s="688" t="str">
        <f>IFERROR(_xlfn.IFNA(IF(VLOOKUP(I69,Lookup!AU:AV,2,FALSE)="CPID Required","CPID Required",""),VLOOKUP(J69,Lookup!AW:AX,2,FALSE)),"")</f>
        <v/>
      </c>
      <c r="L69" s="452"/>
      <c r="M69" s="460"/>
      <c r="N69" s="447" t="str" cm="1">
        <f t="array" ref="N69">IFERROR(_xlfn.IFS(L69&gt;0,VLOOKUP(L69,CPIDs!D:F,3,FALSE),M69&gt;0,VLOOKUP(M69,'RELPTY (Related Parties)'!D:E,2,FALSE)),"")</f>
        <v/>
      </c>
      <c r="O69" s="575" t="str">
        <f t="shared" si="1"/>
        <v>0000 BCC SF61</v>
      </c>
      <c r="U69" s="480" t="s">
        <v>1057</v>
      </c>
    </row>
    <row r="70" spans="1:21" s="480" customFormat="1" ht="15" customHeight="1">
      <c r="A70" s="449"/>
      <c r="B70" s="450"/>
      <c r="C70" s="442" t="str">
        <f t="shared" si="0"/>
        <v xml:space="preserve"> </v>
      </c>
      <c r="D70" s="450"/>
      <c r="E70" s="458"/>
      <c r="F70" s="639"/>
      <c r="G70" s="451"/>
      <c r="H70" s="578"/>
      <c r="I70" s="479"/>
      <c r="J70" s="452"/>
      <c r="K70" s="688" t="str">
        <f>IFERROR(_xlfn.IFNA(IF(VLOOKUP(I70,Lookup!AU:AV,2,FALSE)="CPID Required","CPID Required",""),VLOOKUP(J70,Lookup!AW:AX,2,FALSE)),"")</f>
        <v/>
      </c>
      <c r="L70" s="452"/>
      <c r="M70" s="460"/>
      <c r="N70" s="447" t="str" cm="1">
        <f t="array" ref="N70">IFERROR(_xlfn.IFS(L70&gt;0,VLOOKUP(L70,CPIDs!D:F,3,FALSE),M70&gt;0,VLOOKUP(M70,'RELPTY (Related Parties)'!D:E,2,FALSE)),"")</f>
        <v/>
      </c>
      <c r="O70" s="575" t="str">
        <f t="shared" si="1"/>
        <v>0000 BCC SF62</v>
      </c>
      <c r="U70" s="480" t="s">
        <v>1058</v>
      </c>
    </row>
    <row r="71" spans="1:21" s="480" customFormat="1">
      <c r="A71" s="449"/>
      <c r="B71" s="450"/>
      <c r="C71" s="442" t="str">
        <f t="shared" si="0"/>
        <v xml:space="preserve"> </v>
      </c>
      <c r="D71" s="450"/>
      <c r="E71" s="458"/>
      <c r="F71" s="639"/>
      <c r="G71" s="451"/>
      <c r="H71" s="578"/>
      <c r="I71" s="479"/>
      <c r="J71" s="452"/>
      <c r="K71" s="688" t="str">
        <f>IFERROR(_xlfn.IFNA(IF(VLOOKUP(I71,Lookup!AU:AV,2,FALSE)="CPID Required","CPID Required",""),VLOOKUP(J71,Lookup!AW:AX,2,FALSE)),"")</f>
        <v/>
      </c>
      <c r="L71" s="452"/>
      <c r="M71" s="460"/>
      <c r="N71" s="447" t="str" cm="1">
        <f t="array" ref="N71">IFERROR(_xlfn.IFS(L71&gt;0,VLOOKUP(L71,CPIDs!D:F,3,FALSE),M71&gt;0,VLOOKUP(M71,'RELPTY (Related Parties)'!D:E,2,FALSE)),"")</f>
        <v/>
      </c>
      <c r="O71" s="575" t="str">
        <f t="shared" si="1"/>
        <v>0000 BCC SF63</v>
      </c>
      <c r="U71" s="480" t="s">
        <v>1059</v>
      </c>
    </row>
    <row r="72" spans="1:21" s="480" customFormat="1">
      <c r="A72" s="449"/>
      <c r="B72" s="450"/>
      <c r="C72" s="442" t="str">
        <f t="shared" si="0"/>
        <v xml:space="preserve"> </v>
      </c>
      <c r="D72" s="450"/>
      <c r="E72" s="458"/>
      <c r="F72" s="639"/>
      <c r="G72" s="451"/>
      <c r="H72" s="578"/>
      <c r="I72" s="479"/>
      <c r="J72" s="452"/>
      <c r="K72" s="688" t="str">
        <f>IFERROR(_xlfn.IFNA(IF(VLOOKUP(I72,Lookup!AU:AV,2,FALSE)="CPID Required","CPID Required",""),VLOOKUP(J72,Lookup!AW:AX,2,FALSE)),"")</f>
        <v/>
      </c>
      <c r="L72" s="452"/>
      <c r="M72" s="460"/>
      <c r="N72" s="447" t="str" cm="1">
        <f t="array" ref="N72">IFERROR(_xlfn.IFS(L72&gt;0,VLOOKUP(L72,CPIDs!D:F,3,FALSE),M72&gt;0,VLOOKUP(M72,'RELPTY (Related Parties)'!D:E,2,FALSE)),"")</f>
        <v/>
      </c>
      <c r="O72" s="575" t="str">
        <f t="shared" si="1"/>
        <v>0000 BCC SF64</v>
      </c>
      <c r="U72" s="480" t="s">
        <v>1060</v>
      </c>
    </row>
    <row r="73" spans="1:21" s="480" customFormat="1">
      <c r="A73" s="449"/>
      <c r="B73" s="450"/>
      <c r="C73" s="442" t="str">
        <f t="shared" si="0"/>
        <v xml:space="preserve"> </v>
      </c>
      <c r="D73" s="450"/>
      <c r="E73" s="458"/>
      <c r="F73" s="639"/>
      <c r="G73" s="451"/>
      <c r="H73" s="578"/>
      <c r="I73" s="479"/>
      <c r="J73" s="452"/>
      <c r="K73" s="688" t="str">
        <f>IFERROR(_xlfn.IFNA(IF(VLOOKUP(I73,Lookup!AU:AV,2,FALSE)="CPID Required","CPID Required",""),VLOOKUP(J73,Lookup!AW:AX,2,FALSE)),"")</f>
        <v/>
      </c>
      <c r="L73" s="452"/>
      <c r="M73" s="460"/>
      <c r="N73" s="447" t="str" cm="1">
        <f t="array" ref="N73">IFERROR(_xlfn.IFS(L73&gt;0,VLOOKUP(L73,CPIDs!D:F,3,FALSE),M73&gt;0,VLOOKUP(M73,'RELPTY (Related Parties)'!D:E,2,FALSE)),"")</f>
        <v/>
      </c>
      <c r="O73" s="575" t="str">
        <f t="shared" si="1"/>
        <v>0000 BCC SF65</v>
      </c>
      <c r="U73" s="480" t="s">
        <v>1061</v>
      </c>
    </row>
    <row r="74" spans="1:21" s="480" customFormat="1">
      <c r="A74" s="449"/>
      <c r="B74" s="450"/>
      <c r="C74" s="442" t="str">
        <f t="shared" ref="C74:C76" si="2">CONCATENATE(A74,$B$6,B74)</f>
        <v xml:space="preserve"> </v>
      </c>
      <c r="D74" s="450"/>
      <c r="E74" s="458"/>
      <c r="F74" s="639"/>
      <c r="G74" s="451"/>
      <c r="H74" s="578"/>
      <c r="I74" s="479"/>
      <c r="J74" s="452"/>
      <c r="K74" s="688" t="str">
        <f>IFERROR(_xlfn.IFNA(IF(VLOOKUP(I74,Lookup!AU:AV,2,FALSE)="CPID Required","CPID Required",""),VLOOKUP(J74,Lookup!AW:AX,2,FALSE)),"")</f>
        <v/>
      </c>
      <c r="L74" s="452"/>
      <c r="M74" s="460"/>
      <c r="N74" s="447" t="str" cm="1">
        <f t="array" ref="N74">IFERROR(_xlfn.IFS(L74&gt;0,VLOOKUP(L74,CPIDs!D:F,3,FALSE),M74&gt;0,VLOOKUP(M74,'RELPTY (Related Parties)'!D:E,2,FALSE)),"")</f>
        <v/>
      </c>
      <c r="O74" s="575" t="str">
        <f t="shared" ref="O74:O76" si="3">CONCATENATE($B$3," ",U74)</f>
        <v>0000 BCC SF66</v>
      </c>
      <c r="U74" s="480" t="s">
        <v>1062</v>
      </c>
    </row>
    <row r="75" spans="1:21" s="480" customFormat="1">
      <c r="A75" s="449"/>
      <c r="B75" s="450"/>
      <c r="C75" s="442" t="str">
        <f t="shared" si="2"/>
        <v xml:space="preserve"> </v>
      </c>
      <c r="D75" s="450"/>
      <c r="E75" s="458"/>
      <c r="F75" s="639"/>
      <c r="G75" s="451"/>
      <c r="H75" s="578"/>
      <c r="I75" s="479"/>
      <c r="J75" s="452"/>
      <c r="K75" s="688" t="str">
        <f>IFERROR(_xlfn.IFNA(IF(VLOOKUP(I75,Lookup!AU:AV,2,FALSE)="CPID Required","CPID Required",""),VLOOKUP(J75,Lookup!AW:AX,2,FALSE)),"")</f>
        <v/>
      </c>
      <c r="L75" s="452"/>
      <c r="M75" s="460"/>
      <c r="N75" s="447" t="str" cm="1">
        <f t="array" ref="N75">IFERROR(_xlfn.IFS(L75&gt;0,VLOOKUP(L75,CPIDs!D:F,3,FALSE),M75&gt;0,VLOOKUP(M75,'RELPTY (Related Parties)'!D:E,2,FALSE)),"")</f>
        <v/>
      </c>
      <c r="O75" s="575" t="str">
        <f t="shared" si="3"/>
        <v>0000 BCC SF67</v>
      </c>
      <c r="U75" s="480" t="s">
        <v>1063</v>
      </c>
    </row>
    <row r="76" spans="1:21" s="480" customFormat="1" ht="13.8" thickBot="1">
      <c r="A76" s="453"/>
      <c r="B76" s="454"/>
      <c r="C76" s="683" t="str">
        <f t="shared" si="2"/>
        <v xml:space="preserve"> </v>
      </c>
      <c r="D76" s="454"/>
      <c r="E76" s="459"/>
      <c r="F76" s="640"/>
      <c r="G76" s="455"/>
      <c r="H76" s="579"/>
      <c r="I76" s="456"/>
      <c r="J76" s="457"/>
      <c r="K76" s="689" t="str">
        <f>IFERROR(_xlfn.IFNA(IF(VLOOKUP(I76,Lookup!AU:AV,2,FALSE)="CPID Required","CPID Required",""),VLOOKUP(J76,Lookup!AW:AX,2,FALSE)),"")</f>
        <v/>
      </c>
      <c r="L76" s="457"/>
      <c r="M76" s="461"/>
      <c r="N76" s="686" t="str" cm="1">
        <f t="array" ref="N76">IFERROR(_xlfn.IFS(L76&gt;0,VLOOKUP(L76,CPIDs!D:F,3,FALSE),M76&gt;0,VLOOKUP(M76,'RELPTY (Related Parties)'!D:E,2,FALSE)),"")</f>
        <v/>
      </c>
      <c r="O76" s="687" t="str">
        <f t="shared" si="3"/>
        <v>0000 BCC SF68</v>
      </c>
      <c r="U76" s="480" t="s">
        <v>1064</v>
      </c>
    </row>
    <row r="78" spans="1:21">
      <c r="E78" s="567" t="s">
        <v>530</v>
      </c>
      <c r="F78" s="684">
        <f>(SUMIFS(F9:F76,A9:A76,"debtors")+SUMIFS(F9:F76,A9:A76,"payment_in_advance"))+(-SUMIFS(F9:F76,A9:A76,"creditors")-SUMIFS(F9:F76,A9:A76,"income_in_advance"))</f>
        <v>0</v>
      </c>
    </row>
  </sheetData>
  <sheetProtection selectLockedCells="1" autoFilter="0"/>
  <mergeCells count="2">
    <mergeCell ref="A1:E1"/>
    <mergeCell ref="I7:N7"/>
  </mergeCells>
  <phoneticPr fontId="46" type="noConversion"/>
  <conditionalFormatting sqref="F17:G76">
    <cfRule type="cellIs" dxfId="17" priority="11" operator="equal">
      <formula>"Accrual under £20k De Minimis"</formula>
    </cfRule>
  </conditionalFormatting>
  <conditionalFormatting sqref="I9:I76">
    <cfRule type="expression" dxfId="16" priority="4">
      <formula>$A9="Income_in_advance"</formula>
    </cfRule>
    <cfRule type="expression" dxfId="15" priority="5">
      <formula>$A9="Creditors"</formula>
    </cfRule>
    <cfRule type="expression" dxfId="14" priority="8">
      <formula>$A9="Payment_in_advance"</formula>
    </cfRule>
    <cfRule type="expression" dxfId="13" priority="9">
      <formula>$A9="Debtors"</formula>
    </cfRule>
  </conditionalFormatting>
  <conditionalFormatting sqref="J9:J76">
    <cfRule type="expression" dxfId="12" priority="2">
      <formula>$A9="Payment_in_advance"</formula>
    </cfRule>
    <cfRule type="expression" dxfId="11" priority="3">
      <formula>$A9="Debtors"</formula>
    </cfRule>
    <cfRule type="expression" dxfId="10" priority="6">
      <formula>$A9="Income_in_advance"</formula>
    </cfRule>
    <cfRule type="expression" dxfId="9" priority="7">
      <formula>$A9="Creditors"</formula>
    </cfRule>
  </conditionalFormatting>
  <conditionalFormatting sqref="L9:L76">
    <cfRule type="expression" dxfId="8" priority="10">
      <formula>$K9="CPID Required"</formula>
    </cfRule>
  </conditionalFormatting>
  <conditionalFormatting sqref="W17 AK17 AY17 BM17 CA17 CO17 DC17 DQ17 EE17 ES17 FG17 FU17 GI17 GW17 HK17 HY17 IM17 JA17 JO17 KC17 KQ17 LE17 LS17 MG17 MU17 NI17 NW17 OK17 OY17 PM17 QA17 QO17 RC17 RQ17 SE17 SS17 TG17 TU17 UI17 UW17 VK17 VY17 WM17 XA17 XO17 YC17 YQ17 ZE17 ZS17 AAG17 AAU17 ABI17 ABW17 ACK17 ACY17 ADM17 AEA17 AEO17 AFC17 AFQ17 AGE17 AGS17 AHG17 AHU17 AII17 AIW17 AJK17 AJY17 AKM17 ALA17 ALO17 AMC17 AMQ17 ANE17 ANS17 AOG17 AOU17 API17 APW17 AQK17 AQY17 ARM17 ASA17 ASO17 ATC17 ATQ17 AUE17 AUS17 AVG17 AVU17 AWI17 AWW17 AXK17 AXY17 AYM17 AZA17 AZO17 BAC17 BAQ17 BBE17 BBS17 BCG17 BCU17 BDI17 BDW17 BEK17 BEY17 BFM17 BGA17 BGO17 BHC17 BHQ17 BIE17 BIS17 BJG17 BJU17 BKI17 BKW17 BLK17 BLY17 BMM17 BNA17 BNO17 BOC17 BOQ17 BPE17 BPS17 BQG17 BQU17 BRI17 BRW17 BSK17 BSY17 BTM17 BUA17 BUO17 BVC17 BVQ17 BWE17 BWS17 BXG17 BXU17 BYI17 BYW17 BZK17 BZY17 CAM17 CBA17 CBO17 CCC17 CCQ17 CDE17 CDS17 CEG17 CEU17 CFI17 CFW17 CGK17 CGY17 CHM17 CIA17 CIO17 CJC17 CJQ17 CKE17 CKS17 CLG17 CLU17 CMI17 CMW17 CNK17 CNY17 COM17 CPA17 CPO17 CQC17 CQQ17 CRE17 CRS17 CSG17 CSU17 CTI17 CTW17 CUK17 CUY17 CVM17 CWA17 CWO17 CXC17 CXQ17 CYE17 CYS17 CZG17 CZU17 DAI17 DAW17 DBK17 DBY17 DCM17 DDA17 DDO17 DEC17 DEQ17 DFE17 DFS17 DGG17 DGU17 DHI17 DHW17 DIK17 DIY17 DJM17 DKA17 DKO17 DLC17 DLQ17 DME17 DMS17 DNG17 DNU17 DOI17 DOW17 DPK17 DPY17 DQM17 DRA17 DRO17 DSC17 DSQ17 DTE17 DTS17 DUG17 DUU17 DVI17 DVW17 DWK17 DWY17 DXM17 DYA17 DYO17 DZC17 DZQ17 EAE17 EAS17 EBG17 EBU17 ECI17 ECW17 EDK17 EDY17 EEM17 EFA17 EFO17 EGC17 EGQ17 EHE17 EHS17 EIG17 EIU17 EJI17 EJW17 EKK17 EKY17 ELM17 EMA17 EMO17 ENC17 ENQ17 EOE17 EOS17 EPG17 EPU17 EQI17 EQW17 ERK17 ERY17 ESM17 ETA17 ETO17 EUC17 EUQ17 EVE17 EVS17 EWG17 EWU17 EXI17 EXW17 EYK17 EYY17 EZM17 FAA17 FAO17 FBC17 FBQ17 FCE17 FCS17 FDG17 FDU17 FEI17 FEW17 FFK17 FFY17 FGM17 FHA17 FHO17 FIC17 FIQ17 FJE17 FJS17 FKG17 FKU17 FLI17 FLW17 FMK17 FMY17 FNM17 FOA17 FOO17 FPC17 FPQ17 FQE17 FQS17 FRG17 FRU17 FSI17 FSW17 FTK17 FTY17 FUM17 FVA17 FVO17 FWC17 FWQ17 FXE17 FXS17 FYG17 FYU17 FZI17 FZW17 GAK17 GAY17 GBM17 GCA17 GCO17 GDC17 GDQ17 GEE17 GES17 GFG17 GFU17 GGI17 GGW17 GHK17 GHY17 GIM17 GJA17 GJO17 GKC17 GKQ17 GLE17 GLS17 GMG17 GMU17 GNI17 GNW17 GOK17 GOY17 GPM17 GQA17 GQO17 GRC17 GRQ17 GSE17 GSS17 GTG17 GTU17 GUI17 GUW17 GVK17 GVY17 GWM17 GXA17 GXO17 GYC17 GYQ17 GZE17 GZS17 HAG17 HAU17 HBI17 HBW17 HCK17 HCY17 HDM17 HEA17 HEO17 HFC17 HFQ17 HGE17 HGS17 HHG17 HHU17 HII17 HIW17 HJK17 HJY17 HKM17 HLA17 HLO17 HMC17 HMQ17 HNE17 HNS17 HOG17 HOU17 HPI17 HPW17 HQK17 HQY17 HRM17 HSA17 HSO17 HTC17 HTQ17 HUE17 HUS17 HVG17 HVU17 HWI17 HWW17 HXK17 HXY17 HYM17 HZA17 HZO17 IAC17 IAQ17 IBE17 IBS17 ICG17 ICU17 IDI17 IDW17 IEK17 IEY17 IFM17 IGA17 IGO17 IHC17 IHQ17 IIE17 IIS17 IJG17 IJU17 IKI17 IKW17 ILK17 ILY17 IMM17 INA17 INO17 IOC17 IOQ17 IPE17 IPS17 IQG17 IQU17 IRI17 IRW17 ISK17 ISY17 ITM17 IUA17 IUO17 IVC17 IVQ17 IWE17 IWS17 IXG17 IXU17 IYI17 IYW17 IZK17 IZY17 JAM17 JBA17 JBO17 JCC17 JCQ17 JDE17 JDS17 JEG17 JEU17 JFI17 JFW17 JGK17 JGY17 JHM17 JIA17 JIO17 JJC17 JJQ17 JKE17 JKS17 JLG17 JLU17 JMI17 JMW17 JNK17 JNY17 JOM17 JPA17 JPO17 JQC17 JQQ17 JRE17 JRS17 JSG17 JSU17 JTI17 JTW17 JUK17 JUY17 JVM17 JWA17 JWO17 JXC17 JXQ17 JYE17 JYS17 JZG17 JZU17 KAI17 KAW17 KBK17 KBY17 KCM17 KDA17 KDO17 KEC17 KEQ17 KFE17 KFS17 KGG17 KGU17 KHI17 KHW17 KIK17 KIY17 KJM17 KKA17 KKO17 KLC17 KLQ17 KME17 KMS17 KNG17 KNU17 KOI17 KOW17 KPK17 KPY17 KQM17 KRA17 KRO17 KSC17 KSQ17 KTE17 KTS17 KUG17 KUU17 KVI17 KVW17 KWK17 KWY17 KXM17 KYA17 KYO17 KZC17 KZQ17 LAE17 LAS17 LBG17 LBU17 LCI17 LCW17 LDK17 LDY17 LEM17 LFA17 LFO17 LGC17 LGQ17 LHE17 LHS17 LIG17 LIU17 LJI17 LJW17 LKK17 LKY17 LLM17 LMA17 LMO17 LNC17 LNQ17 LOE17 LOS17 LPG17 LPU17 LQI17 LQW17 LRK17 LRY17 LSM17 LTA17 LTO17 LUC17 LUQ17 LVE17 LVS17 LWG17 LWU17 LXI17 LXW17 LYK17 LYY17 LZM17 MAA17 MAO17 MBC17 MBQ17 MCE17 MCS17 MDG17 MDU17 MEI17 MEW17 MFK17 MFY17 MGM17 MHA17 MHO17 MIC17 MIQ17 MJE17 MJS17 MKG17 MKU17 MLI17 MLW17 MMK17 MMY17 MNM17 MOA17 MOO17 MPC17 MPQ17 MQE17 MQS17 MRG17 MRU17 MSI17 MSW17 MTK17 MTY17 MUM17 MVA17 MVO17 MWC17 MWQ17 MXE17 MXS17 MYG17 MYU17 MZI17 MZW17 NAK17 NAY17 NBM17 NCA17 NCO17 NDC17 NDQ17 NEE17 NES17 NFG17 NFU17 NGI17 NGW17 NHK17 NHY17 NIM17 NJA17 NJO17 NKC17 NKQ17 NLE17 NLS17 NMG17 NMU17 NNI17 NNW17 NOK17 NOY17 NPM17 NQA17 NQO17 NRC17 NRQ17 NSE17 NSS17 NTG17 NTU17 NUI17 NUW17 NVK17 NVY17 NWM17 NXA17 NXO17 NYC17 NYQ17 NZE17 NZS17 OAG17 OAU17 OBI17 OBW17 OCK17 OCY17 ODM17 OEA17 OEO17 OFC17 OFQ17 OGE17 OGS17 OHG17 OHU17 OII17 OIW17 OJK17 OJY17 OKM17 OLA17 OLO17 OMC17 OMQ17 ONE17 ONS17 OOG17 OOU17 OPI17 OPW17 OQK17 OQY17 ORM17 OSA17 OSO17 OTC17 OTQ17 OUE17 OUS17 OVG17 OVU17 OWI17 OWW17 OXK17 OXY17 OYM17 OZA17 OZO17 PAC17 PAQ17 PBE17 PBS17 PCG17 PCU17 PDI17 PDW17 PEK17 PEY17 PFM17 PGA17 PGO17 PHC17 PHQ17 PIE17 PIS17 PJG17 PJU17 PKI17 PKW17 PLK17 PLY17 PMM17 PNA17 PNO17 POC17 POQ17 PPE17 PPS17 PQG17 PQU17 PRI17 PRW17 PSK17 PSY17 PTM17 PUA17 PUO17 PVC17 PVQ17 PWE17 PWS17 PXG17 PXU17 PYI17 PYW17 PZK17 PZY17 QAM17 QBA17 QBO17 QCC17 QCQ17 QDE17 QDS17 QEG17 QEU17 QFI17 QFW17 QGK17 QGY17 QHM17 QIA17 QIO17 QJC17 QJQ17 QKE17 QKS17 QLG17 QLU17 QMI17 QMW17 QNK17 QNY17 QOM17 QPA17 QPO17 QQC17 QQQ17 QRE17 QRS17 QSG17 QSU17 QTI17 QTW17 QUK17 QUY17 QVM17 QWA17 QWO17 QXC17 QXQ17 QYE17 QYS17 QZG17 QZU17 RAI17 RAW17 RBK17 RBY17 RCM17 RDA17 RDO17 REC17 REQ17 RFE17 RFS17 RGG17 RGU17 RHI17 RHW17 RIK17 RIY17 RJM17 RKA17 RKO17 RLC17 RLQ17 RME17 RMS17 RNG17 RNU17 ROI17 ROW17 RPK17 RPY17 RQM17 RRA17 RRO17 RSC17 RSQ17 RTE17 RTS17 RUG17 RUU17 RVI17 RVW17 RWK17 RWY17 RXM17 RYA17 RYO17 RZC17 RZQ17 SAE17 SAS17 SBG17 SBU17 SCI17 SCW17 SDK17 SDY17 SEM17 SFA17 SFO17 SGC17 SGQ17 SHE17 SHS17 SIG17 SIU17 SJI17 SJW17 SKK17 SKY17 SLM17 SMA17 SMO17 SNC17 SNQ17 SOE17 SOS17 SPG17 SPU17 SQI17 SQW17 SRK17 SRY17 SSM17 STA17 STO17 SUC17 SUQ17 SVE17 SVS17 SWG17 SWU17 SXI17 SXW17 SYK17 SYY17 SZM17 TAA17 TAO17 TBC17 TBQ17 TCE17 TCS17 TDG17 TDU17 TEI17 TEW17 TFK17 TFY17 TGM17 THA17 THO17 TIC17 TIQ17 TJE17 TJS17 TKG17 TKU17 TLI17 TLW17 TMK17 TMY17 TNM17 TOA17 TOO17 TPC17 TPQ17 TQE17 TQS17 TRG17 TRU17 TSI17 TSW17 TTK17 TTY17 TUM17 TVA17 TVO17 TWC17 TWQ17 TXE17 TXS17 TYG17 TYU17 TZI17 TZW17 UAK17 UAY17 UBM17 UCA17 UCO17 UDC17 UDQ17 UEE17 UES17 UFG17 UFU17 UGI17 UGW17 UHK17 UHY17 UIM17 UJA17 UJO17 UKC17 UKQ17 ULE17 ULS17 UMG17 UMU17 UNI17 UNW17 UOK17 UOY17 UPM17 UQA17 UQO17 URC17 URQ17 USE17 USS17 UTG17 UTU17 UUI17 UUW17 UVK17 UVY17 UWM17 UXA17 UXO17 UYC17 UYQ17 UZE17 UZS17 VAG17 VAU17 VBI17 VBW17 VCK17 VCY17 VDM17 VEA17 VEO17 VFC17 VFQ17 VGE17 VGS17 VHG17 VHU17 VII17 VIW17 VJK17 VJY17 VKM17 VLA17 VLO17 VMC17 VMQ17 VNE17 VNS17 VOG17 VOU17 VPI17 VPW17 VQK17 VQY17 VRM17 VSA17 VSO17 VTC17 VTQ17 VUE17 VUS17 VVG17 VVU17 VWI17 VWW17 VXK17 VXY17 VYM17 VZA17 VZO17 WAC17 WAQ17 WBE17 WBS17 WCG17 WCU17 WDI17 WDW17 WEK17 WEY17 WFM17 WGA17 WGO17 WHC17 WHQ17 WIE17 WIS17 WJG17 WJU17 WKI17 WKW17 WLK17 WLY17 WMM17 WNA17 WNO17 WOC17 WOQ17 WPE17 WPS17 WQG17 WQU17 WRI17 WRW17 WSK17 WSY17 WTM17 WUA17 WUO17 WVC17 WVQ17 WWE17 WWS17 WXG17 WXU17 WYI17 WYW17 WZK17 WZY17 XAM17 XBA17 XBO17 XCC17 XCQ17 XDE17 XDS17 XEG17 XEU17">
    <cfRule type="cellIs" dxfId="7" priority="12" operator="equal">
      <formula>"Accrual under £20k De Minimis"</formula>
    </cfRule>
  </conditionalFormatting>
  <conditionalFormatting sqref="W23 AK23 AY23 BM23 CA23 CO23 DC23 DQ23 EE23 ES23 FG23 FU23 GI23 GW23 HK23 HY23 IM23 JA23 JO23 KC23 KQ23 LE23 LS23 MG23 MU23 NI23 NW23 OK23 OY23 PM23 QA23 QO23 RC23 RQ23 SE23 SS23 TG23 TU23 UI23 UW23 VK23 VY23 WM23 XA23 XO23 YC23 YQ23 ZE23 ZS23 AAG23 AAU23 ABI23 ABW23 ACK23 ACY23 ADM23 AEA23 AEO23 AFC23 AFQ23 AGE23 AGS23 AHG23 AHU23 AII23 AIW23 AJK23 AJY23 AKM23 ALA23 ALO23 AMC23 AMQ23 ANE23 ANS23 AOG23 AOU23 API23 APW23 AQK23 AQY23 ARM23 ASA23 ASO23 ATC23 ATQ23 AUE23 AUS23 AVG23 AVU23 AWI23 AWW23 AXK23 AXY23 AYM23 AZA23 AZO23 BAC23 BAQ23 BBE23 BBS23 BCG23 BCU23 BDI23 BDW23 BEK23 BEY23 BFM23 BGA23 BGO23 BHC23 BHQ23 BIE23 BIS23 BJG23 BJU23 BKI23 BKW23 BLK23 BLY23 BMM23 BNA23 BNO23 BOC23 BOQ23 BPE23 BPS23 BQG23 BQU23 BRI23 BRW23 BSK23 BSY23 BTM23 BUA23 BUO23 BVC23 BVQ23 BWE23 BWS23 BXG23 BXU23 BYI23 BYW23 BZK23 BZY23 CAM23 CBA23 CBO23 CCC23 CCQ23 CDE23 CDS23 CEG23 CEU23 CFI23 CFW23 CGK23 CGY23 CHM23 CIA23 CIO23 CJC23 CJQ23 CKE23 CKS23 CLG23 CLU23 CMI23 CMW23 CNK23 CNY23 COM23 CPA23 CPO23 CQC23 CQQ23 CRE23 CRS23 CSG23 CSU23 CTI23 CTW23 CUK23 CUY23 CVM23 CWA23 CWO23 CXC23 CXQ23 CYE23 CYS23 CZG23 CZU23 DAI23 DAW23 DBK23 DBY23 DCM23 DDA23 DDO23 DEC23 DEQ23 DFE23 DFS23 DGG23 DGU23 DHI23 DHW23 DIK23 DIY23 DJM23 DKA23 DKO23 DLC23 DLQ23 DME23 DMS23 DNG23 DNU23 DOI23 DOW23 DPK23 DPY23 DQM23 DRA23 DRO23 DSC23 DSQ23 DTE23 DTS23 DUG23 DUU23 DVI23 DVW23 DWK23 DWY23 DXM23 DYA23 DYO23 DZC23 DZQ23 EAE23 EAS23 EBG23 EBU23 ECI23 ECW23 EDK23 EDY23 EEM23 EFA23 EFO23 EGC23 EGQ23 EHE23 EHS23 EIG23 EIU23 EJI23 EJW23 EKK23 EKY23 ELM23 EMA23 EMO23 ENC23 ENQ23 EOE23 EOS23 EPG23 EPU23 EQI23 EQW23 ERK23 ERY23 ESM23 ETA23 ETO23 EUC23 EUQ23 EVE23 EVS23 EWG23 EWU23 EXI23 EXW23 EYK23 EYY23 EZM23 FAA23 FAO23 FBC23 FBQ23 FCE23 FCS23 FDG23 FDU23 FEI23 FEW23 FFK23 FFY23 FGM23 FHA23 FHO23 FIC23 FIQ23 FJE23 FJS23 FKG23 FKU23 FLI23 FLW23 FMK23 FMY23 FNM23 FOA23 FOO23 FPC23 FPQ23 FQE23 FQS23 FRG23 FRU23 FSI23 FSW23 FTK23 FTY23 FUM23 FVA23 FVO23 FWC23 FWQ23 FXE23 FXS23 FYG23 FYU23 FZI23 FZW23 GAK23 GAY23 GBM23 GCA23 GCO23 GDC23 GDQ23 GEE23 GES23 GFG23 GFU23 GGI23 GGW23 GHK23 GHY23 GIM23 GJA23 GJO23 GKC23 GKQ23 GLE23 GLS23 GMG23 GMU23 GNI23 GNW23 GOK23 GOY23 GPM23 GQA23 GQO23 GRC23 GRQ23 GSE23 GSS23 GTG23 GTU23 GUI23 GUW23 GVK23 GVY23 GWM23 GXA23 GXO23 GYC23 GYQ23 GZE23 GZS23 HAG23 HAU23 HBI23 HBW23 HCK23 HCY23 HDM23 HEA23 HEO23 HFC23 HFQ23 HGE23 HGS23 HHG23 HHU23 HII23 HIW23 HJK23 HJY23 HKM23 HLA23 HLO23 HMC23 HMQ23 HNE23 HNS23 HOG23 HOU23 HPI23 HPW23 HQK23 HQY23 HRM23 HSA23 HSO23 HTC23 HTQ23 HUE23 HUS23 HVG23 HVU23 HWI23 HWW23 HXK23 HXY23 HYM23 HZA23 HZO23 IAC23 IAQ23 IBE23 IBS23 ICG23 ICU23 IDI23 IDW23 IEK23 IEY23 IFM23 IGA23 IGO23 IHC23 IHQ23 IIE23 IIS23 IJG23 IJU23 IKI23 IKW23 ILK23 ILY23 IMM23 INA23 INO23 IOC23 IOQ23 IPE23 IPS23 IQG23 IQU23 IRI23 IRW23 ISK23 ISY23 ITM23 IUA23 IUO23 IVC23 IVQ23 IWE23 IWS23 IXG23 IXU23 IYI23 IYW23 IZK23 IZY23 JAM23 JBA23 JBO23 JCC23 JCQ23 JDE23 JDS23 JEG23 JEU23 JFI23 JFW23 JGK23 JGY23 JHM23 JIA23 JIO23 JJC23 JJQ23 JKE23 JKS23 JLG23 JLU23 JMI23 JMW23 JNK23 JNY23 JOM23 JPA23 JPO23 JQC23 JQQ23 JRE23 JRS23 JSG23 JSU23 JTI23 JTW23 JUK23 JUY23 JVM23 JWA23 JWO23 JXC23 JXQ23 JYE23 JYS23 JZG23 JZU23 KAI23 KAW23 KBK23 KBY23 KCM23 KDA23 KDO23 KEC23 KEQ23 KFE23 KFS23 KGG23 KGU23 KHI23 KHW23 KIK23 KIY23 KJM23 KKA23 KKO23 KLC23 KLQ23 KME23 KMS23 KNG23 KNU23 KOI23 KOW23 KPK23 KPY23 KQM23 KRA23 KRO23 KSC23 KSQ23 KTE23 KTS23 KUG23 KUU23 KVI23 KVW23 KWK23 KWY23 KXM23 KYA23 KYO23 KZC23 KZQ23 LAE23 LAS23 LBG23 LBU23 LCI23 LCW23 LDK23 LDY23 LEM23 LFA23 LFO23 LGC23 LGQ23 LHE23 LHS23 LIG23 LIU23 LJI23 LJW23 LKK23 LKY23 LLM23 LMA23 LMO23 LNC23 LNQ23 LOE23 LOS23 LPG23 LPU23 LQI23 LQW23 LRK23 LRY23 LSM23 LTA23 LTO23 LUC23 LUQ23 LVE23 LVS23 LWG23 LWU23 LXI23 LXW23 LYK23 LYY23 LZM23 MAA23 MAO23 MBC23 MBQ23 MCE23 MCS23 MDG23 MDU23 MEI23 MEW23 MFK23 MFY23 MGM23 MHA23 MHO23 MIC23 MIQ23 MJE23 MJS23 MKG23 MKU23 MLI23 MLW23 MMK23 MMY23 MNM23 MOA23 MOO23 MPC23 MPQ23 MQE23 MQS23 MRG23 MRU23 MSI23 MSW23 MTK23 MTY23 MUM23 MVA23 MVO23 MWC23 MWQ23 MXE23 MXS23 MYG23 MYU23 MZI23 MZW23 NAK23 NAY23 NBM23 NCA23 NCO23 NDC23 NDQ23 NEE23 NES23 NFG23 NFU23 NGI23 NGW23 NHK23 NHY23 NIM23 NJA23 NJO23 NKC23 NKQ23 NLE23 NLS23 NMG23 NMU23 NNI23 NNW23 NOK23 NOY23 NPM23 NQA23 NQO23 NRC23 NRQ23 NSE23 NSS23 NTG23 NTU23 NUI23 NUW23 NVK23 NVY23 NWM23 NXA23 NXO23 NYC23 NYQ23 NZE23 NZS23 OAG23 OAU23 OBI23 OBW23 OCK23 OCY23 ODM23 OEA23 OEO23 OFC23 OFQ23 OGE23 OGS23 OHG23 OHU23 OII23 OIW23 OJK23 OJY23 OKM23 OLA23 OLO23 OMC23 OMQ23 ONE23 ONS23 OOG23 OOU23 OPI23 OPW23 OQK23 OQY23 ORM23 OSA23 OSO23 OTC23 OTQ23 OUE23 OUS23 OVG23 OVU23 OWI23 OWW23 OXK23 OXY23 OYM23 OZA23 OZO23 PAC23 PAQ23 PBE23 PBS23 PCG23 PCU23 PDI23 PDW23 PEK23 PEY23 PFM23 PGA23 PGO23 PHC23 PHQ23 PIE23 PIS23 PJG23 PJU23 PKI23 PKW23 PLK23 PLY23 PMM23 PNA23 PNO23 POC23 POQ23 PPE23 PPS23 PQG23 PQU23 PRI23 PRW23 PSK23 PSY23 PTM23 PUA23 PUO23 PVC23 PVQ23 PWE23 PWS23 PXG23 PXU23 PYI23 PYW23 PZK23 PZY23 QAM23 QBA23 QBO23 QCC23 QCQ23 QDE23 QDS23 QEG23 QEU23 QFI23 QFW23 QGK23 QGY23 QHM23 QIA23 QIO23 QJC23 QJQ23 QKE23 QKS23 QLG23 QLU23 QMI23 QMW23 QNK23 QNY23 QOM23 QPA23 QPO23 QQC23 QQQ23 QRE23 QRS23 QSG23 QSU23 QTI23 QTW23 QUK23 QUY23 QVM23 QWA23 QWO23 QXC23 QXQ23 QYE23 QYS23 QZG23 QZU23 RAI23 RAW23 RBK23 RBY23 RCM23 RDA23 RDO23 REC23 REQ23 RFE23 RFS23 RGG23 RGU23 RHI23 RHW23 RIK23 RIY23 RJM23 RKA23 RKO23 RLC23 RLQ23 RME23 RMS23 RNG23 RNU23 ROI23 ROW23 RPK23 RPY23 RQM23 RRA23 RRO23 RSC23 RSQ23 RTE23 RTS23 RUG23 RUU23 RVI23 RVW23 RWK23 RWY23 RXM23 RYA23 RYO23 RZC23 RZQ23 SAE23 SAS23 SBG23 SBU23 SCI23 SCW23 SDK23 SDY23 SEM23 SFA23 SFO23 SGC23 SGQ23 SHE23 SHS23 SIG23 SIU23 SJI23 SJW23 SKK23 SKY23 SLM23 SMA23 SMO23 SNC23 SNQ23 SOE23 SOS23 SPG23 SPU23 SQI23 SQW23 SRK23 SRY23 SSM23 STA23 STO23 SUC23 SUQ23 SVE23 SVS23 SWG23 SWU23 SXI23 SXW23 SYK23 SYY23 SZM23 TAA23 TAO23 TBC23 TBQ23 TCE23 TCS23 TDG23 TDU23 TEI23 TEW23 TFK23 TFY23 TGM23 THA23 THO23 TIC23 TIQ23 TJE23 TJS23 TKG23 TKU23 TLI23 TLW23 TMK23 TMY23 TNM23 TOA23 TOO23 TPC23 TPQ23 TQE23 TQS23 TRG23 TRU23 TSI23 TSW23 TTK23 TTY23 TUM23 TVA23 TVO23 TWC23 TWQ23 TXE23 TXS23 TYG23 TYU23 TZI23 TZW23 UAK23 UAY23 UBM23 UCA23 UCO23 UDC23 UDQ23 UEE23 UES23 UFG23 UFU23 UGI23 UGW23 UHK23 UHY23 UIM23 UJA23 UJO23 UKC23 UKQ23 ULE23 ULS23 UMG23 UMU23 UNI23 UNW23 UOK23 UOY23 UPM23 UQA23 UQO23 URC23 URQ23 USE23 USS23 UTG23 UTU23 UUI23 UUW23 UVK23 UVY23 UWM23 UXA23 UXO23 UYC23 UYQ23 UZE23 UZS23 VAG23 VAU23 VBI23 VBW23 VCK23 VCY23 VDM23 VEA23 VEO23 VFC23 VFQ23 VGE23 VGS23 VHG23 VHU23 VII23 VIW23 VJK23 VJY23 VKM23 VLA23 VLO23 VMC23 VMQ23 VNE23 VNS23 VOG23 VOU23 VPI23 VPW23 VQK23 VQY23 VRM23 VSA23 VSO23 VTC23 VTQ23 VUE23 VUS23 VVG23 VVU23 VWI23 VWW23 VXK23 VXY23 VYM23 VZA23 VZO23 WAC23 WAQ23 WBE23 WBS23 WCG23 WCU23 WDI23 WDW23 WEK23 WEY23 WFM23 WGA23 WGO23 WHC23 WHQ23 WIE23 WIS23 WJG23 WJU23 WKI23 WKW23 WLK23 WLY23 WMM23 WNA23 WNO23 WOC23 WOQ23 WPE23 WPS23 WQG23 WQU23 WRI23 WRW23 WSK23 WSY23 WTM23 WUA23 WUO23 WVC23 WVQ23 WWE23 WWS23 WXG23 WXU23 WYI23 WYW23 WZK23 WZY23 XAM23 XBA23 XBO23 XCC23 XCQ23 XDE23 XDS23 XEG23 XEU23">
    <cfRule type="cellIs" dxfId="6" priority="16" operator="equal">
      <formula>"Accrual under £20k De Minimis"</formula>
    </cfRule>
  </conditionalFormatting>
  <conditionalFormatting sqref="AJ17 AX17 BL17 BZ17 CN17 DB17 DP17 ED17 ER17 FF17 FT17 GH17 GV17 HJ17 HX17 IL17 IZ17 JN17 KB17 KP17 LD17 LR17 MF17 MT17 NH17 NV17 OJ17 OX17 PL17 PZ17 QN17 RB17 RP17 SD17 SR17 TF17 TT17 UH17 UV17 VJ17 VX17 WL17 WZ17 XN17 YB17 YP17 ZD17 ZR17 AAF17 AAT17 ABH17 ABV17 ACJ17 ACX17 ADL17 ADZ17 AEN17 AFB17 AFP17 AGD17 AGR17 AHF17 AHT17 AIH17 AIV17 AJJ17 AJX17 AKL17 AKZ17 ALN17 AMB17 AMP17 AND17 ANR17 AOF17 AOT17 APH17 APV17 AQJ17 AQX17 ARL17 ARZ17 ASN17 ATB17 ATP17 AUD17 AUR17 AVF17 AVT17 AWH17 AWV17 AXJ17 AXX17 AYL17 AYZ17 AZN17 BAB17 BAP17 BBD17 BBR17 BCF17 BCT17 BDH17 BDV17 BEJ17 BEX17 BFL17 BFZ17 BGN17 BHB17 BHP17 BID17 BIR17 BJF17 BJT17 BKH17 BKV17 BLJ17 BLX17 BML17 BMZ17 BNN17 BOB17 BOP17 BPD17 BPR17 BQF17 BQT17 BRH17 BRV17 BSJ17 BSX17 BTL17 BTZ17 BUN17 BVB17 BVP17 BWD17 BWR17 BXF17 BXT17 BYH17 BYV17 BZJ17 BZX17 CAL17 CAZ17 CBN17 CCB17 CCP17 CDD17 CDR17 CEF17 CET17 CFH17 CFV17 CGJ17 CGX17 CHL17 CHZ17 CIN17 CJB17 CJP17 CKD17 CKR17 CLF17 CLT17 CMH17 CMV17 CNJ17 CNX17 COL17 COZ17 CPN17 CQB17 CQP17 CRD17 CRR17 CSF17 CST17 CTH17 CTV17 CUJ17 CUX17 CVL17 CVZ17 CWN17 CXB17 CXP17 CYD17 CYR17 CZF17 CZT17 DAH17 DAV17 DBJ17 DBX17 DCL17 DCZ17 DDN17 DEB17 DEP17 DFD17 DFR17 DGF17 DGT17 DHH17 DHV17 DIJ17 DIX17 DJL17 DJZ17 DKN17 DLB17 DLP17 DMD17 DMR17 DNF17 DNT17 DOH17 DOV17 DPJ17 DPX17 DQL17 DQZ17 DRN17 DSB17 DSP17 DTD17 DTR17 DUF17 DUT17 DVH17 DVV17 DWJ17 DWX17 DXL17 DXZ17 DYN17 DZB17 DZP17 EAD17 EAR17 EBF17 EBT17 ECH17 ECV17 EDJ17 EDX17 EEL17 EEZ17 EFN17 EGB17 EGP17 EHD17 EHR17 EIF17 EIT17 EJH17 EJV17 EKJ17 EKX17 ELL17 ELZ17 EMN17 ENB17 ENP17 EOD17 EOR17 EPF17 EPT17 EQH17 EQV17 ERJ17 ERX17 ESL17 ESZ17 ETN17 EUB17 EUP17 EVD17 EVR17 EWF17 EWT17 EXH17 EXV17 EYJ17 EYX17 EZL17 EZZ17 FAN17 FBB17 FBP17 FCD17 FCR17 FDF17 FDT17 FEH17 FEV17 FFJ17 FFX17 FGL17 FGZ17 FHN17 FIB17 FIP17 FJD17 FJR17 FKF17 FKT17 FLH17 FLV17 FMJ17 FMX17 FNL17 FNZ17 FON17 FPB17 FPP17 FQD17 FQR17 FRF17 FRT17 FSH17 FSV17 FTJ17 FTX17 FUL17 FUZ17 FVN17 FWB17 FWP17 FXD17 FXR17 FYF17 FYT17 FZH17 FZV17 GAJ17 GAX17 GBL17 GBZ17 GCN17 GDB17 GDP17 GED17 GER17 GFF17 GFT17 GGH17 GGV17 GHJ17 GHX17 GIL17 GIZ17 GJN17 GKB17 GKP17 GLD17 GLR17 GMF17 GMT17 GNH17 GNV17 GOJ17 GOX17 GPL17 GPZ17 GQN17 GRB17 GRP17 GSD17 GSR17 GTF17 GTT17 GUH17 GUV17 GVJ17 GVX17 GWL17 GWZ17 GXN17 GYB17 GYP17 GZD17 GZR17 HAF17 HAT17 HBH17 HBV17 HCJ17 HCX17 HDL17 HDZ17 HEN17 HFB17 HFP17 HGD17 HGR17 HHF17 HHT17 HIH17 HIV17 HJJ17 HJX17 HKL17 HKZ17 HLN17 HMB17 HMP17 HND17 HNR17 HOF17 HOT17 HPH17 HPV17 HQJ17 HQX17 HRL17 HRZ17 HSN17 HTB17 HTP17 HUD17 HUR17 HVF17 HVT17 HWH17 HWV17 HXJ17 HXX17 HYL17 HYZ17 HZN17 IAB17 IAP17 IBD17 IBR17 ICF17 ICT17 IDH17 IDV17 IEJ17 IEX17 IFL17 IFZ17 IGN17 IHB17 IHP17 IID17 IIR17 IJF17 IJT17 IKH17 IKV17 ILJ17 ILX17 IML17 IMZ17 INN17 IOB17 IOP17 IPD17 IPR17 IQF17 IQT17 IRH17 IRV17 ISJ17 ISX17 ITL17 ITZ17 IUN17 IVB17 IVP17 IWD17 IWR17 IXF17 IXT17 IYH17 IYV17 IZJ17 IZX17 JAL17 JAZ17 JBN17 JCB17 JCP17 JDD17 JDR17 JEF17 JET17 JFH17 JFV17 JGJ17 JGX17 JHL17 JHZ17 JIN17 JJB17 JJP17 JKD17 JKR17 JLF17 JLT17 JMH17 JMV17 JNJ17 JNX17 JOL17 JOZ17 JPN17 JQB17 JQP17 JRD17 JRR17 JSF17 JST17 JTH17 JTV17 JUJ17 JUX17 JVL17 JVZ17 JWN17 JXB17 JXP17 JYD17 JYR17 JZF17 JZT17 KAH17 KAV17 KBJ17 KBX17 KCL17 KCZ17 KDN17 KEB17 KEP17 KFD17 KFR17 KGF17 KGT17 KHH17 KHV17 KIJ17 KIX17 KJL17 KJZ17 KKN17 KLB17 KLP17 KMD17 KMR17 KNF17 KNT17 KOH17 KOV17 KPJ17 KPX17 KQL17 KQZ17 KRN17 KSB17 KSP17 KTD17 KTR17 KUF17 KUT17 KVH17 KVV17 KWJ17 KWX17 KXL17 KXZ17 KYN17 KZB17 KZP17 LAD17 LAR17 LBF17 LBT17 LCH17 LCV17 LDJ17 LDX17 LEL17 LEZ17 LFN17 LGB17 LGP17 LHD17 LHR17 LIF17 LIT17 LJH17 LJV17 LKJ17 LKX17 LLL17 LLZ17 LMN17 LNB17 LNP17 LOD17 LOR17 LPF17 LPT17 LQH17 LQV17 LRJ17 LRX17 LSL17 LSZ17 LTN17 LUB17 LUP17 LVD17 LVR17 LWF17 LWT17 LXH17 LXV17 LYJ17 LYX17 LZL17 LZZ17 MAN17 MBB17 MBP17 MCD17 MCR17 MDF17 MDT17 MEH17 MEV17 MFJ17 MFX17 MGL17 MGZ17 MHN17 MIB17 MIP17 MJD17 MJR17 MKF17 MKT17 MLH17 MLV17 MMJ17 MMX17 MNL17 MNZ17 MON17 MPB17 MPP17 MQD17 MQR17 MRF17 MRT17 MSH17 MSV17 MTJ17 MTX17 MUL17 MUZ17 MVN17 MWB17 MWP17 MXD17 MXR17 MYF17 MYT17 MZH17 MZV17 NAJ17 NAX17 NBL17 NBZ17 NCN17 NDB17 NDP17 NED17 NER17 NFF17 NFT17 NGH17 NGV17 NHJ17 NHX17 NIL17 NIZ17 NJN17 NKB17 NKP17 NLD17 NLR17 NMF17 NMT17 NNH17 NNV17 NOJ17 NOX17 NPL17 NPZ17 NQN17 NRB17 NRP17 NSD17 NSR17 NTF17 NTT17 NUH17 NUV17 NVJ17 NVX17 NWL17 NWZ17 NXN17 NYB17 NYP17 NZD17 NZR17 OAF17 OAT17 OBH17 OBV17 OCJ17 OCX17 ODL17 ODZ17 OEN17 OFB17 OFP17 OGD17 OGR17 OHF17 OHT17 OIH17 OIV17 OJJ17 OJX17 OKL17 OKZ17 OLN17 OMB17 OMP17 OND17 ONR17 OOF17 OOT17 OPH17 OPV17 OQJ17 OQX17 ORL17 ORZ17 OSN17 OTB17 OTP17 OUD17 OUR17 OVF17 OVT17 OWH17 OWV17 OXJ17 OXX17 OYL17 OYZ17 OZN17 PAB17 PAP17 PBD17 PBR17 PCF17 PCT17 PDH17 PDV17 PEJ17 PEX17 PFL17 PFZ17 PGN17 PHB17 PHP17 PID17 PIR17 PJF17 PJT17 PKH17 PKV17 PLJ17 PLX17 PML17 PMZ17 PNN17 POB17 POP17 PPD17 PPR17 PQF17 PQT17 PRH17 PRV17 PSJ17 PSX17 PTL17 PTZ17 PUN17 PVB17 PVP17 PWD17 PWR17 PXF17 PXT17 PYH17 PYV17 PZJ17 PZX17 QAL17 QAZ17 QBN17 QCB17 QCP17 QDD17 QDR17 QEF17 QET17 QFH17 QFV17 QGJ17 QGX17 QHL17 QHZ17 QIN17 QJB17 QJP17 QKD17 QKR17 QLF17 QLT17 QMH17 QMV17 QNJ17 QNX17 QOL17 QOZ17 QPN17 QQB17 QQP17 QRD17 QRR17 QSF17 QST17 QTH17 QTV17 QUJ17 QUX17 QVL17 QVZ17 QWN17 QXB17 QXP17 QYD17 QYR17 QZF17 QZT17 RAH17 RAV17 RBJ17 RBX17 RCL17 RCZ17 RDN17 REB17 REP17 RFD17 RFR17 RGF17 RGT17 RHH17 RHV17 RIJ17 RIX17 RJL17 RJZ17 RKN17 RLB17 RLP17 RMD17 RMR17 RNF17 RNT17 ROH17 ROV17 RPJ17 RPX17 RQL17 RQZ17 RRN17 RSB17 RSP17 RTD17 RTR17 RUF17 RUT17 RVH17 RVV17 RWJ17 RWX17 RXL17 RXZ17 RYN17 RZB17 RZP17 SAD17 SAR17 SBF17 SBT17 SCH17 SCV17 SDJ17 SDX17 SEL17 SEZ17 SFN17 SGB17 SGP17 SHD17 SHR17 SIF17 SIT17 SJH17 SJV17 SKJ17 SKX17 SLL17 SLZ17 SMN17 SNB17 SNP17 SOD17 SOR17 SPF17 SPT17 SQH17 SQV17 SRJ17 SRX17 SSL17 SSZ17 STN17 SUB17 SUP17 SVD17 SVR17 SWF17 SWT17 SXH17 SXV17 SYJ17 SYX17 SZL17 SZZ17 TAN17 TBB17 TBP17 TCD17 TCR17 TDF17 TDT17 TEH17 TEV17 TFJ17 TFX17 TGL17 TGZ17 THN17 TIB17 TIP17 TJD17 TJR17 TKF17 TKT17 TLH17 TLV17 TMJ17 TMX17 TNL17 TNZ17 TON17 TPB17 TPP17 TQD17 TQR17 TRF17 TRT17 TSH17 TSV17 TTJ17 TTX17 TUL17 TUZ17 TVN17 TWB17 TWP17 TXD17 TXR17 TYF17 TYT17 TZH17 TZV17 UAJ17 UAX17 UBL17 UBZ17 UCN17 UDB17 UDP17 UED17 UER17 UFF17 UFT17 UGH17 UGV17 UHJ17 UHX17 UIL17 UIZ17 UJN17 UKB17 UKP17 ULD17 ULR17 UMF17 UMT17 UNH17 UNV17 UOJ17 UOX17 UPL17 UPZ17 UQN17 URB17 URP17 USD17 USR17 UTF17 UTT17 UUH17 UUV17 UVJ17 UVX17 UWL17 UWZ17 UXN17 UYB17 UYP17 UZD17 UZR17 VAF17 VAT17 VBH17 VBV17 VCJ17 VCX17 VDL17 VDZ17 VEN17 VFB17 VFP17 VGD17 VGR17 VHF17 VHT17 VIH17 VIV17 VJJ17 VJX17 VKL17 VKZ17 VLN17 VMB17 VMP17 VND17 VNR17 VOF17 VOT17 VPH17 VPV17 VQJ17 VQX17 VRL17 VRZ17 VSN17 VTB17 VTP17 VUD17 VUR17 VVF17 VVT17 VWH17 VWV17 VXJ17 VXX17 VYL17 VYZ17 VZN17 WAB17 WAP17 WBD17 WBR17 WCF17 WCT17 WDH17 WDV17 WEJ17 WEX17 WFL17 WFZ17 WGN17 WHB17 WHP17 WID17 WIR17 WJF17 WJT17 WKH17 WKV17 WLJ17 WLX17 WML17 WMZ17 WNN17 WOB17 WOP17 WPD17 WPR17 WQF17 WQT17 WRH17 WRV17 WSJ17 WSX17 WTL17 WTZ17 WUN17 WVB17 WVP17 WWD17 WWR17 WXF17 WXT17 WYH17 WYV17 WZJ17 WZX17 XAL17 XAZ17 XBN17 XCB17 XCP17 XDD17 XDR17 XEF17 XET17">
    <cfRule type="cellIs" dxfId="5" priority="13" operator="greaterThanOrEqual">
      <formula>20000</formula>
    </cfRule>
    <cfRule type="cellIs" dxfId="4" priority="14" operator="equal">
      <formula>""</formula>
    </cfRule>
    <cfRule type="cellIs" dxfId="3" priority="15" operator="lessThan">
      <formula>19999</formula>
    </cfRule>
  </conditionalFormatting>
  <conditionalFormatting sqref="AJ23 AX23 BL23 BZ23 CN23 DB23 DP23 ED23 ER23 FF23 FT23 GH23 GV23 HJ23 HX23 IL23 IZ23 JN23 KB23 KP23 LD23 LR23 MF23 MT23 NH23 NV23 OJ23 OX23 PL23 PZ23 QN23 RB23 RP23 SD23 SR23 TF23 TT23 UH23 UV23 VJ23 VX23 WL23 WZ23 XN23 YB23 YP23 ZD23 ZR23 AAF23 AAT23 ABH23 ABV23 ACJ23 ACX23 ADL23 ADZ23 AEN23 AFB23 AFP23 AGD23 AGR23 AHF23 AHT23 AIH23 AIV23 AJJ23 AJX23 AKL23 AKZ23 ALN23 AMB23 AMP23 AND23 ANR23 AOF23 AOT23 APH23 APV23 AQJ23 AQX23 ARL23 ARZ23 ASN23 ATB23 ATP23 AUD23 AUR23 AVF23 AVT23 AWH23 AWV23 AXJ23 AXX23 AYL23 AYZ23 AZN23 BAB23 BAP23 BBD23 BBR23 BCF23 BCT23 BDH23 BDV23 BEJ23 BEX23 BFL23 BFZ23 BGN23 BHB23 BHP23 BID23 BIR23 BJF23 BJT23 BKH23 BKV23 BLJ23 BLX23 BML23 BMZ23 BNN23 BOB23 BOP23 BPD23 BPR23 BQF23 BQT23 BRH23 BRV23 BSJ23 BSX23 BTL23 BTZ23 BUN23 BVB23 BVP23 BWD23 BWR23 BXF23 BXT23 BYH23 BYV23 BZJ23 BZX23 CAL23 CAZ23 CBN23 CCB23 CCP23 CDD23 CDR23 CEF23 CET23 CFH23 CFV23 CGJ23 CGX23 CHL23 CHZ23 CIN23 CJB23 CJP23 CKD23 CKR23 CLF23 CLT23 CMH23 CMV23 CNJ23 CNX23 COL23 COZ23 CPN23 CQB23 CQP23 CRD23 CRR23 CSF23 CST23 CTH23 CTV23 CUJ23 CUX23 CVL23 CVZ23 CWN23 CXB23 CXP23 CYD23 CYR23 CZF23 CZT23 DAH23 DAV23 DBJ23 DBX23 DCL23 DCZ23 DDN23 DEB23 DEP23 DFD23 DFR23 DGF23 DGT23 DHH23 DHV23 DIJ23 DIX23 DJL23 DJZ23 DKN23 DLB23 DLP23 DMD23 DMR23 DNF23 DNT23 DOH23 DOV23 DPJ23 DPX23 DQL23 DQZ23 DRN23 DSB23 DSP23 DTD23 DTR23 DUF23 DUT23 DVH23 DVV23 DWJ23 DWX23 DXL23 DXZ23 DYN23 DZB23 DZP23 EAD23 EAR23 EBF23 EBT23 ECH23 ECV23 EDJ23 EDX23 EEL23 EEZ23 EFN23 EGB23 EGP23 EHD23 EHR23 EIF23 EIT23 EJH23 EJV23 EKJ23 EKX23 ELL23 ELZ23 EMN23 ENB23 ENP23 EOD23 EOR23 EPF23 EPT23 EQH23 EQV23 ERJ23 ERX23 ESL23 ESZ23 ETN23 EUB23 EUP23 EVD23 EVR23 EWF23 EWT23 EXH23 EXV23 EYJ23 EYX23 EZL23 EZZ23 FAN23 FBB23 FBP23 FCD23 FCR23 FDF23 FDT23 FEH23 FEV23 FFJ23 FFX23 FGL23 FGZ23 FHN23 FIB23 FIP23 FJD23 FJR23 FKF23 FKT23 FLH23 FLV23 FMJ23 FMX23 FNL23 FNZ23 FON23 FPB23 FPP23 FQD23 FQR23 FRF23 FRT23 FSH23 FSV23 FTJ23 FTX23 FUL23 FUZ23 FVN23 FWB23 FWP23 FXD23 FXR23 FYF23 FYT23 FZH23 FZV23 GAJ23 GAX23 GBL23 GBZ23 GCN23 GDB23 GDP23 GED23 GER23 GFF23 GFT23 GGH23 GGV23 GHJ23 GHX23 GIL23 GIZ23 GJN23 GKB23 GKP23 GLD23 GLR23 GMF23 GMT23 GNH23 GNV23 GOJ23 GOX23 GPL23 GPZ23 GQN23 GRB23 GRP23 GSD23 GSR23 GTF23 GTT23 GUH23 GUV23 GVJ23 GVX23 GWL23 GWZ23 GXN23 GYB23 GYP23 GZD23 GZR23 HAF23 HAT23 HBH23 HBV23 HCJ23 HCX23 HDL23 HDZ23 HEN23 HFB23 HFP23 HGD23 HGR23 HHF23 HHT23 HIH23 HIV23 HJJ23 HJX23 HKL23 HKZ23 HLN23 HMB23 HMP23 HND23 HNR23 HOF23 HOT23 HPH23 HPV23 HQJ23 HQX23 HRL23 HRZ23 HSN23 HTB23 HTP23 HUD23 HUR23 HVF23 HVT23 HWH23 HWV23 HXJ23 HXX23 HYL23 HYZ23 HZN23 IAB23 IAP23 IBD23 IBR23 ICF23 ICT23 IDH23 IDV23 IEJ23 IEX23 IFL23 IFZ23 IGN23 IHB23 IHP23 IID23 IIR23 IJF23 IJT23 IKH23 IKV23 ILJ23 ILX23 IML23 IMZ23 INN23 IOB23 IOP23 IPD23 IPR23 IQF23 IQT23 IRH23 IRV23 ISJ23 ISX23 ITL23 ITZ23 IUN23 IVB23 IVP23 IWD23 IWR23 IXF23 IXT23 IYH23 IYV23 IZJ23 IZX23 JAL23 JAZ23 JBN23 JCB23 JCP23 JDD23 JDR23 JEF23 JET23 JFH23 JFV23 JGJ23 JGX23 JHL23 JHZ23 JIN23 JJB23 JJP23 JKD23 JKR23 JLF23 JLT23 JMH23 JMV23 JNJ23 JNX23 JOL23 JOZ23 JPN23 JQB23 JQP23 JRD23 JRR23 JSF23 JST23 JTH23 JTV23 JUJ23 JUX23 JVL23 JVZ23 JWN23 JXB23 JXP23 JYD23 JYR23 JZF23 JZT23 KAH23 KAV23 KBJ23 KBX23 KCL23 KCZ23 KDN23 KEB23 KEP23 KFD23 KFR23 KGF23 KGT23 KHH23 KHV23 KIJ23 KIX23 KJL23 KJZ23 KKN23 KLB23 KLP23 KMD23 KMR23 KNF23 KNT23 KOH23 KOV23 KPJ23 KPX23 KQL23 KQZ23 KRN23 KSB23 KSP23 KTD23 KTR23 KUF23 KUT23 KVH23 KVV23 KWJ23 KWX23 KXL23 KXZ23 KYN23 KZB23 KZP23 LAD23 LAR23 LBF23 LBT23 LCH23 LCV23 LDJ23 LDX23 LEL23 LEZ23 LFN23 LGB23 LGP23 LHD23 LHR23 LIF23 LIT23 LJH23 LJV23 LKJ23 LKX23 LLL23 LLZ23 LMN23 LNB23 LNP23 LOD23 LOR23 LPF23 LPT23 LQH23 LQV23 LRJ23 LRX23 LSL23 LSZ23 LTN23 LUB23 LUP23 LVD23 LVR23 LWF23 LWT23 LXH23 LXV23 LYJ23 LYX23 LZL23 LZZ23 MAN23 MBB23 MBP23 MCD23 MCR23 MDF23 MDT23 MEH23 MEV23 MFJ23 MFX23 MGL23 MGZ23 MHN23 MIB23 MIP23 MJD23 MJR23 MKF23 MKT23 MLH23 MLV23 MMJ23 MMX23 MNL23 MNZ23 MON23 MPB23 MPP23 MQD23 MQR23 MRF23 MRT23 MSH23 MSV23 MTJ23 MTX23 MUL23 MUZ23 MVN23 MWB23 MWP23 MXD23 MXR23 MYF23 MYT23 MZH23 MZV23 NAJ23 NAX23 NBL23 NBZ23 NCN23 NDB23 NDP23 NED23 NER23 NFF23 NFT23 NGH23 NGV23 NHJ23 NHX23 NIL23 NIZ23 NJN23 NKB23 NKP23 NLD23 NLR23 NMF23 NMT23 NNH23 NNV23 NOJ23 NOX23 NPL23 NPZ23 NQN23 NRB23 NRP23 NSD23 NSR23 NTF23 NTT23 NUH23 NUV23 NVJ23 NVX23 NWL23 NWZ23 NXN23 NYB23 NYP23 NZD23 NZR23 OAF23 OAT23 OBH23 OBV23 OCJ23 OCX23 ODL23 ODZ23 OEN23 OFB23 OFP23 OGD23 OGR23 OHF23 OHT23 OIH23 OIV23 OJJ23 OJX23 OKL23 OKZ23 OLN23 OMB23 OMP23 OND23 ONR23 OOF23 OOT23 OPH23 OPV23 OQJ23 OQX23 ORL23 ORZ23 OSN23 OTB23 OTP23 OUD23 OUR23 OVF23 OVT23 OWH23 OWV23 OXJ23 OXX23 OYL23 OYZ23 OZN23 PAB23 PAP23 PBD23 PBR23 PCF23 PCT23 PDH23 PDV23 PEJ23 PEX23 PFL23 PFZ23 PGN23 PHB23 PHP23 PID23 PIR23 PJF23 PJT23 PKH23 PKV23 PLJ23 PLX23 PML23 PMZ23 PNN23 POB23 POP23 PPD23 PPR23 PQF23 PQT23 PRH23 PRV23 PSJ23 PSX23 PTL23 PTZ23 PUN23 PVB23 PVP23 PWD23 PWR23 PXF23 PXT23 PYH23 PYV23 PZJ23 PZX23 QAL23 QAZ23 QBN23 QCB23 QCP23 QDD23 QDR23 QEF23 QET23 QFH23 QFV23 QGJ23 QGX23 QHL23 QHZ23 QIN23 QJB23 QJP23 QKD23 QKR23 QLF23 QLT23 QMH23 QMV23 QNJ23 QNX23 QOL23 QOZ23 QPN23 QQB23 QQP23 QRD23 QRR23 QSF23 QST23 QTH23 QTV23 QUJ23 QUX23 QVL23 QVZ23 QWN23 QXB23 QXP23 QYD23 QYR23 QZF23 QZT23 RAH23 RAV23 RBJ23 RBX23 RCL23 RCZ23 RDN23 REB23 REP23 RFD23 RFR23 RGF23 RGT23 RHH23 RHV23 RIJ23 RIX23 RJL23 RJZ23 RKN23 RLB23 RLP23 RMD23 RMR23 RNF23 RNT23 ROH23 ROV23 RPJ23 RPX23 RQL23 RQZ23 RRN23 RSB23 RSP23 RTD23 RTR23 RUF23 RUT23 RVH23 RVV23 RWJ23 RWX23 RXL23 RXZ23 RYN23 RZB23 RZP23 SAD23 SAR23 SBF23 SBT23 SCH23 SCV23 SDJ23 SDX23 SEL23 SEZ23 SFN23 SGB23 SGP23 SHD23 SHR23 SIF23 SIT23 SJH23 SJV23 SKJ23 SKX23 SLL23 SLZ23 SMN23 SNB23 SNP23 SOD23 SOR23 SPF23 SPT23 SQH23 SQV23 SRJ23 SRX23 SSL23 SSZ23 STN23 SUB23 SUP23 SVD23 SVR23 SWF23 SWT23 SXH23 SXV23 SYJ23 SYX23 SZL23 SZZ23 TAN23 TBB23 TBP23 TCD23 TCR23 TDF23 TDT23 TEH23 TEV23 TFJ23 TFX23 TGL23 TGZ23 THN23 TIB23 TIP23 TJD23 TJR23 TKF23 TKT23 TLH23 TLV23 TMJ23 TMX23 TNL23 TNZ23 TON23 TPB23 TPP23 TQD23 TQR23 TRF23 TRT23 TSH23 TSV23 TTJ23 TTX23 TUL23 TUZ23 TVN23 TWB23 TWP23 TXD23 TXR23 TYF23 TYT23 TZH23 TZV23 UAJ23 UAX23 UBL23 UBZ23 UCN23 UDB23 UDP23 UED23 UER23 UFF23 UFT23 UGH23 UGV23 UHJ23 UHX23 UIL23 UIZ23 UJN23 UKB23 UKP23 ULD23 ULR23 UMF23 UMT23 UNH23 UNV23 UOJ23 UOX23 UPL23 UPZ23 UQN23 URB23 URP23 USD23 USR23 UTF23 UTT23 UUH23 UUV23 UVJ23 UVX23 UWL23 UWZ23 UXN23 UYB23 UYP23 UZD23 UZR23 VAF23 VAT23 VBH23 VBV23 VCJ23 VCX23 VDL23 VDZ23 VEN23 VFB23 VFP23 VGD23 VGR23 VHF23 VHT23 VIH23 VIV23 VJJ23 VJX23 VKL23 VKZ23 VLN23 VMB23 VMP23 VND23 VNR23 VOF23 VOT23 VPH23 VPV23 VQJ23 VQX23 VRL23 VRZ23 VSN23 VTB23 VTP23 VUD23 VUR23 VVF23 VVT23 VWH23 VWV23 VXJ23 VXX23 VYL23 VYZ23 VZN23 WAB23 WAP23 WBD23 WBR23 WCF23 WCT23 WDH23 WDV23 WEJ23 WEX23 WFL23 WFZ23 WGN23 WHB23 WHP23 WID23 WIR23 WJF23 WJT23 WKH23 WKV23 WLJ23 WLX23 WML23 WMZ23 WNN23 WOB23 WOP23 WPD23 WPR23 WQF23 WQT23 WRH23 WRV23 WSJ23 WSX23 WTL23 WTZ23 WUN23 WVB23 WVP23 WWD23 WWR23 WXF23 WXT23 WYH23 WYV23 WZJ23 WZX23 XAL23 XAZ23 XBN23 XCB23 XCP23 XDD23 XDR23 XEF23 XET23">
    <cfRule type="cellIs" dxfId="2" priority="17" operator="greaterThanOrEqual">
      <formula>20000</formula>
    </cfRule>
    <cfRule type="cellIs" dxfId="1" priority="18" operator="equal">
      <formula>""</formula>
    </cfRule>
    <cfRule type="cellIs" dxfId="0" priority="19" operator="lessThan">
      <formula>19999</formula>
    </cfRule>
  </conditionalFormatting>
  <dataValidations count="3">
    <dataValidation type="list" allowBlank="1" showInputMessage="1" showErrorMessage="1" sqref="A9:A11" xr:uid="{F61CC6DA-34C8-4A00-9D8F-990F38C166CC}">
      <formula1>Accrual</formula1>
    </dataValidation>
    <dataValidation type="list" allowBlank="1" showInputMessage="1" showErrorMessage="1" sqref="E9" xr:uid="{18002F27-0EF5-4C1C-8588-E8C0C4FC6CA5}">
      <formula1>INDIRECT($A$9)</formula1>
    </dataValidation>
    <dataValidation type="list" allowBlank="1" showInputMessage="1" showErrorMessage="1" sqref="E10:E76" xr:uid="{55B501FD-5EBF-4591-9DF4-DC532F42B57C}">
      <formula1>INDIRECT(A10)</formula1>
    </dataValidation>
  </dataValidations>
  <pageMargins left="0.7" right="0.7" top="0.75" bottom="0.75" header="0.3" footer="0.3"/>
  <pageSetup paperSize="9" orientation="portrait" r:id="rId1"/>
  <headerFooter>
    <oddFooter>&amp;C_x000D_&amp;1#&amp;"Calibri"&amp;10&amp;K000000 OFFICIAL</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28585AD6-6050-4918-AD62-112D8D5E5C6D}">
          <x14:formula1>
            <xm:f>Lookup!$L$4:$L$7</xm:f>
          </x14:formula1>
          <xm:sqref>A12:A76</xm:sqref>
        </x14:dataValidation>
        <x14:dataValidation type="list" allowBlank="1" showInputMessage="1" showErrorMessage="1" xr:uid="{0FDB0457-74E7-475F-857B-5DCE0C3EE763}">
          <x14:formula1>
            <xm:f>Lookup!$T$3:$T$4</xm:f>
          </x14:formula1>
          <xm:sqref>B9:B76</xm:sqref>
        </x14:dataValidation>
        <x14:dataValidation type="list" allowBlank="1" showInputMessage="1" showErrorMessage="1" xr:uid="{3C864430-3D86-4139-9560-57D3B1F4A891}">
          <x14:formula1>
            <xm:f>CPIDs!$D$1:$D$1339</xm:f>
          </x14:formula1>
          <xm:sqref>L9:L76</xm:sqref>
        </x14:dataValidation>
        <x14:dataValidation type="list" allowBlank="1" showInputMessage="1" showErrorMessage="1" xr:uid="{C1CCB0C0-206A-4C4B-A800-06AC6D56F84A}">
          <x14:formula1>
            <xm:f>'RELPTY (Related Parties)'!$D$1:$D$88</xm:f>
          </x14:formula1>
          <xm:sqref>M9:M76</xm:sqref>
        </x14:dataValidation>
        <x14:dataValidation type="list" allowBlank="1" showInputMessage="1" showErrorMessage="1" xr:uid="{2B3B8C55-AB47-42D0-ADE5-7C3BB513C8B9}">
          <x14:formula1>
            <xm:f>Lookup!$AU$2:$AU$12</xm:f>
          </x14:formula1>
          <xm:sqref>I9:I76</xm:sqref>
        </x14:dataValidation>
        <x14:dataValidation type="list" allowBlank="1" showInputMessage="1" showErrorMessage="1" xr:uid="{7FDC22B1-5D39-462D-9E22-1401B48A1F55}">
          <x14:formula1>
            <xm:f>Lookup!$AW$2:$AW$18</xm:f>
          </x14:formula1>
          <xm:sqref>J9:J76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ce9011b-86f1-4b85-8468-bde8c49fc6b6">
      <Terms xmlns="http://schemas.microsoft.com/office/infopath/2007/PartnerControls"/>
    </lcf76f155ced4ddcb4097134ff3c332f>
    <TaxCatchAll xmlns="db86872e-852c-4ba3-99d1-10e4e076724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18E088D61435D429F53A8D9D38B3C75" ma:contentTypeVersion="16" ma:contentTypeDescription="Create a new document." ma:contentTypeScope="" ma:versionID="d051f25b37c5f98882f7a49a1b763792">
  <xsd:schema xmlns:xsd="http://www.w3.org/2001/XMLSchema" xmlns:xs="http://www.w3.org/2001/XMLSchema" xmlns:p="http://schemas.microsoft.com/office/2006/metadata/properties" xmlns:ns2="1ce9011b-86f1-4b85-8468-bde8c49fc6b6" xmlns:ns3="db86872e-852c-4ba3-99d1-10e4e0767240" targetNamespace="http://schemas.microsoft.com/office/2006/metadata/properties" ma:root="true" ma:fieldsID="da688b352a2041fa20d9e68dc7297162" ns2:_="" ns3:_="">
    <xsd:import namespace="1ce9011b-86f1-4b85-8468-bde8c49fc6b6"/>
    <xsd:import namespace="db86872e-852c-4ba3-99d1-10e4e076724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e9011b-86f1-4b85-8468-bde8c49fc6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7eb6393-bae5-439c-9df7-ed1047f92241"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b86872e-852c-4ba3-99d1-10e4e076724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d70b6b83-76f1-4f83-84ac-1b0750170f81}" ma:internalName="TaxCatchAll" ma:showField="CatchAllData" ma:web="db86872e-852c-4ba3-99d1-10e4e07672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F80160B-05E8-40C8-9E22-6744FB9DBB79}">
  <ds:schemaRefs>
    <ds:schemaRef ds:uri="http://schemas.microsoft.com/office/2006/metadata/properties"/>
    <ds:schemaRef ds:uri="http://schemas.microsoft.com/office/infopath/2007/PartnerControls"/>
    <ds:schemaRef ds:uri="1ce9011b-86f1-4b85-8468-bde8c49fc6b6"/>
    <ds:schemaRef ds:uri="db86872e-852c-4ba3-99d1-10e4e0767240"/>
  </ds:schemaRefs>
</ds:datastoreItem>
</file>

<file path=customXml/itemProps2.xml><?xml version="1.0" encoding="utf-8"?>
<ds:datastoreItem xmlns:ds="http://schemas.openxmlformats.org/officeDocument/2006/customXml" ds:itemID="{FEDF0DD4-9E5D-4C4B-A614-7ED7D6BCFC39}">
  <ds:schemaRefs>
    <ds:schemaRef ds:uri="http://schemas.microsoft.com/sharepoint/v3/contenttype/forms"/>
  </ds:schemaRefs>
</ds:datastoreItem>
</file>

<file path=customXml/itemProps3.xml><?xml version="1.0" encoding="utf-8"?>
<ds:datastoreItem xmlns:ds="http://schemas.openxmlformats.org/officeDocument/2006/customXml" ds:itemID="{405D395B-185A-451E-83D8-D26B18F89B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e9011b-86f1-4b85-8468-bde8c49fc6b6"/>
    <ds:schemaRef ds:uri="db86872e-852c-4ba3-99d1-10e4e07672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5</vt:i4>
      </vt:variant>
    </vt:vector>
  </HeadingPairs>
  <TitlesOfParts>
    <vt:vector size="31" baseType="lpstr">
      <vt:lpstr>Checklist</vt:lpstr>
      <vt:lpstr>CFR Return</vt:lpstr>
      <vt:lpstr>Accounting Test</vt:lpstr>
      <vt:lpstr>Journal1</vt:lpstr>
      <vt:lpstr>Revised Outturn - to copy</vt:lpstr>
      <vt:lpstr>Payments</vt:lpstr>
      <vt:lpstr>Cash Advances</vt:lpstr>
      <vt:lpstr>Journal2</vt:lpstr>
      <vt:lpstr>2. Accruals</vt:lpstr>
      <vt:lpstr>Accruals lookup</vt:lpstr>
      <vt:lpstr>Outturn</vt:lpstr>
      <vt:lpstr>%</vt:lpstr>
      <vt:lpstr>Budget after virements</vt:lpstr>
      <vt:lpstr>Lookup</vt:lpstr>
      <vt:lpstr>2024-25 Outturn</vt:lpstr>
      <vt:lpstr>3. School System Report</vt:lpstr>
      <vt:lpstr>Final CFR</vt:lpstr>
      <vt:lpstr>School Level</vt:lpstr>
      <vt:lpstr>Schools Finance</vt:lpstr>
      <vt:lpstr>4. Establishment</vt:lpstr>
      <vt:lpstr>Advertising &amp; Publicity</vt:lpstr>
      <vt:lpstr>5. Use of Resources</vt:lpstr>
      <vt:lpstr>CPIDs</vt:lpstr>
      <vt:lpstr>RELPTY (Related Parties)</vt:lpstr>
      <vt:lpstr>Journal workings</vt:lpstr>
      <vt:lpstr>Bank clearing</vt:lpstr>
      <vt:lpstr>Accrual</vt:lpstr>
      <vt:lpstr>Creditors</vt:lpstr>
      <vt:lpstr>Debtors</vt:lpstr>
      <vt:lpstr>Income_in_advance</vt:lpstr>
      <vt:lpstr>Payment_in_advance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Schools 2025-26 Year-end Return Template</dc:title>
  <dc:subject/>
  <dc:creator>Harmanjot Kahlon</dc:creator>
  <cp:keywords/>
  <dc:description/>
  <cp:lastModifiedBy>Shakera Trombley-Miah</cp:lastModifiedBy>
  <cp:revision/>
  <dcterms:created xsi:type="dcterms:W3CDTF">2021-06-01T13:39:42Z</dcterms:created>
  <dcterms:modified xsi:type="dcterms:W3CDTF">2026-04-30T09:27:52Z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17471b1-27ab-4640-9264-e69a67407ca3_Enabled">
    <vt:lpwstr>true</vt:lpwstr>
  </property>
  <property fmtid="{D5CDD505-2E9C-101B-9397-08002B2CF9AE}" pid="3" name="MSIP_Label_a17471b1-27ab-4640-9264-e69a67407ca3_SetDate">
    <vt:lpwstr>2024-10-10T12:23:56Z</vt:lpwstr>
  </property>
  <property fmtid="{D5CDD505-2E9C-101B-9397-08002B2CF9AE}" pid="4" name="MSIP_Label_a17471b1-27ab-4640-9264-e69a67407ca3_Method">
    <vt:lpwstr>Standard</vt:lpwstr>
  </property>
  <property fmtid="{D5CDD505-2E9C-101B-9397-08002B2CF9AE}" pid="5" name="MSIP_Label_a17471b1-27ab-4640-9264-e69a67407ca3_Name">
    <vt:lpwstr>BCC - OFFICIAL</vt:lpwstr>
  </property>
  <property fmtid="{D5CDD505-2E9C-101B-9397-08002B2CF9AE}" pid="6" name="MSIP_Label_a17471b1-27ab-4640-9264-e69a67407ca3_SiteId">
    <vt:lpwstr>699ace67-d2e4-4bcd-b303-d2bbe2b9bbf1</vt:lpwstr>
  </property>
  <property fmtid="{D5CDD505-2E9C-101B-9397-08002B2CF9AE}" pid="7" name="MSIP_Label_a17471b1-27ab-4640-9264-e69a67407ca3_ActionId">
    <vt:lpwstr>cda6b714-e4f0-4373-9e51-47d8ce8c27f4</vt:lpwstr>
  </property>
  <property fmtid="{D5CDD505-2E9C-101B-9397-08002B2CF9AE}" pid="8" name="MSIP_Label_a17471b1-27ab-4640-9264-e69a67407ca3_ContentBits">
    <vt:lpwstr>2</vt:lpwstr>
  </property>
  <property fmtid="{D5CDD505-2E9C-101B-9397-08002B2CF9AE}" pid="9" name="ContentTypeId">
    <vt:lpwstr>0x010100718E088D61435D429F53A8D9D38B3C75</vt:lpwstr>
  </property>
  <property fmtid="{D5CDD505-2E9C-101B-9397-08002B2CF9AE}" pid="10" name="MediaServiceImageTags">
    <vt:lpwstr/>
  </property>
  <property fmtid="{D5CDD505-2E9C-101B-9397-08002B2CF9AE}" pid="11" name="SV_QUERY_LIST_4F35BF76-6C0D-4D9B-82B2-816C12CF3733">
    <vt:lpwstr>empty_477D106A-C0D6-4607-AEBD-E2C9D60EA279</vt:lpwstr>
  </property>
  <property fmtid="{D5CDD505-2E9C-101B-9397-08002B2CF9AE}" pid="12" name="SV_HIDDEN_GRID_QUERY_LIST_4F35BF76-6C0D-4D9B-82B2-816C12CF3733">
    <vt:lpwstr>empty_477D106A-C0D6-4607-AEBD-E2C9D60EA279</vt:lpwstr>
  </property>
  <property fmtid="{D5CDD505-2E9C-101B-9397-08002B2CF9AE}" pid="13" name="CloudStatistics_StoryID">
    <vt:lpwstr>23896d01-3600-4d34-86bd-831721205f20</vt:lpwstr>
  </property>
</Properties>
</file>